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6835" windowHeight="15135" activeTab="3"/>
  </bookViews>
  <sheets>
    <sheet name="Cost worksheet SOR" sheetId="1" r:id="rId1"/>
    <sheet name="Cost worksheet ACR" sheetId="2" r:id="rId2"/>
    <sheet name="Factors&amp;Regression equations" sheetId="3" r:id="rId3"/>
    <sheet name="Engine maintenance savings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Andy Hill</author>
  </authors>
  <commentList>
    <comment ref="D5" authorId="0">
      <text>
        <r>
          <rPr>
            <sz val="9"/>
            <rFont val="Tahoma"/>
            <family val="2"/>
          </rPr>
          <t>Input either flowrate or engine power.</t>
        </r>
      </text>
    </comment>
    <comment ref="E5" authorId="0">
      <text>
        <r>
          <rPr>
            <sz val="9"/>
            <rFont val="Tahoma"/>
            <family val="2"/>
          </rPr>
          <t xml:space="preserve">Input either SCFM, kW or BHP.
</t>
        </r>
      </text>
    </comment>
  </commentList>
</comments>
</file>

<file path=xl/comments2.xml><?xml version="1.0" encoding="utf-8"?>
<comments xmlns="http://schemas.openxmlformats.org/spreadsheetml/2006/main">
  <authors>
    <author>Andy Hill</author>
  </authors>
  <commentList>
    <comment ref="F5" authorId="0">
      <text>
        <r>
          <rPr>
            <sz val="9"/>
            <rFont val="Tahoma"/>
            <family val="2"/>
          </rPr>
          <t xml:space="preserve">Input either SCFM, kW or BHP.
</t>
        </r>
      </text>
    </comment>
    <comment ref="E5" authorId="0">
      <text>
        <r>
          <rPr>
            <sz val="9"/>
            <rFont val="Tahoma"/>
            <family val="2"/>
          </rPr>
          <t>Input either flowrate or engine power.</t>
        </r>
      </text>
    </comment>
  </commentList>
</comments>
</file>

<file path=xl/sharedStrings.xml><?xml version="1.0" encoding="utf-8"?>
<sst xmlns="http://schemas.openxmlformats.org/spreadsheetml/2006/main" count="264" uniqueCount="162">
  <si>
    <t xml:space="preserve">Cost Items </t>
  </si>
  <si>
    <t xml:space="preserve">Cost Factors </t>
  </si>
  <si>
    <t>Factor</t>
  </si>
  <si>
    <t xml:space="preserve">DIRECT CAPITAL COSTS (DCC): </t>
  </si>
  <si>
    <t xml:space="preserve"> </t>
  </si>
  <si>
    <t xml:space="preserve">(a) Foundation and Structural Support </t>
  </si>
  <si>
    <t xml:space="preserve">(b) Handling &amp; Erection </t>
  </si>
  <si>
    <t xml:space="preserve">(c) Electrical </t>
  </si>
  <si>
    <t xml:space="preserve">(d) Piping </t>
  </si>
  <si>
    <t xml:space="preserve">(e) Insulation </t>
  </si>
  <si>
    <t xml:space="preserve">Total DCC: </t>
  </si>
  <si>
    <t xml:space="preserve">(a) General Facilities </t>
  </si>
  <si>
    <t xml:space="preserve">(b) Engineering and Home Office Fees </t>
  </si>
  <si>
    <t xml:space="preserve">(c) Process Contingency </t>
  </si>
  <si>
    <t xml:space="preserve">Engineering Estimate </t>
  </si>
  <si>
    <t xml:space="preserve">(c) Spare Parts </t>
  </si>
  <si>
    <t xml:space="preserve">(d) Contractor Fees </t>
  </si>
  <si>
    <t xml:space="preserve">Total ICC: </t>
  </si>
  <si>
    <t xml:space="preserve">PROJECT CONTINGENCY </t>
  </si>
  <si>
    <t xml:space="preserve">(1) Operating Labor </t>
  </si>
  <si>
    <t xml:space="preserve">Operator </t>
  </si>
  <si>
    <t xml:space="preserve">Supervisor </t>
  </si>
  <si>
    <t xml:space="preserve">(2) Maintenance (labor and material) </t>
  </si>
  <si>
    <t xml:space="preserve">Total DOC: </t>
  </si>
  <si>
    <t xml:space="preserve">(1) Overhead </t>
  </si>
  <si>
    <t xml:space="preserve">(2) Property Taxes </t>
  </si>
  <si>
    <t xml:space="preserve">(3) Insurance </t>
  </si>
  <si>
    <t>(4) Administration</t>
  </si>
  <si>
    <t>DIRECT OPERATING COSTS (DOC):</t>
  </si>
  <si>
    <t>Units</t>
  </si>
  <si>
    <t>SCFM</t>
  </si>
  <si>
    <t>Value</t>
  </si>
  <si>
    <t>INDIRECT OPERATING COSTS (IOC):</t>
  </si>
  <si>
    <t>INDIRECT CAPITAL COSTS (ICC):</t>
  </si>
  <si>
    <t>Engine Power</t>
  </si>
  <si>
    <t>kW</t>
  </si>
  <si>
    <t>Purchased equipment costs</t>
  </si>
  <si>
    <t>Purchased equipment cost, PEC</t>
  </si>
  <si>
    <t xml:space="preserve">Sales taxes </t>
  </si>
  <si>
    <t xml:space="preserve">Freight </t>
  </si>
  <si>
    <t xml:space="preserve">Foundations &amp; supports </t>
  </si>
  <si>
    <t xml:space="preserve">Handling &amp; erection </t>
  </si>
  <si>
    <t xml:space="preserve">Electrical </t>
  </si>
  <si>
    <t xml:space="preserve">Piping </t>
  </si>
  <si>
    <t xml:space="preserve">Insulation </t>
  </si>
  <si>
    <t xml:space="preserve">Painting </t>
  </si>
  <si>
    <t xml:space="preserve">Direct installation costs </t>
  </si>
  <si>
    <t xml:space="preserve">Engineering </t>
  </si>
  <si>
    <t xml:space="preserve">Construction and field expenses </t>
  </si>
  <si>
    <t xml:space="preserve">Contractor fees </t>
  </si>
  <si>
    <t xml:space="preserve">Start-up </t>
  </si>
  <si>
    <t xml:space="preserve">Performance test </t>
  </si>
  <si>
    <t xml:space="preserve">Contingencies </t>
  </si>
  <si>
    <t xml:space="preserve">Model study </t>
  </si>
  <si>
    <t>Total Direct Costs (TDC)</t>
  </si>
  <si>
    <r>
      <t xml:space="preserve">Subtotal: </t>
    </r>
    <r>
      <rPr>
        <b/>
        <sz val="11"/>
        <color indexed="8"/>
        <rFont val="Times New Roman"/>
        <family val="1"/>
      </rPr>
      <t xml:space="preserve">Total Equipment Cost (TEC) </t>
    </r>
  </si>
  <si>
    <r>
      <t xml:space="preserve">Subtotal: </t>
    </r>
    <r>
      <rPr>
        <b/>
        <sz val="11"/>
        <color indexed="8"/>
        <rFont val="Times New Roman"/>
        <family val="1"/>
      </rPr>
      <t xml:space="preserve">Total Direct Installation Costs (DIC) </t>
    </r>
  </si>
  <si>
    <t>(f) Painting</t>
  </si>
  <si>
    <t>Inlet Flow Rate</t>
  </si>
  <si>
    <t>b</t>
  </si>
  <si>
    <t>y=mx+b</t>
  </si>
  <si>
    <t>m</t>
  </si>
  <si>
    <r>
      <t>y=mx</t>
    </r>
    <r>
      <rPr>
        <vertAlign val="superscript"/>
        <sz val="11"/>
        <color indexed="8"/>
        <rFont val="Calibri"/>
        <family val="2"/>
      </rPr>
      <t>b</t>
    </r>
  </si>
  <si>
    <t>bhp</t>
  </si>
  <si>
    <t xml:space="preserve"> Removal System Cost ($) </t>
  </si>
  <si>
    <t>Engineering estimate</t>
  </si>
  <si>
    <t>hr/shift</t>
  </si>
  <si>
    <t>(3) Siloxane Removal System Media Replacement + Energy Requirement</t>
  </si>
  <si>
    <t>(4) Siloxane system periodic testing</t>
  </si>
  <si>
    <t>(5) Capital recovery costs (CRC)</t>
  </si>
  <si>
    <t xml:space="preserve">(1) + (2) + (3) + (4) + (5) </t>
  </si>
  <si>
    <t>RETROFIT COSTS</t>
  </si>
  <si>
    <t xml:space="preserve">Auxiliary Equipment </t>
  </si>
  <si>
    <t>Total Equipment Costs (TEC)</t>
  </si>
  <si>
    <t>Direct Installation Costs (DIC)</t>
  </si>
  <si>
    <t>Indirect Installation Costs (IIC)</t>
  </si>
  <si>
    <t>Retrofit Costs</t>
  </si>
  <si>
    <t>0-8</t>
  </si>
  <si>
    <t>10-50</t>
  </si>
  <si>
    <t>1-10</t>
  </si>
  <si>
    <t>4-12</t>
  </si>
  <si>
    <t>14-50</t>
  </si>
  <si>
    <t>1-8</t>
  </si>
  <si>
    <t>2-30</t>
  </si>
  <si>
    <t>1-7</t>
  </si>
  <si>
    <t>10-20</t>
  </si>
  <si>
    <t>5-20</t>
  </si>
  <si>
    <t>0-10</t>
  </si>
  <si>
    <t>1-2</t>
  </si>
  <si>
    <t>2-3</t>
  </si>
  <si>
    <t>Range, %</t>
  </si>
  <si>
    <t>DCC+ICC+Project Contingency+Retrofit Costs</t>
  </si>
  <si>
    <t>CRF x TCI</t>
  </si>
  <si>
    <t>IIC+OIC</t>
  </si>
  <si>
    <t>(1) Indirect Installation Costs (IIC)</t>
  </si>
  <si>
    <t>(2) Other Indirect Costs (OIC)</t>
  </si>
  <si>
    <t>Default Factor</t>
  </si>
  <si>
    <t xml:space="preserve">Total IOC: </t>
  </si>
  <si>
    <t>Input Value and Units</t>
  </si>
  <si>
    <t xml:space="preserve">(3) Direct Installation Costs </t>
  </si>
  <si>
    <t>Biogas Higher Heating Value (HHV)</t>
  </si>
  <si>
    <r>
      <t>Btu/ft</t>
    </r>
    <r>
      <rPr>
        <vertAlign val="superscript"/>
        <sz val="11"/>
        <color indexed="8"/>
        <rFont val="Times New Roman"/>
        <family val="1"/>
      </rPr>
      <t>3</t>
    </r>
  </si>
  <si>
    <t>(a) Siloxane Monitor</t>
  </si>
  <si>
    <t>(b) Startup and Performance Testing</t>
  </si>
  <si>
    <t xml:space="preserve">TOTAL ANNUAL COST (TAC): </t>
  </si>
  <si>
    <t xml:space="preserve">TOTAL ANNUAL COST PER kWh </t>
  </si>
  <si>
    <t xml:space="preserve">TOTAL ANNUAL COST PER MMBtu </t>
  </si>
  <si>
    <t xml:space="preserve">TOTAL ANNUAL COST PER MSCF </t>
  </si>
  <si>
    <t>Pay Rate</t>
  </si>
  <si>
    <t>Operating Hours</t>
  </si>
  <si>
    <t>LS Equation</t>
  </si>
  <si>
    <t>O&amp;M Costs (all-contaminants, ACR)</t>
  </si>
  <si>
    <t>O&amp;M Costs (siloxane-only, SOR)</t>
  </si>
  <si>
    <t>Least Squares Regression Equations</t>
  </si>
  <si>
    <t>Calculated by program</t>
  </si>
  <si>
    <t>(a) + (b) + (c) + (d) + (e) + (f)</t>
  </si>
  <si>
    <t xml:space="preserve">(a) Operator </t>
  </si>
  <si>
    <t xml:space="preserve">(b) Supervisor </t>
  </si>
  <si>
    <t>(a) + (b) + (2) + (3) + (4)</t>
  </si>
  <si>
    <t>SILOXANE-ONLY REMOVAL (SOR) SYSTEM CAPITAL AND ANNUAL COSTS CALCULATOR</t>
  </si>
  <si>
    <t>TEC + DIC</t>
  </si>
  <si>
    <t>Cost Factor Ranges</t>
  </si>
  <si>
    <t>Category</t>
  </si>
  <si>
    <t>Siloxane Level, ppmv</t>
  </si>
  <si>
    <t>Payback Years</t>
  </si>
  <si>
    <t>Moderate</t>
  </si>
  <si>
    <t>0.5 - &lt;9</t>
  </si>
  <si>
    <t>Heavy</t>
  </si>
  <si>
    <t>&gt;9 - &lt;25</t>
  </si>
  <si>
    <t>Severe</t>
  </si>
  <si>
    <t>&gt;25 - &lt;60</t>
  </si>
  <si>
    <t>Extreme</t>
  </si>
  <si>
    <t>&gt;60 - 140+</t>
  </si>
  <si>
    <t>Savings Include (based on siloxane levels)</t>
  </si>
  <si>
    <t>Spark plugs:  increase life 3x to 4x</t>
  </si>
  <si>
    <t>Exhaust heat boiler re-tube: increase life by 3x to 4x</t>
  </si>
  <si>
    <t>Power Savings / Availability:  increase of 75 to 92%</t>
  </si>
  <si>
    <t>Pre-chamber and prechamber check valve by 2x to 6x</t>
  </si>
  <si>
    <t>Assumptions-</t>
  </si>
  <si>
    <t>1.  Gas already meets engine OEM gas cleanliness standards</t>
  </si>
  <si>
    <t>2.  Lean Burn Engines</t>
  </si>
  <si>
    <t>(4) Siloxane System Periodic Testing</t>
  </si>
  <si>
    <t>(1) Siloxane Removal System Equipment Cost (SRSEC)</t>
  </si>
  <si>
    <t>Recovery Credits (RC)</t>
  </si>
  <si>
    <t>DOC + IOC-RC</t>
  </si>
  <si>
    <t>DOC + IOC - RC</t>
  </si>
  <si>
    <t>Engine Efficiency</t>
  </si>
  <si>
    <t>%</t>
  </si>
  <si>
    <t xml:space="preserve">TOTAL CAPITAL INVESTMENT (TCI): </t>
  </si>
  <si>
    <t xml:space="preserve">(3) Freight </t>
  </si>
  <si>
    <t xml:space="preserve">(4) Sales Tax </t>
  </si>
  <si>
    <t>(2) Auxiliary Equipment</t>
  </si>
  <si>
    <t>(1) + (2) + (3) + (4)</t>
  </si>
  <si>
    <t xml:space="preserve"> Capital recovery factor (CRF)</t>
  </si>
  <si>
    <t xml:space="preserve"> Interest rate</t>
  </si>
  <si>
    <t xml:space="preserve"> Annualization years</t>
  </si>
  <si>
    <t>Equipment Costs (all-contaminants removal, ACR)</t>
  </si>
  <si>
    <t>Equipment Costs (siloxane-only removal, SOR)</t>
  </si>
  <si>
    <t xml:space="preserve">Removal System Cost ($) </t>
  </si>
  <si>
    <t>ALL-CONTAMINANTS REMOVAL (ACR) SYSTEM CAPITAL AND ANNUAL COSTS CALCULATOR</t>
  </si>
  <si>
    <t>Engine re-build from 5,000 to 40,000 hours</t>
  </si>
  <si>
    <t>Oil changes increase interval:  500 to 1,440 hours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</si>
</sst>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"/>
    <numFmt numFmtId="167" formatCode="#,##0.0_);\(#,##0.0\)"/>
    <numFmt numFmtId="168" formatCode="#,##0.000_);\(#,##0.000\)"/>
    <numFmt numFmtId="169" formatCode="&quot;$&quot;#,##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7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37" fontId="47" fillId="0" borderId="10" xfId="42" applyNumberFormat="1" applyFont="1" applyFill="1" applyBorder="1" applyAlignment="1">
      <alignment horizontal="center" wrapText="1"/>
    </xf>
    <xf numFmtId="37" fontId="48" fillId="0" borderId="10" xfId="42" applyNumberFormat="1" applyFont="1" applyFill="1" applyBorder="1" applyAlignment="1">
      <alignment horizontal="center" wrapText="1"/>
    </xf>
    <xf numFmtId="37" fontId="4" fillId="0" borderId="10" xfId="42" applyNumberFormat="1" applyFont="1" applyFill="1" applyBorder="1" applyAlignment="1">
      <alignment horizontal="center" wrapText="1"/>
    </xf>
    <xf numFmtId="164" fontId="47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 horizontal="left" indent="2"/>
    </xf>
    <xf numFmtId="0" fontId="47" fillId="0" borderId="10" xfId="0" applyFont="1" applyBorder="1" applyAlignment="1" quotePrefix="1">
      <alignment horizontal="center"/>
    </xf>
    <xf numFmtId="0" fontId="47" fillId="0" borderId="10" xfId="0" applyFont="1" applyBorder="1" applyAlignment="1">
      <alignment horizontal="left" indent="2"/>
    </xf>
    <xf numFmtId="2" fontId="47" fillId="0" borderId="0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 quotePrefix="1">
      <alignment horizontal="center"/>
    </xf>
    <xf numFmtId="17" fontId="47" fillId="0" borderId="10" xfId="0" applyNumberFormat="1" applyFont="1" applyBorder="1" applyAlignment="1" quotePrefix="1">
      <alignment horizontal="center"/>
    </xf>
    <xf numFmtId="2" fontId="47" fillId="0" borderId="10" xfId="0" applyNumberFormat="1" applyFont="1" applyBorder="1" applyAlignment="1" quotePrefix="1">
      <alignment horizontal="center"/>
    </xf>
    <xf numFmtId="0" fontId="47" fillId="0" borderId="0" xfId="0" applyFont="1" applyBorder="1" applyAlignment="1" quotePrefix="1">
      <alignment horizontal="center"/>
    </xf>
    <xf numFmtId="164" fontId="48" fillId="0" borderId="10" xfId="59" applyNumberFormat="1" applyFont="1" applyFill="1" applyBorder="1" applyAlignment="1">
      <alignment horizontal="center" wrapText="1"/>
    </xf>
    <xf numFmtId="164" fontId="47" fillId="0" borderId="10" xfId="59" applyNumberFormat="1" applyFont="1" applyFill="1" applyBorder="1" applyAlignment="1">
      <alignment horizontal="center" wrapText="1"/>
    </xf>
    <xf numFmtId="0" fontId="47" fillId="0" borderId="11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3" fontId="47" fillId="0" borderId="10" xfId="42" applyNumberFormat="1" applyFont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164" fontId="47" fillId="0" borderId="15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7" fontId="4" fillId="0" borderId="0" xfId="42" applyNumberFormat="1" applyFont="1" applyFill="1" applyBorder="1" applyAlignment="1">
      <alignment horizontal="center" wrapText="1"/>
    </xf>
    <xf numFmtId="9" fontId="4" fillId="0" borderId="0" xfId="59" applyFont="1" applyFill="1" applyBorder="1" applyAlignment="1">
      <alignment horizontal="center" wrapText="1"/>
    </xf>
    <xf numFmtId="164" fontId="4" fillId="0" borderId="0" xfId="59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37" fontId="47" fillId="0" borderId="0" xfId="42" applyNumberFormat="1" applyFont="1" applyFill="1" applyBorder="1" applyAlignment="1">
      <alignment horizontal="center" wrapText="1"/>
    </xf>
    <xf numFmtId="2" fontId="47" fillId="0" borderId="0" xfId="0" applyNumberFormat="1" applyFont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165" fontId="4" fillId="0" borderId="0" xfId="59" applyNumberFormat="1" applyFont="1" applyFill="1" applyBorder="1" applyAlignment="1">
      <alignment horizontal="center" wrapText="1"/>
    </xf>
    <xf numFmtId="1" fontId="4" fillId="0" borderId="0" xfId="59" applyNumberFormat="1" applyFont="1" applyFill="1" applyBorder="1" applyAlignment="1">
      <alignment horizontal="center" wrapText="1"/>
    </xf>
    <xf numFmtId="168" fontId="47" fillId="0" borderId="0" xfId="42" applyNumberFormat="1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center" wrapText="1"/>
    </xf>
    <xf numFmtId="167" fontId="47" fillId="0" borderId="0" xfId="42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2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 wrapText="1"/>
    </xf>
    <xf numFmtId="17" fontId="47" fillId="0" borderId="0" xfId="0" applyNumberFormat="1" applyFont="1" applyBorder="1" applyAlignment="1" quotePrefix="1">
      <alignment horizontal="center"/>
    </xf>
    <xf numFmtId="2" fontId="47" fillId="0" borderId="0" xfId="0" applyNumberFormat="1" applyFont="1" applyFill="1" applyBorder="1" applyAlignment="1" quotePrefix="1">
      <alignment horizontal="center"/>
    </xf>
    <xf numFmtId="2" fontId="47" fillId="0" borderId="0" xfId="0" applyNumberFormat="1" applyFont="1" applyBorder="1" applyAlignment="1" quotePrefix="1">
      <alignment horizontal="center"/>
    </xf>
    <xf numFmtId="164" fontId="51" fillId="0" borderId="10" xfId="59" applyNumberFormat="1" applyFont="1" applyFill="1" applyBorder="1" applyAlignment="1">
      <alignment horizontal="center" wrapText="1"/>
    </xf>
    <xf numFmtId="164" fontId="51" fillId="0" borderId="10" xfId="0" applyNumberFormat="1" applyFont="1" applyFill="1" applyBorder="1" applyAlignment="1">
      <alignment horizontal="center" wrapText="1"/>
    </xf>
    <xf numFmtId="1" fontId="51" fillId="0" borderId="10" xfId="0" applyNumberFormat="1" applyFont="1" applyFill="1" applyBorder="1" applyAlignment="1">
      <alignment horizontal="center" wrapText="1"/>
    </xf>
    <xf numFmtId="1" fontId="47" fillId="0" borderId="10" xfId="0" applyNumberFormat="1" applyFont="1" applyFill="1" applyBorder="1" applyAlignment="1">
      <alignment horizontal="center" wrapText="1"/>
    </xf>
    <xf numFmtId="164" fontId="50" fillId="0" borderId="10" xfId="59" applyNumberFormat="1" applyFont="1" applyFill="1" applyBorder="1" applyAlignment="1">
      <alignment horizontal="center" wrapText="1"/>
    </xf>
    <xf numFmtId="169" fontId="51" fillId="0" borderId="10" xfId="59" applyNumberFormat="1" applyFont="1" applyFill="1" applyBorder="1" applyAlignment="1">
      <alignment horizontal="center" wrapText="1"/>
    </xf>
    <xf numFmtId="1" fontId="47" fillId="0" borderId="10" xfId="59" applyNumberFormat="1" applyFont="1" applyFill="1" applyBorder="1" applyAlignment="1">
      <alignment horizontal="center" wrapText="1"/>
    </xf>
    <xf numFmtId="165" fontId="51" fillId="0" borderId="10" xfId="59" applyNumberFormat="1" applyFont="1" applyFill="1" applyBorder="1" applyAlignment="1">
      <alignment horizontal="center" wrapText="1"/>
    </xf>
    <xf numFmtId="1" fontId="51" fillId="0" borderId="10" xfId="59" applyNumberFormat="1" applyFont="1" applyFill="1" applyBorder="1" applyAlignment="1">
      <alignment horizontal="center" wrapText="1"/>
    </xf>
    <xf numFmtId="168" fontId="47" fillId="0" borderId="10" xfId="42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170" fontId="0" fillId="0" borderId="0" xfId="42" applyNumberFormat="1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3" fontId="51" fillId="0" borderId="20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left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24" xfId="59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2" xfId="59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7" xfId="59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vertical="center" indent="5"/>
    </xf>
    <xf numFmtId="3" fontId="51" fillId="0" borderId="10" xfId="0" applyNumberFormat="1" applyFont="1" applyBorder="1" applyAlignment="1">
      <alignment horizontal="center" vertical="center" wrapText="1"/>
    </xf>
    <xf numFmtId="3" fontId="51" fillId="0" borderId="10" xfId="4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50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50" fillId="0" borderId="11" xfId="0" applyFont="1" applyFill="1" applyBorder="1" applyAlignment="1">
      <alignment horizontal="left" wrapText="1" indent="1"/>
    </xf>
    <xf numFmtId="37" fontId="4" fillId="0" borderId="12" xfId="42" applyNumberFormat="1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left" wrapText="1" indent="1"/>
    </xf>
    <xf numFmtId="164" fontId="4" fillId="0" borderId="12" xfId="59" applyNumberFormat="1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left" wrapText="1" indent="2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left" wrapText="1" indent="3"/>
    </xf>
    <xf numFmtId="0" fontId="47" fillId="0" borderId="11" xfId="0" applyFont="1" applyFill="1" applyBorder="1" applyAlignment="1">
      <alignment horizontal="left" wrapText="1" indent="5"/>
    </xf>
    <xf numFmtId="165" fontId="4" fillId="0" borderId="12" xfId="59" applyNumberFormat="1" applyFont="1" applyFill="1" applyBorder="1" applyAlignment="1">
      <alignment horizontal="center" wrapText="1"/>
    </xf>
    <xf numFmtId="169" fontId="4" fillId="0" borderId="12" xfId="59" applyNumberFormat="1" applyFont="1" applyFill="1" applyBorder="1" applyAlignment="1">
      <alignment horizontal="center" wrapText="1"/>
    </xf>
    <xf numFmtId="1" fontId="4" fillId="0" borderId="12" xfId="59" applyNumberFormat="1" applyFont="1" applyFill="1" applyBorder="1" applyAlignment="1">
      <alignment horizontal="center" wrapText="1"/>
    </xf>
    <xf numFmtId="5" fontId="4" fillId="0" borderId="12" xfId="42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37" fontId="47" fillId="0" borderId="12" xfId="42" applyNumberFormat="1" applyFont="1" applyFill="1" applyBorder="1" applyAlignment="1">
      <alignment horizontal="center" wrapText="1"/>
    </xf>
    <xf numFmtId="168" fontId="47" fillId="0" borderId="12" xfId="42" applyNumberFormat="1" applyFont="1" applyFill="1" applyBorder="1" applyAlignment="1">
      <alignment horizontal="center" wrapText="1"/>
    </xf>
    <xf numFmtId="2" fontId="47" fillId="0" borderId="12" xfId="0" applyNumberFormat="1" applyFont="1" applyFill="1" applyBorder="1" applyAlignment="1">
      <alignment horizontal="center" wrapText="1"/>
    </xf>
    <xf numFmtId="0" fontId="5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9" fontId="47" fillId="0" borderId="14" xfId="42" applyNumberFormat="1" applyFont="1" applyFill="1" applyBorder="1" applyAlignment="1">
      <alignment horizontal="center" wrapText="1"/>
    </xf>
    <xf numFmtId="167" fontId="47" fillId="0" borderId="15" xfId="42" applyNumberFormat="1" applyFont="1" applyFill="1" applyBorder="1" applyAlignment="1">
      <alignment horizontal="center" wrapText="1"/>
    </xf>
    <xf numFmtId="9" fontId="4" fillId="0" borderId="12" xfId="59" applyFont="1" applyFill="1" applyBorder="1" applyAlignment="1">
      <alignment horizontal="center" wrapText="1"/>
    </xf>
    <xf numFmtId="0" fontId="47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3" fontId="51" fillId="0" borderId="20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50" fillId="0" borderId="22" xfId="0" applyFont="1" applyFill="1" applyBorder="1" applyAlignment="1">
      <alignment wrapText="1"/>
    </xf>
    <xf numFmtId="0" fontId="47" fillId="0" borderId="23" xfId="0" applyFont="1" applyFill="1" applyBorder="1" applyAlignment="1">
      <alignment wrapText="1"/>
    </xf>
    <xf numFmtId="164" fontId="47" fillId="0" borderId="23" xfId="0" applyNumberFormat="1" applyFont="1" applyFill="1" applyBorder="1" applyAlignment="1">
      <alignment horizontal="center" wrapText="1"/>
    </xf>
    <xf numFmtId="37" fontId="47" fillId="0" borderId="23" xfId="42" applyNumberFormat="1" applyFont="1" applyFill="1" applyBorder="1" applyAlignment="1">
      <alignment horizontal="center" wrapText="1"/>
    </xf>
    <xf numFmtId="37" fontId="47" fillId="0" borderId="24" xfId="42" applyNumberFormat="1" applyFont="1" applyFill="1" applyBorder="1" applyAlignment="1">
      <alignment horizontal="center" wrapText="1"/>
    </xf>
    <xf numFmtId="0" fontId="50" fillId="0" borderId="28" xfId="0" applyFont="1" applyFill="1" applyBorder="1" applyAlignment="1">
      <alignment wrapText="1"/>
    </xf>
    <xf numFmtId="0" fontId="50" fillId="0" borderId="29" xfId="0" applyFont="1" applyFill="1" applyBorder="1" applyAlignment="1">
      <alignment wrapText="1"/>
    </xf>
    <xf numFmtId="0" fontId="50" fillId="0" borderId="13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wrapText="1"/>
    </xf>
    <xf numFmtId="169" fontId="51" fillId="0" borderId="14" xfId="59" applyNumberFormat="1" applyFont="1" applyFill="1" applyBorder="1" applyAlignment="1">
      <alignment horizontal="center" wrapText="1"/>
    </xf>
    <xf numFmtId="37" fontId="4" fillId="0" borderId="14" xfId="42" applyNumberFormat="1" applyFont="1" applyFill="1" applyBorder="1" applyAlignment="1">
      <alignment horizontal="center" wrapText="1"/>
    </xf>
    <xf numFmtId="5" fontId="4" fillId="0" borderId="15" xfId="42" applyNumberFormat="1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  <xf numFmtId="164" fontId="50" fillId="0" borderId="29" xfId="0" applyNumberFormat="1" applyFont="1" applyFill="1" applyBorder="1" applyAlignment="1">
      <alignment horizontal="center" wrapText="1"/>
    </xf>
    <xf numFmtId="164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left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2</xdr:row>
      <xdr:rowOff>38100</xdr:rowOff>
    </xdr:from>
    <xdr:to>
      <xdr:col>19</xdr:col>
      <xdr:colOff>552450</xdr:colOff>
      <xdr:row>29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438150"/>
          <a:ext cx="7153275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29</xdr:row>
      <xdr:rowOff>57150</xdr:rowOff>
    </xdr:from>
    <xdr:to>
      <xdr:col>20</xdr:col>
      <xdr:colOff>276225</xdr:colOff>
      <xdr:row>58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5629275"/>
          <a:ext cx="772477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76"/>
  <sheetViews>
    <sheetView showGridLines="0" zoomScalePageLayoutView="0" workbookViewId="0" topLeftCell="A1">
      <selection activeCell="I10" sqref="I10"/>
    </sheetView>
  </sheetViews>
  <sheetFormatPr defaultColWidth="9.140625" defaultRowHeight="15"/>
  <cols>
    <col min="1" max="1" width="60.28125" style="0" customWidth="1"/>
    <col min="2" max="2" width="0.9921875" style="0" customWidth="1"/>
    <col min="3" max="3" width="58.28125" style="10" customWidth="1"/>
    <col min="4" max="4" width="32.7109375" style="11" customWidth="1"/>
    <col min="5" max="5" width="12.7109375" style="11" customWidth="1"/>
    <col min="6" max="6" width="18.7109375" style="7" customWidth="1"/>
    <col min="7" max="7" width="12.7109375" style="7" customWidth="1"/>
    <col min="8" max="8" width="0.85546875" style="11" customWidth="1"/>
    <col min="9" max="9" width="9.140625" style="0" customWidth="1"/>
    <col min="10" max="10" width="5.00390625" style="0" customWidth="1"/>
  </cols>
  <sheetData>
    <row r="1" ht="24.75" customHeight="1"/>
    <row r="2" ht="15"/>
    <row r="3" ht="6" customHeight="1" thickBot="1"/>
    <row r="4" spans="3:11" ht="19.5" thickBot="1">
      <c r="C4" s="41"/>
      <c r="D4" s="42" t="s">
        <v>31</v>
      </c>
      <c r="E4" s="43" t="s">
        <v>29</v>
      </c>
      <c r="J4" s="7"/>
      <c r="K4" s="7"/>
    </row>
    <row r="5" spans="3:11" ht="19.5" thickBot="1">
      <c r="C5" s="40" t="s">
        <v>98</v>
      </c>
      <c r="D5" s="135">
        <v>1000</v>
      </c>
      <c r="E5" s="136" t="s">
        <v>30</v>
      </c>
      <c r="J5" s="7"/>
      <c r="K5" s="7"/>
    </row>
    <row r="6" spans="3:11" ht="18">
      <c r="C6" s="33" t="s">
        <v>100</v>
      </c>
      <c r="D6" s="102">
        <v>500</v>
      </c>
      <c r="E6" s="34" t="s">
        <v>101</v>
      </c>
      <c r="J6" s="7"/>
      <c r="K6" s="7"/>
    </row>
    <row r="7" spans="3:11" ht="15">
      <c r="C7" s="137" t="s">
        <v>146</v>
      </c>
      <c r="D7" s="103">
        <v>32</v>
      </c>
      <c r="E7" s="34" t="s">
        <v>147</v>
      </c>
      <c r="J7" s="7"/>
      <c r="K7" s="7"/>
    </row>
    <row r="8" spans="3:11" ht="15">
      <c r="C8" s="33" t="s">
        <v>58</v>
      </c>
      <c r="D8" s="35">
        <f>D9*0.35562*500/D6*31.9831/D7</f>
        <v>999.9999999999998</v>
      </c>
      <c r="E8" s="34" t="s">
        <v>30</v>
      </c>
      <c r="J8" s="7"/>
      <c r="K8" s="7"/>
    </row>
    <row r="9" spans="3:11" ht="15">
      <c r="C9" s="33" t="s">
        <v>34</v>
      </c>
      <c r="D9" s="36">
        <f>D10*0.7457</f>
        <v>2813.476193868162</v>
      </c>
      <c r="E9" s="34" t="s">
        <v>35</v>
      </c>
      <c r="J9" s="7"/>
      <c r="K9" s="7"/>
    </row>
    <row r="10" spans="3:11" ht="15.75" thickBot="1">
      <c r="C10" s="37" t="s">
        <v>34</v>
      </c>
      <c r="D10" s="38">
        <f>IF(E5=E8,D5/0.7457/(0.35562*31.9831/D7*500/D6),IF(E5=E9,D5/0.7457,IF(E5=E10,D5,NA())))*1</f>
        <v>3772.9330747863246</v>
      </c>
      <c r="E10" s="39" t="s">
        <v>63</v>
      </c>
      <c r="J10" s="7"/>
      <c r="K10" s="7"/>
    </row>
    <row r="11" ht="6" customHeight="1"/>
    <row r="12" ht="6" customHeight="1" thickBot="1"/>
    <row r="13" spans="1:7" ht="15.75" customHeight="1" thickBot="1">
      <c r="A13" s="7"/>
      <c r="B13" s="7"/>
      <c r="C13" s="157" t="s">
        <v>119</v>
      </c>
      <c r="D13" s="158"/>
      <c r="E13" s="158"/>
      <c r="F13" s="158"/>
      <c r="G13" s="159"/>
    </row>
    <row r="14" spans="3:8" ht="29.25">
      <c r="C14" s="143" t="s">
        <v>0</v>
      </c>
      <c r="D14" s="144" t="s">
        <v>1</v>
      </c>
      <c r="E14" s="152" t="s">
        <v>2</v>
      </c>
      <c r="F14" s="150" t="s">
        <v>64</v>
      </c>
      <c r="G14" s="151" t="s">
        <v>96</v>
      </c>
      <c r="H14" s="51"/>
    </row>
    <row r="15" spans="3:8" ht="15">
      <c r="C15" s="106" t="s">
        <v>3</v>
      </c>
      <c r="D15" s="9"/>
      <c r="E15" s="15"/>
      <c r="F15" s="9"/>
      <c r="G15" s="107"/>
      <c r="H15" s="6"/>
    </row>
    <row r="16" spans="3:8" ht="15">
      <c r="C16" s="105" t="s">
        <v>142</v>
      </c>
      <c r="D16" s="9" t="s">
        <v>114</v>
      </c>
      <c r="E16" s="69"/>
      <c r="F16" s="14">
        <f>$D$8^('Factors&amp;Regression equations'!$E$5)*'Factors&amp;Regression equations'!$D$5</f>
        <v>467585.9549737479</v>
      </c>
      <c r="G16" s="109"/>
      <c r="H16" s="44"/>
    </row>
    <row r="17" spans="3:8" ht="15">
      <c r="C17" s="112" t="s">
        <v>151</v>
      </c>
      <c r="D17" s="9" t="str">
        <f>100*E17&amp;"% of equipment cost (SRSEC)"</f>
        <v>5% of equipment cost (SRSEC)</v>
      </c>
      <c r="E17" s="66">
        <v>0.05</v>
      </c>
      <c r="F17" s="12">
        <f>$F$16*E17</f>
        <v>23379.297748687397</v>
      </c>
      <c r="G17" s="131">
        <v>0.05</v>
      </c>
      <c r="H17" s="44"/>
    </row>
    <row r="18" spans="3:8" ht="15">
      <c r="C18" s="112" t="s">
        <v>149</v>
      </c>
      <c r="D18" s="9" t="str">
        <f>100*E18&amp;"% of SRSEC"</f>
        <v>5% of SRSEC</v>
      </c>
      <c r="E18" s="66">
        <v>0.05</v>
      </c>
      <c r="F18" s="12">
        <f>$F$16*E18</f>
        <v>23379.297748687397</v>
      </c>
      <c r="G18" s="111">
        <v>0.05</v>
      </c>
      <c r="H18" s="45"/>
    </row>
    <row r="19" spans="3:8" ht="15">
      <c r="C19" s="112" t="s">
        <v>150</v>
      </c>
      <c r="D19" s="9" t="str">
        <f>100*E19&amp;"% of (SRSEC+auxiliary+freight)"</f>
        <v>10% of (SRSEC+auxiliary+freight)</v>
      </c>
      <c r="E19" s="66">
        <v>0.1</v>
      </c>
      <c r="F19" s="12">
        <f>$F$16*E19</f>
        <v>46758.595497374794</v>
      </c>
      <c r="G19" s="111">
        <v>0.1</v>
      </c>
      <c r="H19" s="45"/>
    </row>
    <row r="20" spans="3:8" ht="15">
      <c r="C20" s="112" t="s">
        <v>55</v>
      </c>
      <c r="D20" s="9" t="s">
        <v>152</v>
      </c>
      <c r="E20" s="66"/>
      <c r="F20" s="12">
        <f>SUM(F$16:F$19)</f>
        <v>561103.1459684975</v>
      </c>
      <c r="G20" s="111"/>
      <c r="H20" s="45"/>
    </row>
    <row r="21" spans="3:8" ht="6" customHeight="1">
      <c r="C21" s="112"/>
      <c r="D21" s="9"/>
      <c r="E21" s="66"/>
      <c r="F21" s="12"/>
      <c r="G21" s="111"/>
      <c r="H21" s="45"/>
    </row>
    <row r="22" spans="3:8" ht="15">
      <c r="C22" s="112" t="s">
        <v>99</v>
      </c>
      <c r="D22" s="9"/>
      <c r="E22" s="66"/>
      <c r="F22" s="12" t="s">
        <v>4</v>
      </c>
      <c r="G22" s="111"/>
      <c r="H22" s="45"/>
    </row>
    <row r="23" spans="3:8" ht="15">
      <c r="C23" s="112" t="s">
        <v>5</v>
      </c>
      <c r="D23" s="9" t="str">
        <f aca="true" t="shared" si="0" ref="D23:D28">100*E23&amp;"% of TEC"</f>
        <v>8% of TEC</v>
      </c>
      <c r="E23" s="66">
        <v>0.08</v>
      </c>
      <c r="F23" s="12">
        <f aca="true" t="shared" si="1" ref="F23:F28">F$20*E23</f>
        <v>44888.2516774798</v>
      </c>
      <c r="G23" s="111">
        <v>0.08</v>
      </c>
      <c r="H23" s="45"/>
    </row>
    <row r="24" spans="3:8" ht="15">
      <c r="C24" s="112" t="s">
        <v>6</v>
      </c>
      <c r="D24" s="9" t="str">
        <f t="shared" si="0"/>
        <v>14% of TEC</v>
      </c>
      <c r="E24" s="66">
        <v>0.14</v>
      </c>
      <c r="F24" s="12">
        <f t="shared" si="1"/>
        <v>78554.44043558965</v>
      </c>
      <c r="G24" s="111">
        <v>0.14</v>
      </c>
      <c r="H24" s="45"/>
    </row>
    <row r="25" spans="3:8" ht="15">
      <c r="C25" s="112" t="s">
        <v>7</v>
      </c>
      <c r="D25" s="9" t="str">
        <f t="shared" si="0"/>
        <v>4% of TEC</v>
      </c>
      <c r="E25" s="66">
        <v>0.04</v>
      </c>
      <c r="F25" s="12">
        <f t="shared" si="1"/>
        <v>22444.1258387399</v>
      </c>
      <c r="G25" s="111">
        <v>0.04</v>
      </c>
      <c r="H25" s="45"/>
    </row>
    <row r="26" spans="3:8" ht="15">
      <c r="C26" s="112" t="s">
        <v>8</v>
      </c>
      <c r="D26" s="9" t="str">
        <f t="shared" si="0"/>
        <v>2% of TEC</v>
      </c>
      <c r="E26" s="66">
        <v>0.02</v>
      </c>
      <c r="F26" s="12">
        <f t="shared" si="1"/>
        <v>11222.06291936995</v>
      </c>
      <c r="G26" s="111">
        <v>0.02</v>
      </c>
      <c r="H26" s="45"/>
    </row>
    <row r="27" spans="3:8" ht="15">
      <c r="C27" s="112" t="s">
        <v>9</v>
      </c>
      <c r="D27" s="9" t="str">
        <f t="shared" si="0"/>
        <v>1% of TEC</v>
      </c>
      <c r="E27" s="66">
        <v>0.01</v>
      </c>
      <c r="F27" s="12">
        <f t="shared" si="1"/>
        <v>5611.031459684975</v>
      </c>
      <c r="G27" s="111">
        <v>0.01</v>
      </c>
      <c r="H27" s="45"/>
    </row>
    <row r="28" spans="3:8" ht="15">
      <c r="C28" s="112" t="s">
        <v>57</v>
      </c>
      <c r="D28" s="9" t="str">
        <f t="shared" si="0"/>
        <v>1% of TEC</v>
      </c>
      <c r="E28" s="66">
        <v>0.01</v>
      </c>
      <c r="F28" s="12">
        <f t="shared" si="1"/>
        <v>5611.031459684975</v>
      </c>
      <c r="G28" s="111">
        <v>0.01</v>
      </c>
      <c r="H28" s="44"/>
    </row>
    <row r="29" spans="3:8" ht="15">
      <c r="C29" s="112" t="s">
        <v>56</v>
      </c>
      <c r="D29" s="9" t="s">
        <v>115</v>
      </c>
      <c r="E29" s="66"/>
      <c r="F29" s="12">
        <f>SUM(F$23:F$28)</f>
        <v>168330.94379054927</v>
      </c>
      <c r="G29" s="109"/>
      <c r="H29" s="44"/>
    </row>
    <row r="30" spans="3:8" ht="15">
      <c r="C30" s="105" t="s">
        <v>10</v>
      </c>
      <c r="D30" s="9" t="s">
        <v>120</v>
      </c>
      <c r="E30" s="66"/>
      <c r="F30" s="12">
        <f>F20+F29</f>
        <v>729434.0897590468</v>
      </c>
      <c r="G30" s="109"/>
      <c r="H30" s="44"/>
    </row>
    <row r="31" spans="3:8" ht="6" customHeight="1">
      <c r="C31" s="105"/>
      <c r="D31" s="9"/>
      <c r="E31" s="66"/>
      <c r="F31" s="12"/>
      <c r="G31" s="109"/>
      <c r="H31" s="44"/>
    </row>
    <row r="32" spans="3:8" ht="15">
      <c r="C32" s="106" t="s">
        <v>33</v>
      </c>
      <c r="D32" s="9"/>
      <c r="E32" s="66"/>
      <c r="F32" s="12" t="s">
        <v>4</v>
      </c>
      <c r="G32" s="109"/>
      <c r="H32" s="44"/>
    </row>
    <row r="33" spans="3:8" ht="15">
      <c r="C33" s="112" t="s">
        <v>94</v>
      </c>
      <c r="D33" s="9"/>
      <c r="E33" s="66"/>
      <c r="F33" s="12" t="s">
        <v>4</v>
      </c>
      <c r="G33" s="109"/>
      <c r="H33" s="44"/>
    </row>
    <row r="34" spans="3:8" ht="15">
      <c r="C34" s="112" t="s">
        <v>11</v>
      </c>
      <c r="D34" s="9" t="str">
        <f>100*E34&amp;"% of TEC"</f>
        <v>5% of TEC</v>
      </c>
      <c r="E34" s="66">
        <v>0.05</v>
      </c>
      <c r="F34" s="12">
        <f>F$20*E34</f>
        <v>28055.157298424878</v>
      </c>
      <c r="G34" s="111">
        <v>0.05</v>
      </c>
      <c r="H34" s="46"/>
    </row>
    <row r="35" spans="3:8" ht="15">
      <c r="C35" s="112" t="s">
        <v>12</v>
      </c>
      <c r="D35" s="9" t="str">
        <f>100*E35&amp;"% of TEC"</f>
        <v>10% of TEC</v>
      </c>
      <c r="E35" s="66">
        <v>0.1</v>
      </c>
      <c r="F35" s="12">
        <f>F$20*E35</f>
        <v>56110.314596849756</v>
      </c>
      <c r="G35" s="111">
        <v>0.1</v>
      </c>
      <c r="H35" s="46"/>
    </row>
    <row r="36" spans="3:8" ht="15">
      <c r="C36" s="112" t="s">
        <v>13</v>
      </c>
      <c r="D36" s="9" t="str">
        <f>100*E36&amp;"% of TEC"</f>
        <v>10% of TEC</v>
      </c>
      <c r="E36" s="66">
        <v>0.1</v>
      </c>
      <c r="F36" s="12">
        <f>F$20*E36</f>
        <v>56110.314596849756</v>
      </c>
      <c r="G36" s="111">
        <v>0.1</v>
      </c>
      <c r="H36" s="46"/>
    </row>
    <row r="37" spans="3:8" ht="15">
      <c r="C37" s="112" t="s">
        <v>95</v>
      </c>
      <c r="D37" s="9"/>
      <c r="E37" s="70"/>
      <c r="F37" s="12"/>
      <c r="G37" s="109"/>
      <c r="H37" s="44"/>
    </row>
    <row r="38" spans="3:8" ht="15">
      <c r="C38" s="112" t="s">
        <v>102</v>
      </c>
      <c r="D38" s="9" t="s">
        <v>14</v>
      </c>
      <c r="E38" s="71">
        <v>75000</v>
      </c>
      <c r="F38" s="14">
        <f>E38</f>
        <v>75000</v>
      </c>
      <c r="G38" s="109">
        <v>75000</v>
      </c>
      <c r="H38" s="44"/>
    </row>
    <row r="39" spans="3:8" ht="15">
      <c r="C39" s="112" t="s">
        <v>103</v>
      </c>
      <c r="D39" s="9" t="str">
        <f>100*E39&amp;"% of TEC"</f>
        <v>1% of TEC</v>
      </c>
      <c r="E39" s="66">
        <v>0.01</v>
      </c>
      <c r="F39" s="14">
        <f>E39*F20</f>
        <v>5611.031459684975</v>
      </c>
      <c r="G39" s="111">
        <v>0.01</v>
      </c>
      <c r="H39" s="46"/>
    </row>
    <row r="40" spans="3:8" ht="15">
      <c r="C40" s="112" t="s">
        <v>15</v>
      </c>
      <c r="D40" s="9" t="str">
        <f>100*E40&amp;"% of TEC"</f>
        <v>1% of TEC</v>
      </c>
      <c r="E40" s="66">
        <v>0.01</v>
      </c>
      <c r="F40" s="14">
        <f>E40*F$20</f>
        <v>5611.031459684975</v>
      </c>
      <c r="G40" s="111">
        <v>0.01</v>
      </c>
      <c r="H40" s="46"/>
    </row>
    <row r="41" spans="3:8" ht="15">
      <c r="C41" s="112" t="s">
        <v>16</v>
      </c>
      <c r="D41" s="9" t="str">
        <f>100*E41&amp;"% of TEC"</f>
        <v>10% of TEC</v>
      </c>
      <c r="E41" s="66">
        <v>0.1</v>
      </c>
      <c r="F41" s="12">
        <f>E41*F$20</f>
        <v>56110.314596849756</v>
      </c>
      <c r="G41" s="111">
        <v>0.1</v>
      </c>
      <c r="H41" s="46"/>
    </row>
    <row r="42" spans="3:8" ht="15">
      <c r="C42" s="105" t="s">
        <v>17</v>
      </c>
      <c r="D42" s="9" t="s">
        <v>93</v>
      </c>
      <c r="E42" s="66"/>
      <c r="F42" s="12">
        <f>SUM(F34:F36,F38:F41)</f>
        <v>282608.16400834406</v>
      </c>
      <c r="G42" s="111"/>
      <c r="H42" s="46"/>
    </row>
    <row r="43" spans="3:8" ht="6" customHeight="1">
      <c r="C43" s="105"/>
      <c r="D43" s="9"/>
      <c r="E43" s="66"/>
      <c r="F43" s="12"/>
      <c r="G43" s="111"/>
      <c r="H43" s="46"/>
    </row>
    <row r="44" spans="3:8" ht="15">
      <c r="C44" s="114" t="s">
        <v>18</v>
      </c>
      <c r="D44" s="9" t="str">
        <f>100*E44&amp;"% of (DCC+ICC)"</f>
        <v>15% of (DCC+ICC)</v>
      </c>
      <c r="E44" s="66">
        <v>0.15</v>
      </c>
      <c r="F44" s="12">
        <f>E$44*(F$30+F$42)</f>
        <v>151806.33806510863</v>
      </c>
      <c r="G44" s="111">
        <v>0.15</v>
      </c>
      <c r="H44" s="46"/>
    </row>
    <row r="45" spans="3:8" ht="15">
      <c r="C45" s="114" t="s">
        <v>71</v>
      </c>
      <c r="D45" s="9" t="str">
        <f>100*E45&amp;"% of TIC"</f>
        <v>0% of TIC</v>
      </c>
      <c r="E45" s="66">
        <v>0</v>
      </c>
      <c r="F45" s="12">
        <f>E45*F44</f>
        <v>0</v>
      </c>
      <c r="G45" s="111">
        <v>0</v>
      </c>
      <c r="H45" s="46"/>
    </row>
    <row r="46" spans="3:8" ht="6" customHeight="1">
      <c r="C46" s="114"/>
      <c r="D46" s="9"/>
      <c r="E46" s="31"/>
      <c r="F46" s="12"/>
      <c r="G46" s="111"/>
      <c r="H46" s="46"/>
    </row>
    <row r="47" spans="3:8" ht="30">
      <c r="C47" s="105" t="s">
        <v>148</v>
      </c>
      <c r="D47" s="9" t="s">
        <v>91</v>
      </c>
      <c r="E47" s="32"/>
      <c r="F47" s="14">
        <f>F$30+F$42+F$44+F$45</f>
        <v>1163848.5918324995</v>
      </c>
      <c r="G47" s="109"/>
      <c r="H47" s="44"/>
    </row>
    <row r="48" spans="3:8" ht="15">
      <c r="C48" s="106"/>
      <c r="D48" s="9"/>
      <c r="E48" s="32"/>
      <c r="F48" s="14"/>
      <c r="G48" s="109"/>
      <c r="H48" s="44"/>
    </row>
    <row r="49" spans="3:8" ht="15">
      <c r="C49" s="106" t="s">
        <v>28</v>
      </c>
      <c r="D49" s="9"/>
      <c r="E49" s="32"/>
      <c r="F49" s="12" t="s">
        <v>4</v>
      </c>
      <c r="G49" s="109"/>
      <c r="H49" s="44"/>
    </row>
    <row r="50" spans="3:8" ht="15">
      <c r="C50" s="112" t="s">
        <v>19</v>
      </c>
      <c r="D50" s="9"/>
      <c r="E50" s="32"/>
      <c r="F50" s="12" t="s">
        <v>4</v>
      </c>
      <c r="G50" s="109"/>
      <c r="H50" s="44"/>
    </row>
    <row r="51" spans="3:8" ht="15">
      <c r="C51" s="112" t="s">
        <v>116</v>
      </c>
      <c r="D51" s="9"/>
      <c r="E51" s="72"/>
      <c r="F51" s="14">
        <f>E54/8*E52*E53</f>
        <v>21900</v>
      </c>
      <c r="G51" s="109"/>
      <c r="H51" s="44"/>
    </row>
    <row r="52" spans="3:8" ht="15">
      <c r="C52" s="112" t="s">
        <v>66</v>
      </c>
      <c r="D52" s="9"/>
      <c r="E52" s="73">
        <v>0.5</v>
      </c>
      <c r="F52" s="13"/>
      <c r="G52" s="117">
        <v>0.5</v>
      </c>
      <c r="H52" s="52"/>
    </row>
    <row r="53" spans="3:8" ht="15">
      <c r="C53" s="112" t="s">
        <v>108</v>
      </c>
      <c r="D53" s="9"/>
      <c r="E53" s="71">
        <v>40</v>
      </c>
      <c r="F53" s="13"/>
      <c r="G53" s="118">
        <v>40</v>
      </c>
      <c r="H53" s="53"/>
    </row>
    <row r="54" spans="3:8" ht="15">
      <c r="C54" s="112" t="s">
        <v>109</v>
      </c>
      <c r="D54" s="9"/>
      <c r="E54" s="74">
        <v>8760</v>
      </c>
      <c r="F54" s="13"/>
      <c r="G54" s="119">
        <v>8760</v>
      </c>
      <c r="H54" s="53"/>
    </row>
    <row r="55" spans="3:8" ht="15">
      <c r="C55" s="112" t="s">
        <v>117</v>
      </c>
      <c r="D55" s="9" t="str">
        <f>E55*100&amp;"% of operator cost"</f>
        <v>15% of operator cost</v>
      </c>
      <c r="E55" s="66">
        <v>0.15</v>
      </c>
      <c r="F55" s="12">
        <f>E55*F51</f>
        <v>3285</v>
      </c>
      <c r="G55" s="111">
        <v>0.15</v>
      </c>
      <c r="H55" s="46"/>
    </row>
    <row r="56" spans="3:8" ht="15">
      <c r="C56" s="112" t="s">
        <v>22</v>
      </c>
      <c r="D56" s="9" t="str">
        <f>100*E56&amp;"% of TCI"</f>
        <v>1.5% of TCI</v>
      </c>
      <c r="E56" s="66">
        <v>0.015</v>
      </c>
      <c r="F56" s="12">
        <f>E56*F47</f>
        <v>17457.72887748749</v>
      </c>
      <c r="G56" s="111">
        <v>0.015</v>
      </c>
      <c r="H56" s="46"/>
    </row>
    <row r="57" spans="3:8" ht="30">
      <c r="C57" s="112" t="s">
        <v>67</v>
      </c>
      <c r="D57" s="9" t="s">
        <v>114</v>
      </c>
      <c r="E57" s="32"/>
      <c r="F57" s="14">
        <f>$D$8^('Factors&amp;Regression equations'!$E$8)*'Factors&amp;Regression equations'!$D$8</f>
        <v>32174.947183334203</v>
      </c>
      <c r="G57" s="109"/>
      <c r="H57" s="44"/>
    </row>
    <row r="58" spans="3:8" ht="15">
      <c r="C58" s="112" t="s">
        <v>141</v>
      </c>
      <c r="D58" s="9" t="s">
        <v>65</v>
      </c>
      <c r="E58" s="71">
        <v>24000</v>
      </c>
      <c r="F58" s="14">
        <f>E58</f>
        <v>24000</v>
      </c>
      <c r="G58" s="120">
        <v>24000</v>
      </c>
      <c r="H58" s="44"/>
    </row>
    <row r="59" spans="3:8" ht="15">
      <c r="C59" s="105" t="s">
        <v>23</v>
      </c>
      <c r="D59" s="9" t="s">
        <v>118</v>
      </c>
      <c r="E59" s="32"/>
      <c r="F59" s="12">
        <f>SUM(F$51:F$58)</f>
        <v>98817.67606082169</v>
      </c>
      <c r="G59" s="109"/>
      <c r="H59" s="44"/>
    </row>
    <row r="60" spans="3:8" ht="6" customHeight="1">
      <c r="C60" s="105"/>
      <c r="D60" s="9"/>
      <c r="E60" s="32"/>
      <c r="F60" s="12"/>
      <c r="G60" s="109"/>
      <c r="H60" s="44"/>
    </row>
    <row r="61" spans="3:8" ht="15">
      <c r="C61" s="106" t="s">
        <v>32</v>
      </c>
      <c r="D61" s="9"/>
      <c r="E61" s="32"/>
      <c r="F61" s="12" t="s">
        <v>4</v>
      </c>
      <c r="G61" s="109"/>
      <c r="H61" s="44"/>
    </row>
    <row r="62" spans="3:8" ht="30">
      <c r="C62" s="112" t="s">
        <v>24</v>
      </c>
      <c r="D62" s="9" t="str">
        <f>100*E62&amp;"% of (operator labor (1) + maintenance (2))"</f>
        <v>60% of (operator labor (1) + maintenance (2))</v>
      </c>
      <c r="E62" s="66">
        <v>0.6</v>
      </c>
      <c r="F62" s="12">
        <f>SUM(F$51:F$56)*E$62</f>
        <v>25585.637326492495</v>
      </c>
      <c r="G62" s="111">
        <v>0.6</v>
      </c>
      <c r="H62" s="46"/>
    </row>
    <row r="63" spans="3:8" ht="15">
      <c r="C63" s="112" t="s">
        <v>25</v>
      </c>
      <c r="D63" s="9" t="str">
        <f>100*E63&amp;"% of total capital investment"</f>
        <v>1% of total capital investment</v>
      </c>
      <c r="E63" s="66">
        <v>0.01</v>
      </c>
      <c r="F63" s="12">
        <f>E$63*F$47</f>
        <v>11638.485918324996</v>
      </c>
      <c r="G63" s="111">
        <v>0.01</v>
      </c>
      <c r="H63" s="46"/>
    </row>
    <row r="64" spans="3:8" ht="15">
      <c r="C64" s="112" t="s">
        <v>26</v>
      </c>
      <c r="D64" s="9" t="str">
        <f>100*E64&amp;"% of total capital investment"</f>
        <v>1% of total capital investment</v>
      </c>
      <c r="E64" s="66">
        <v>0.01</v>
      </c>
      <c r="F64" s="12">
        <f>E$64*F$47</f>
        <v>11638.485918324996</v>
      </c>
      <c r="G64" s="111">
        <v>0.01</v>
      </c>
      <c r="H64" s="46"/>
    </row>
    <row r="65" spans="3:8" ht="15">
      <c r="C65" s="112" t="s">
        <v>27</v>
      </c>
      <c r="D65" s="9" t="str">
        <f>100*E65&amp;"% of total capital investment"</f>
        <v>2% of total capital investment</v>
      </c>
      <c r="E65" s="66">
        <v>0.02</v>
      </c>
      <c r="F65" s="12">
        <f>E$65*F$47</f>
        <v>23276.97183664999</v>
      </c>
      <c r="G65" s="111">
        <v>0.02</v>
      </c>
      <c r="H65" s="46"/>
    </row>
    <row r="66" spans="3:10" ht="15">
      <c r="C66" s="112" t="s">
        <v>69</v>
      </c>
      <c r="D66" s="9" t="s">
        <v>92</v>
      </c>
      <c r="E66" s="32"/>
      <c r="F66" s="12">
        <f>D$67*F$47</f>
        <v>165732.03947694792</v>
      </c>
      <c r="G66" s="109"/>
      <c r="H66" s="44"/>
      <c r="J66" s="101"/>
    </row>
    <row r="67" spans="3:8" ht="15">
      <c r="C67" s="112" t="s">
        <v>153</v>
      </c>
      <c r="D67" s="88">
        <f>ROUND(E68*(1+E68)^E69/((1+E68)^E69-1),4)</f>
        <v>0.1424</v>
      </c>
      <c r="E67" s="121"/>
      <c r="F67" s="12"/>
      <c r="G67" s="109"/>
      <c r="H67" s="44"/>
    </row>
    <row r="68" spans="3:8" ht="15">
      <c r="C68" s="112" t="s">
        <v>154</v>
      </c>
      <c r="D68" s="9"/>
      <c r="E68" s="67">
        <v>0.07</v>
      </c>
      <c r="F68" s="12"/>
      <c r="G68" s="122">
        <v>0.07</v>
      </c>
      <c r="H68" s="47"/>
    </row>
    <row r="69" spans="3:8" ht="15">
      <c r="C69" s="112" t="s">
        <v>155</v>
      </c>
      <c r="D69" s="9"/>
      <c r="E69" s="68">
        <v>10</v>
      </c>
      <c r="F69" s="12"/>
      <c r="G69" s="123">
        <v>10</v>
      </c>
      <c r="H69" s="48"/>
    </row>
    <row r="70" spans="3:8" ht="15">
      <c r="C70" s="105" t="s">
        <v>97</v>
      </c>
      <c r="D70" s="9" t="s">
        <v>70</v>
      </c>
      <c r="E70" s="15"/>
      <c r="F70" s="12">
        <f>SUM(F62:F66)</f>
        <v>237871.6204767404</v>
      </c>
      <c r="G70" s="124"/>
      <c r="H70" s="49"/>
    </row>
    <row r="71" spans="3:8" ht="15.75" thickBot="1">
      <c r="C71" s="145" t="s">
        <v>143</v>
      </c>
      <c r="D71" s="146" t="s">
        <v>14</v>
      </c>
      <c r="E71" s="147">
        <v>0</v>
      </c>
      <c r="F71" s="148">
        <f>E71</f>
        <v>0</v>
      </c>
      <c r="G71" s="149">
        <v>0</v>
      </c>
      <c r="H71" s="49"/>
    </row>
    <row r="72" spans="3:8" ht="15">
      <c r="C72" s="138" t="s">
        <v>104</v>
      </c>
      <c r="D72" s="139" t="s">
        <v>145</v>
      </c>
      <c r="E72" s="140"/>
      <c r="F72" s="141">
        <f>F$59+F$70-F71</f>
        <v>336689.2965375621</v>
      </c>
      <c r="G72" s="142"/>
      <c r="H72" s="49"/>
    </row>
    <row r="73" spans="3:8" ht="15">
      <c r="C73" s="106" t="s">
        <v>105</v>
      </c>
      <c r="D73" s="16"/>
      <c r="E73" s="16"/>
      <c r="F73" s="75">
        <f>F$72/(D9)/(365*24)</f>
        <v>0.01366098326571413</v>
      </c>
      <c r="G73" s="125"/>
      <c r="H73" s="54"/>
    </row>
    <row r="74" spans="3:8" ht="15">
      <c r="C74" s="106" t="s">
        <v>106</v>
      </c>
      <c r="D74" s="16"/>
      <c r="E74" s="16"/>
      <c r="F74" s="76">
        <f>($F$72*10^6)/(($D$8*D6*365*24*60))</f>
        <v>1.2811617067639351</v>
      </c>
      <c r="G74" s="126"/>
      <c r="H74" s="55"/>
    </row>
    <row r="75" spans="3:8" ht="15.75" thickBot="1">
      <c r="C75" s="127" t="s">
        <v>107</v>
      </c>
      <c r="D75" s="128"/>
      <c r="E75" s="128"/>
      <c r="F75" s="129">
        <f>F$72/(D8*365*24*60/1000)</f>
        <v>0.6405808533819676</v>
      </c>
      <c r="G75" s="130"/>
      <c r="H75" s="56"/>
    </row>
    <row r="76" spans="7:8" ht="6.75" customHeight="1">
      <c r="G76" s="6"/>
      <c r="H76" s="6"/>
    </row>
  </sheetData>
  <sheetProtection/>
  <mergeCells count="1">
    <mergeCell ref="C13:G13"/>
  </mergeCells>
  <printOptions/>
  <pageMargins left="0.7" right="0.7" top="0.75" bottom="0.75" header="0.3" footer="0.3"/>
  <pageSetup fitToWidth="0" fitToHeight="1" horizontalDpi="600" verticalDpi="600" orientation="portrait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L76"/>
  <sheetViews>
    <sheetView showGridLines="0" zoomScalePageLayoutView="0" workbookViewId="0" topLeftCell="A1">
      <selection activeCell="J7" sqref="J7"/>
    </sheetView>
  </sheetViews>
  <sheetFormatPr defaultColWidth="9.140625" defaultRowHeight="15"/>
  <cols>
    <col min="1" max="1" width="1.7109375" style="0" customWidth="1"/>
    <col min="2" max="2" width="55.7109375" style="0" customWidth="1"/>
    <col min="3" max="3" width="0.71875" style="0" customWidth="1"/>
    <col min="4" max="4" width="58.28125" style="10" customWidth="1"/>
    <col min="5" max="5" width="32.7109375" style="11" customWidth="1"/>
    <col min="6" max="6" width="12.7109375" style="11" customWidth="1"/>
    <col min="7" max="7" width="18.7109375" style="7" customWidth="1"/>
    <col min="8" max="8" width="12.7109375" style="7" customWidth="1"/>
    <col min="9" max="9" width="0.85546875" style="11" customWidth="1"/>
    <col min="10" max="10" width="5.28125" style="0" customWidth="1"/>
  </cols>
  <sheetData>
    <row r="1" ht="23.25" customHeight="1"/>
    <row r="2" spans="4:8" ht="15">
      <c r="D2" s="78"/>
      <c r="G2" s="11"/>
      <c r="H2" s="11"/>
    </row>
    <row r="3" spans="4:8" ht="8.25" customHeight="1" thickBot="1">
      <c r="D3" s="78"/>
      <c r="G3" s="11"/>
      <c r="H3" s="11"/>
    </row>
    <row r="4" spans="4:8" ht="19.5" thickBot="1">
      <c r="D4" s="79"/>
      <c r="E4" s="80" t="s">
        <v>31</v>
      </c>
      <c r="F4" s="81" t="s">
        <v>29</v>
      </c>
      <c r="G4" s="11"/>
      <c r="H4" s="11"/>
    </row>
    <row r="5" spans="4:8" ht="19.5" thickBot="1">
      <c r="D5" s="82" t="s">
        <v>98</v>
      </c>
      <c r="E5" s="83">
        <v>1000</v>
      </c>
      <c r="F5" s="84" t="s">
        <v>30</v>
      </c>
      <c r="G5" s="11"/>
      <c r="H5" s="11"/>
    </row>
    <row r="6" spans="4:8" ht="18">
      <c r="D6" s="85" t="s">
        <v>100</v>
      </c>
      <c r="E6" s="86">
        <v>500</v>
      </c>
      <c r="F6" s="87" t="s">
        <v>101</v>
      </c>
      <c r="G6" s="11"/>
      <c r="H6" s="11"/>
    </row>
    <row r="7" spans="4:8" ht="15">
      <c r="D7" s="104" t="s">
        <v>146</v>
      </c>
      <c r="E7" s="103">
        <v>32</v>
      </c>
      <c r="F7" s="34" t="s">
        <v>147</v>
      </c>
      <c r="G7" s="11"/>
      <c r="H7" s="11"/>
    </row>
    <row r="8" spans="4:8" ht="15">
      <c r="D8" s="33" t="s">
        <v>58</v>
      </c>
      <c r="E8" s="35">
        <f>E9*0.35562*500/E6*31.9831/E7</f>
        <v>999.9999999999998</v>
      </c>
      <c r="F8" s="34" t="s">
        <v>30</v>
      </c>
      <c r="G8" s="11"/>
      <c r="H8" s="11"/>
    </row>
    <row r="9" spans="4:8" ht="15">
      <c r="D9" s="33" t="s">
        <v>34</v>
      </c>
      <c r="E9" s="36">
        <f>E10*0.7457</f>
        <v>2813.476193868162</v>
      </c>
      <c r="F9" s="34" t="s">
        <v>35</v>
      </c>
      <c r="G9" s="11"/>
      <c r="H9" s="11"/>
    </row>
    <row r="10" spans="4:8" ht="15.75" thickBot="1">
      <c r="D10" s="37" t="s">
        <v>34</v>
      </c>
      <c r="E10" s="38">
        <f>IF(F5=F8,E5/0.7457/(0.35562*31.9831/E7*500/E6),IF(F5=F9,E5/0.7457,IF(F5=F10,E5,NA())))*1</f>
        <v>3772.9330747863246</v>
      </c>
      <c r="F10" s="39" t="s">
        <v>63</v>
      </c>
      <c r="G10" s="11"/>
      <c r="H10" s="11"/>
    </row>
    <row r="11" spans="4:8" ht="15">
      <c r="D11" s="132"/>
      <c r="E11" s="133"/>
      <c r="F11" s="134"/>
      <c r="G11" s="11"/>
      <c r="H11" s="11"/>
    </row>
    <row r="12" spans="4:8" ht="6" customHeight="1" thickBot="1">
      <c r="D12" s="78"/>
      <c r="G12" s="11"/>
      <c r="H12" s="11"/>
    </row>
    <row r="13" spans="4:9" s="7" customFormat="1" ht="15">
      <c r="D13" s="160" t="s">
        <v>159</v>
      </c>
      <c r="E13" s="161"/>
      <c r="F13" s="161"/>
      <c r="G13" s="161"/>
      <c r="H13" s="162"/>
      <c r="I13" s="11"/>
    </row>
    <row r="14" spans="4:9" s="7" customFormat="1" ht="29.25">
      <c r="D14" s="106" t="s">
        <v>0</v>
      </c>
      <c r="E14" s="156" t="s">
        <v>1</v>
      </c>
      <c r="F14" s="153" t="s">
        <v>2</v>
      </c>
      <c r="G14" s="154" t="s">
        <v>158</v>
      </c>
      <c r="H14" s="155" t="s">
        <v>96</v>
      </c>
      <c r="I14" s="51"/>
    </row>
    <row r="15" spans="4:9" ht="15">
      <c r="D15" s="106" t="s">
        <v>3</v>
      </c>
      <c r="E15" s="9"/>
      <c r="F15" s="15"/>
      <c r="G15" s="9"/>
      <c r="H15" s="107"/>
      <c r="I15" s="6"/>
    </row>
    <row r="16" spans="4:9" ht="15">
      <c r="D16" s="108" t="s">
        <v>142</v>
      </c>
      <c r="E16" s="9" t="s">
        <v>114</v>
      </c>
      <c r="F16" s="69"/>
      <c r="G16" s="14">
        <f>($E$8*'Factors&amp;Regression equations'!$D$4+'Factors&amp;Regression equations'!$E$4)</f>
        <v>2376873.9999999995</v>
      </c>
      <c r="H16" s="109"/>
      <c r="I16" s="44"/>
    </row>
    <row r="17" spans="4:9" ht="15">
      <c r="D17" s="110" t="s">
        <v>151</v>
      </c>
      <c r="E17" s="9" t="str">
        <f>100*F17&amp;"% of equipment cost (SRSEC)"</f>
        <v>5% of equipment cost (SRSEC)</v>
      </c>
      <c r="F17" s="66">
        <v>0.05</v>
      </c>
      <c r="G17" s="12">
        <f>$G$16*F17</f>
        <v>118843.69999999998</v>
      </c>
      <c r="H17" s="131">
        <v>0.05</v>
      </c>
      <c r="I17" s="44"/>
    </row>
    <row r="18" spans="4:9" ht="15">
      <c r="D18" s="110" t="s">
        <v>149</v>
      </c>
      <c r="E18" s="9" t="str">
        <f>100*F18&amp;"% of equipment cost (SRSEC)"</f>
        <v>5% of equipment cost (SRSEC)</v>
      </c>
      <c r="F18" s="66">
        <v>0.05</v>
      </c>
      <c r="G18" s="12">
        <f>$G$16*F18</f>
        <v>118843.69999999998</v>
      </c>
      <c r="H18" s="131">
        <v>0.05</v>
      </c>
      <c r="I18" s="45"/>
    </row>
    <row r="19" spans="4:9" ht="14.25" customHeight="1">
      <c r="D19" s="110" t="s">
        <v>150</v>
      </c>
      <c r="E19" s="9" t="str">
        <f>100*F19&amp;"% of (equipment(SRSEC)+freight)"</f>
        <v>10% of (equipment(SRSEC)+freight)</v>
      </c>
      <c r="F19" s="66">
        <v>0.1</v>
      </c>
      <c r="G19" s="12">
        <f>$G$16*F19</f>
        <v>237687.39999999997</v>
      </c>
      <c r="H19" s="131">
        <v>0.1</v>
      </c>
      <c r="I19" s="45"/>
    </row>
    <row r="20" spans="4:12" ht="15">
      <c r="D20" s="112" t="s">
        <v>55</v>
      </c>
      <c r="E20" s="9" t="s">
        <v>152</v>
      </c>
      <c r="F20" s="66"/>
      <c r="G20" s="12">
        <f>SUM(G$16:G$19)</f>
        <v>2852248.8</v>
      </c>
      <c r="H20" s="131"/>
      <c r="I20" s="45"/>
      <c r="L20" s="101"/>
    </row>
    <row r="21" spans="4:9" ht="6" customHeight="1">
      <c r="D21" s="112"/>
      <c r="E21" s="9"/>
      <c r="F21" s="66"/>
      <c r="G21" s="12"/>
      <c r="H21" s="131"/>
      <c r="I21" s="45"/>
    </row>
    <row r="22" spans="4:9" ht="15">
      <c r="D22" s="112" t="s">
        <v>99</v>
      </c>
      <c r="E22" s="9"/>
      <c r="F22" s="66"/>
      <c r="G22" s="12" t="s">
        <v>4</v>
      </c>
      <c r="H22" s="131"/>
      <c r="I22" s="45"/>
    </row>
    <row r="23" spans="4:9" ht="15">
      <c r="D23" s="110" t="s">
        <v>5</v>
      </c>
      <c r="E23" s="9" t="str">
        <f aca="true" t="shared" si="0" ref="E23:E28">100*F23&amp;"% of TEC"</f>
        <v>8% of TEC</v>
      </c>
      <c r="F23" s="66">
        <v>0.08</v>
      </c>
      <c r="G23" s="12">
        <f aca="true" t="shared" si="1" ref="G23:G28">G$20*F23</f>
        <v>228179.90399999998</v>
      </c>
      <c r="H23" s="131">
        <v>0.08</v>
      </c>
      <c r="I23" s="45"/>
    </row>
    <row r="24" spans="4:9" ht="15">
      <c r="D24" s="110" t="s">
        <v>6</v>
      </c>
      <c r="E24" s="9" t="str">
        <f t="shared" si="0"/>
        <v>14% of TEC</v>
      </c>
      <c r="F24" s="66">
        <v>0.14</v>
      </c>
      <c r="G24" s="12">
        <f t="shared" si="1"/>
        <v>399314.832</v>
      </c>
      <c r="H24" s="131">
        <v>0.14</v>
      </c>
      <c r="I24" s="45"/>
    </row>
    <row r="25" spans="4:9" ht="15">
      <c r="D25" s="110" t="s">
        <v>7</v>
      </c>
      <c r="E25" s="9" t="str">
        <f t="shared" si="0"/>
        <v>4% of TEC</v>
      </c>
      <c r="F25" s="66">
        <v>0.04</v>
      </c>
      <c r="G25" s="12">
        <f t="shared" si="1"/>
        <v>114089.95199999999</v>
      </c>
      <c r="H25" s="131">
        <v>0.04</v>
      </c>
      <c r="I25" s="45"/>
    </row>
    <row r="26" spans="4:9" ht="15">
      <c r="D26" s="110" t="s">
        <v>8</v>
      </c>
      <c r="E26" s="9" t="str">
        <f t="shared" si="0"/>
        <v>2% of TEC</v>
      </c>
      <c r="F26" s="66">
        <v>0.02</v>
      </c>
      <c r="G26" s="12">
        <f t="shared" si="1"/>
        <v>57044.975999999995</v>
      </c>
      <c r="H26" s="131">
        <v>0.02</v>
      </c>
      <c r="I26" s="45"/>
    </row>
    <row r="27" spans="4:9" ht="15">
      <c r="D27" s="110" t="s">
        <v>9</v>
      </c>
      <c r="E27" s="9" t="str">
        <f t="shared" si="0"/>
        <v>1% of TEC</v>
      </c>
      <c r="F27" s="66">
        <v>0.01</v>
      </c>
      <c r="G27" s="12">
        <f t="shared" si="1"/>
        <v>28522.487999999998</v>
      </c>
      <c r="H27" s="131">
        <v>0.01</v>
      </c>
      <c r="I27" s="45"/>
    </row>
    <row r="28" spans="4:9" ht="15">
      <c r="D28" s="110" t="s">
        <v>57</v>
      </c>
      <c r="E28" s="9" t="str">
        <f t="shared" si="0"/>
        <v>1% of TEC</v>
      </c>
      <c r="F28" s="66">
        <v>0.01</v>
      </c>
      <c r="G28" s="12">
        <f t="shared" si="1"/>
        <v>28522.487999999998</v>
      </c>
      <c r="H28" s="111">
        <v>0.01</v>
      </c>
      <c r="I28" s="44"/>
    </row>
    <row r="29" spans="4:9" ht="15">
      <c r="D29" s="112" t="s">
        <v>56</v>
      </c>
      <c r="E29" s="9" t="s">
        <v>115</v>
      </c>
      <c r="F29" s="66"/>
      <c r="G29" s="12">
        <f>SUM(G$23:G$28)</f>
        <v>855674.6400000001</v>
      </c>
      <c r="H29" s="109"/>
      <c r="I29" s="44"/>
    </row>
    <row r="30" spans="4:9" ht="15">
      <c r="D30" s="105" t="s">
        <v>10</v>
      </c>
      <c r="E30" s="9" t="s">
        <v>120</v>
      </c>
      <c r="F30" s="66"/>
      <c r="G30" s="12">
        <f>G20+G29</f>
        <v>3707923.44</v>
      </c>
      <c r="H30" s="109"/>
      <c r="I30" s="44"/>
    </row>
    <row r="31" spans="4:9" ht="4.5" customHeight="1">
      <c r="D31" s="105"/>
      <c r="E31" s="9"/>
      <c r="F31" s="66"/>
      <c r="G31" s="12"/>
      <c r="H31" s="109"/>
      <c r="I31" s="44"/>
    </row>
    <row r="32" spans="4:9" ht="15">
      <c r="D32" s="106" t="s">
        <v>33</v>
      </c>
      <c r="E32" s="9"/>
      <c r="F32" s="66"/>
      <c r="G32" s="12" t="s">
        <v>4</v>
      </c>
      <c r="H32" s="109"/>
      <c r="I32" s="44"/>
    </row>
    <row r="33" spans="4:9" ht="15">
      <c r="D33" s="110" t="s">
        <v>94</v>
      </c>
      <c r="E33" s="9"/>
      <c r="F33" s="66"/>
      <c r="G33" s="12" t="s">
        <v>4</v>
      </c>
      <c r="H33" s="109"/>
      <c r="I33" s="44"/>
    </row>
    <row r="34" spans="4:9" ht="15">
      <c r="D34" s="113" t="s">
        <v>11</v>
      </c>
      <c r="E34" s="9" t="str">
        <f>100*F34&amp;"% of TEC"</f>
        <v>5% of TEC</v>
      </c>
      <c r="F34" s="66">
        <v>0.05</v>
      </c>
      <c r="G34" s="12">
        <f>G$20*F34</f>
        <v>142612.44</v>
      </c>
      <c r="H34" s="111">
        <v>0.05</v>
      </c>
      <c r="I34" s="46"/>
    </row>
    <row r="35" spans="4:9" ht="15">
      <c r="D35" s="113" t="s">
        <v>12</v>
      </c>
      <c r="E35" s="9" t="str">
        <f>100*F35&amp;"% of TEC"</f>
        <v>10% of TEC</v>
      </c>
      <c r="F35" s="66">
        <v>0.1</v>
      </c>
      <c r="G35" s="12">
        <f>G$20*F35</f>
        <v>285224.88</v>
      </c>
      <c r="H35" s="111">
        <v>0.1</v>
      </c>
      <c r="I35" s="46"/>
    </row>
    <row r="36" spans="4:9" ht="15">
      <c r="D36" s="113" t="s">
        <v>13</v>
      </c>
      <c r="E36" s="9" t="str">
        <f>100*F36&amp;"% of TEC"</f>
        <v>10% of TEC</v>
      </c>
      <c r="F36" s="66">
        <v>0.1</v>
      </c>
      <c r="G36" s="12">
        <f>G$20*F36</f>
        <v>285224.88</v>
      </c>
      <c r="H36" s="111">
        <v>0.1</v>
      </c>
      <c r="I36" s="46"/>
    </row>
    <row r="37" spans="4:9" ht="15">
      <c r="D37" s="110" t="s">
        <v>95</v>
      </c>
      <c r="E37" s="9"/>
      <c r="F37" s="70"/>
      <c r="G37" s="12"/>
      <c r="H37" s="109"/>
      <c r="I37" s="44"/>
    </row>
    <row r="38" spans="4:9" ht="15">
      <c r="D38" s="113" t="s">
        <v>102</v>
      </c>
      <c r="E38" s="9" t="s">
        <v>14</v>
      </c>
      <c r="F38" s="71">
        <v>75000</v>
      </c>
      <c r="G38" s="14">
        <f>F38</f>
        <v>75000</v>
      </c>
      <c r="H38" s="118">
        <v>75000</v>
      </c>
      <c r="I38" s="44"/>
    </row>
    <row r="39" spans="4:9" ht="15">
      <c r="D39" s="113" t="s">
        <v>103</v>
      </c>
      <c r="E39" s="9" t="str">
        <f>100*F39&amp;"% of TEC"</f>
        <v>1% of TEC</v>
      </c>
      <c r="F39" s="66">
        <v>0.01</v>
      </c>
      <c r="G39" s="14">
        <f>F39*G$20</f>
        <v>28522.487999999998</v>
      </c>
      <c r="H39" s="111">
        <v>0.01</v>
      </c>
      <c r="I39" s="46"/>
    </row>
    <row r="40" spans="4:9" ht="15">
      <c r="D40" s="113" t="s">
        <v>15</v>
      </c>
      <c r="E40" s="9" t="str">
        <f>100*F40&amp;"% of TEC"</f>
        <v>1% of TEC</v>
      </c>
      <c r="F40" s="66">
        <v>0.01</v>
      </c>
      <c r="G40" s="14">
        <f>F40*G$20</f>
        <v>28522.487999999998</v>
      </c>
      <c r="H40" s="111">
        <v>0.01</v>
      </c>
      <c r="I40" s="46"/>
    </row>
    <row r="41" spans="4:9" ht="15">
      <c r="D41" s="113" t="s">
        <v>16</v>
      </c>
      <c r="E41" s="9" t="str">
        <f>100*F41&amp;"% of TEC"</f>
        <v>10% of TEC</v>
      </c>
      <c r="F41" s="66">
        <v>0.1</v>
      </c>
      <c r="G41" s="12">
        <f>F41*G$20</f>
        <v>285224.88</v>
      </c>
      <c r="H41" s="111">
        <v>0.1</v>
      </c>
      <c r="I41" s="46"/>
    </row>
    <row r="42" spans="4:9" ht="15">
      <c r="D42" s="105" t="s">
        <v>17</v>
      </c>
      <c r="E42" s="9" t="s">
        <v>93</v>
      </c>
      <c r="F42" s="66"/>
      <c r="G42" s="12">
        <f>SUM(G34:G41)</f>
        <v>1130332.0559999999</v>
      </c>
      <c r="H42" s="111"/>
      <c r="I42" s="46"/>
    </row>
    <row r="43" spans="4:9" ht="6" customHeight="1">
      <c r="D43" s="105"/>
      <c r="E43" s="9"/>
      <c r="F43" s="66"/>
      <c r="G43" s="12"/>
      <c r="H43" s="111"/>
      <c r="I43" s="46"/>
    </row>
    <row r="44" spans="4:9" ht="15">
      <c r="D44" s="114" t="s">
        <v>18</v>
      </c>
      <c r="E44" s="9" t="str">
        <f>100*F44&amp;"% of (DCC+ICC)"</f>
        <v>15% of (DCC+ICC)</v>
      </c>
      <c r="F44" s="66">
        <v>0.15</v>
      </c>
      <c r="G44" s="12">
        <f>F$44*(G$30+G$42)</f>
        <v>725738.3243999999</v>
      </c>
      <c r="H44" s="111">
        <v>0.15</v>
      </c>
      <c r="I44" s="46"/>
    </row>
    <row r="45" spans="4:9" ht="15">
      <c r="D45" s="114" t="s">
        <v>71</v>
      </c>
      <c r="E45" s="9" t="str">
        <f>100*F45&amp;"% of TIC"</f>
        <v>0% of TIC</v>
      </c>
      <c r="F45" s="66">
        <v>0</v>
      </c>
      <c r="G45" s="12">
        <f>F45*G44</f>
        <v>0</v>
      </c>
      <c r="H45" s="111">
        <v>1.3</v>
      </c>
      <c r="I45" s="46"/>
    </row>
    <row r="46" spans="4:9" ht="5.25" customHeight="1">
      <c r="D46" s="114"/>
      <c r="E46" s="9"/>
      <c r="F46" s="31"/>
      <c r="G46" s="12"/>
      <c r="H46" s="111"/>
      <c r="I46" s="46"/>
    </row>
    <row r="47" spans="4:9" ht="30">
      <c r="D47" s="106" t="s">
        <v>148</v>
      </c>
      <c r="E47" s="9" t="s">
        <v>91</v>
      </c>
      <c r="F47" s="32"/>
      <c r="G47" s="14">
        <f>G$30+G$42+G$44+G$45</f>
        <v>5563993.8204</v>
      </c>
      <c r="H47" s="109"/>
      <c r="I47" s="44"/>
    </row>
    <row r="48" spans="4:9" ht="15">
      <c r="D48" s="106"/>
      <c r="E48" s="9"/>
      <c r="F48" s="32"/>
      <c r="G48" s="14"/>
      <c r="H48" s="109"/>
      <c r="I48" s="44"/>
    </row>
    <row r="49" spans="4:9" ht="15">
      <c r="D49" s="106" t="s">
        <v>28</v>
      </c>
      <c r="E49" s="9"/>
      <c r="F49" s="32"/>
      <c r="G49" s="12" t="s">
        <v>4</v>
      </c>
      <c r="H49" s="109"/>
      <c r="I49" s="44"/>
    </row>
    <row r="50" spans="4:9" ht="15">
      <c r="D50" s="110" t="s">
        <v>19</v>
      </c>
      <c r="E50" s="9"/>
      <c r="F50" s="32"/>
      <c r="G50" s="12" t="s">
        <v>4</v>
      </c>
      <c r="H50" s="109"/>
      <c r="I50" s="44"/>
    </row>
    <row r="51" spans="4:9" ht="15">
      <c r="D51" s="115" t="s">
        <v>20</v>
      </c>
      <c r="E51" s="9"/>
      <c r="F51" s="72"/>
      <c r="G51" s="14">
        <f>F54/8*F52*F53</f>
        <v>21900</v>
      </c>
      <c r="H51" s="109"/>
      <c r="I51" s="44"/>
    </row>
    <row r="52" spans="4:9" ht="15">
      <c r="D52" s="116" t="s">
        <v>66</v>
      </c>
      <c r="E52" s="9"/>
      <c r="F52" s="73">
        <v>0.5</v>
      </c>
      <c r="G52" s="13"/>
      <c r="H52" s="117">
        <v>0.5</v>
      </c>
      <c r="I52" s="52"/>
    </row>
    <row r="53" spans="4:9" ht="15">
      <c r="D53" s="116" t="s">
        <v>108</v>
      </c>
      <c r="E53" s="9"/>
      <c r="F53" s="71">
        <v>40</v>
      </c>
      <c r="G53" s="13"/>
      <c r="H53" s="118">
        <v>40</v>
      </c>
      <c r="I53" s="53"/>
    </row>
    <row r="54" spans="4:9" ht="15">
      <c r="D54" s="116" t="s">
        <v>109</v>
      </c>
      <c r="E54" s="9"/>
      <c r="F54" s="74">
        <v>8760</v>
      </c>
      <c r="G54" s="13"/>
      <c r="H54" s="119">
        <v>8760</v>
      </c>
      <c r="I54" s="53"/>
    </row>
    <row r="55" spans="4:9" ht="15">
      <c r="D55" s="115" t="s">
        <v>21</v>
      </c>
      <c r="E55" s="9" t="str">
        <f>F55*100&amp;"% of operator cost"</f>
        <v>15% of operator cost</v>
      </c>
      <c r="F55" s="66">
        <v>0.15</v>
      </c>
      <c r="G55" s="12">
        <f>F55*G51</f>
        <v>3285</v>
      </c>
      <c r="H55" s="111">
        <v>0.15</v>
      </c>
      <c r="I55" s="46"/>
    </row>
    <row r="56" spans="4:9" ht="15">
      <c r="D56" s="110" t="s">
        <v>22</v>
      </c>
      <c r="E56" s="9" t="str">
        <f>100*F56&amp;"% of TCI"</f>
        <v>1.5% of TCI</v>
      </c>
      <c r="F56" s="66">
        <v>0.015</v>
      </c>
      <c r="G56" s="12">
        <f>F56*G47</f>
        <v>83459.907306</v>
      </c>
      <c r="H56" s="111">
        <v>0.015</v>
      </c>
      <c r="I56" s="46"/>
    </row>
    <row r="57" spans="4:9" ht="30">
      <c r="D57" s="110" t="s">
        <v>67</v>
      </c>
      <c r="E57" s="9" t="s">
        <v>114</v>
      </c>
      <c r="F57" s="32"/>
      <c r="G57" s="14">
        <f>E8^('Factors&amp;Regression equations'!$E$7)*'Factors&amp;Regression equations'!$D$7</f>
        <v>219709.6546152509</v>
      </c>
      <c r="H57" s="109"/>
      <c r="I57" s="44"/>
    </row>
    <row r="58" spans="4:9" ht="15">
      <c r="D58" s="110" t="s">
        <v>68</v>
      </c>
      <c r="E58" s="9" t="s">
        <v>65</v>
      </c>
      <c r="F58" s="71">
        <v>24000</v>
      </c>
      <c r="G58" s="14">
        <f>F58</f>
        <v>24000</v>
      </c>
      <c r="H58" s="118">
        <v>24000</v>
      </c>
      <c r="I58" s="44"/>
    </row>
    <row r="59" spans="4:9" ht="15">
      <c r="D59" s="105" t="s">
        <v>23</v>
      </c>
      <c r="E59" s="9" t="s">
        <v>118</v>
      </c>
      <c r="F59" s="32"/>
      <c r="G59" s="12">
        <f>SUM(G$51:G$58)</f>
        <v>352354.5619212509</v>
      </c>
      <c r="H59" s="109"/>
      <c r="I59" s="44"/>
    </row>
    <row r="60" spans="4:9" ht="6" customHeight="1">
      <c r="D60" s="105"/>
      <c r="E60" s="9"/>
      <c r="F60" s="32"/>
      <c r="G60" s="12"/>
      <c r="H60" s="109"/>
      <c r="I60" s="44"/>
    </row>
    <row r="61" spans="4:9" ht="15">
      <c r="D61" s="106" t="s">
        <v>32</v>
      </c>
      <c r="E61" s="9"/>
      <c r="F61" s="32"/>
      <c r="G61" s="12" t="s">
        <v>4</v>
      </c>
      <c r="H61" s="109"/>
      <c r="I61" s="44"/>
    </row>
    <row r="62" spans="4:9" ht="30">
      <c r="D62" s="110" t="s">
        <v>24</v>
      </c>
      <c r="E62" s="9" t="str">
        <f>100*F62&amp;"% of (operator labor + maintenance)"</f>
        <v>60% of (operator labor + maintenance)</v>
      </c>
      <c r="F62" s="66">
        <v>0.6</v>
      </c>
      <c r="G62" s="12">
        <f>SUM(G$51:G$56)*F$62</f>
        <v>65186.94438359999</v>
      </c>
      <c r="H62" s="111">
        <v>0.6</v>
      </c>
      <c r="I62" s="46"/>
    </row>
    <row r="63" spans="4:9" ht="15">
      <c r="D63" s="110" t="s">
        <v>25</v>
      </c>
      <c r="E63" s="9" t="str">
        <f>100*F63&amp;"% of total capital investment"</f>
        <v>1% of total capital investment</v>
      </c>
      <c r="F63" s="66">
        <v>0.01</v>
      </c>
      <c r="G63" s="12">
        <f>F$63*G$47</f>
        <v>55639.938204</v>
      </c>
      <c r="H63" s="111">
        <v>0.01</v>
      </c>
      <c r="I63" s="46"/>
    </row>
    <row r="64" spans="4:9" ht="15">
      <c r="D64" s="110" t="s">
        <v>26</v>
      </c>
      <c r="E64" s="9" t="str">
        <f>100*F64&amp;"% of total capital investment"</f>
        <v>1% of total capital investment</v>
      </c>
      <c r="F64" s="66">
        <v>0.01</v>
      </c>
      <c r="G64" s="12">
        <f>F$64*G$47</f>
        <v>55639.938204</v>
      </c>
      <c r="H64" s="111">
        <v>0.01</v>
      </c>
      <c r="I64" s="46"/>
    </row>
    <row r="65" spans="4:9" ht="15">
      <c r="D65" s="110" t="s">
        <v>27</v>
      </c>
      <c r="E65" s="9" t="str">
        <f>100*F65&amp;"% of total capital investment"</f>
        <v>2% of total capital investment</v>
      </c>
      <c r="F65" s="66">
        <v>0.02</v>
      </c>
      <c r="G65" s="12">
        <f>F$65*G$47</f>
        <v>111279.876408</v>
      </c>
      <c r="H65" s="111">
        <v>0.02</v>
      </c>
      <c r="I65" s="46"/>
    </row>
    <row r="66" spans="4:9" ht="15">
      <c r="D66" s="110" t="s">
        <v>69</v>
      </c>
      <c r="E66" s="9" t="s">
        <v>92</v>
      </c>
      <c r="F66" s="32"/>
      <c r="G66" s="12">
        <f>E$67*G$47</f>
        <v>792312.7200249599</v>
      </c>
      <c r="H66" s="109"/>
      <c r="I66" s="44"/>
    </row>
    <row r="67" spans="4:9" ht="15">
      <c r="D67" s="115" t="s">
        <v>153</v>
      </c>
      <c r="E67" s="88">
        <f>ROUND(F68*(1+F68)^F69/((1+F68)^F69-1),4)</f>
        <v>0.1424</v>
      </c>
      <c r="F67" s="121"/>
      <c r="G67" s="12"/>
      <c r="H67" s="109"/>
      <c r="I67" s="44"/>
    </row>
    <row r="68" spans="4:9" ht="15">
      <c r="D68" s="115" t="s">
        <v>154</v>
      </c>
      <c r="E68" s="9"/>
      <c r="F68" s="67">
        <v>0.07</v>
      </c>
      <c r="G68" s="12"/>
      <c r="H68" s="122">
        <v>0.07</v>
      </c>
      <c r="I68" s="47"/>
    </row>
    <row r="69" spans="4:9" ht="15">
      <c r="D69" s="115" t="s">
        <v>155</v>
      </c>
      <c r="E69" s="9"/>
      <c r="F69" s="68">
        <v>10</v>
      </c>
      <c r="G69" s="12"/>
      <c r="H69" s="123">
        <v>10</v>
      </c>
      <c r="I69" s="48"/>
    </row>
    <row r="70" spans="4:9" ht="15">
      <c r="D70" s="105" t="s">
        <v>97</v>
      </c>
      <c r="E70" s="9" t="s">
        <v>70</v>
      </c>
      <c r="F70" s="15"/>
      <c r="G70" s="12">
        <f>SUM(G62:G66)</f>
        <v>1080059.41722456</v>
      </c>
      <c r="H70" s="124"/>
      <c r="I70" s="49"/>
    </row>
    <row r="71" spans="4:9" ht="15">
      <c r="D71" s="105" t="s">
        <v>143</v>
      </c>
      <c r="E71" s="9" t="s">
        <v>14</v>
      </c>
      <c r="F71" s="71">
        <v>0</v>
      </c>
      <c r="G71" s="14">
        <f>F71</f>
        <v>0</v>
      </c>
      <c r="H71" s="120">
        <v>0</v>
      </c>
      <c r="I71" s="49"/>
    </row>
    <row r="72" spans="4:9" ht="15">
      <c r="D72" s="106" t="s">
        <v>104</v>
      </c>
      <c r="E72" s="9" t="s">
        <v>144</v>
      </c>
      <c r="F72" s="15"/>
      <c r="G72" s="12">
        <f>G$59+G$70-G71</f>
        <v>1432413.979145811</v>
      </c>
      <c r="H72" s="124"/>
      <c r="I72" s="49"/>
    </row>
    <row r="73" spans="4:9" ht="15">
      <c r="D73" s="106" t="s">
        <v>105</v>
      </c>
      <c r="E73" s="16"/>
      <c r="F73" s="16"/>
      <c r="G73" s="75">
        <f>G$72/(E9)/(365*24)</f>
        <v>0.058119410387917764</v>
      </c>
      <c r="H73" s="125"/>
      <c r="I73" s="54"/>
    </row>
    <row r="74" spans="4:9" ht="15">
      <c r="D74" s="106" t="s">
        <v>106</v>
      </c>
      <c r="E74" s="16"/>
      <c r="F74" s="16"/>
      <c r="G74" s="76">
        <f>($G$72*10^6)/(($E$8*E6*365*24*60))</f>
        <v>5.450585917602022</v>
      </c>
      <c r="H74" s="126"/>
      <c r="I74" s="55"/>
    </row>
    <row r="75" spans="4:9" ht="15.75" thickBot="1">
      <c r="D75" s="127" t="s">
        <v>107</v>
      </c>
      <c r="E75" s="128"/>
      <c r="F75" s="128"/>
      <c r="G75" s="129">
        <f>G$72/(E8*365*24*60/1000)</f>
        <v>2.7252929588010106</v>
      </c>
      <c r="H75" s="130"/>
      <c r="I75" s="56"/>
    </row>
    <row r="76" spans="8:9" ht="4.5" customHeight="1">
      <c r="H76" s="6"/>
      <c r="I76" s="6"/>
    </row>
  </sheetData>
  <sheetProtection/>
  <mergeCells count="1">
    <mergeCell ref="D13:H13"/>
  </mergeCells>
  <printOptions/>
  <pageMargins left="0.7" right="0.7" top="0.75" bottom="0.75" header="0.3" footer="0.3"/>
  <pageSetup fitToWidth="0" fitToHeight="1" horizontalDpi="600" verticalDpi="600" orientation="portrait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="80" zoomScaleNormal="80" zoomScalePageLayoutView="0" workbookViewId="0" topLeftCell="A1">
      <selection activeCell="Y23" sqref="Y23"/>
    </sheetView>
  </sheetViews>
  <sheetFormatPr defaultColWidth="9.140625" defaultRowHeight="15"/>
  <cols>
    <col min="1" max="1" width="1.57421875" style="0" customWidth="1"/>
    <col min="2" max="2" width="42.421875" style="0" customWidth="1"/>
    <col min="3" max="3" width="10.57421875" style="0" customWidth="1"/>
    <col min="4" max="4" width="7.28125" style="0" customWidth="1"/>
    <col min="5" max="5" width="9.28125" style="0" customWidth="1"/>
    <col min="6" max="6" width="11.28125" style="8" customWidth="1"/>
    <col min="7" max="7" width="10.140625" style="8" customWidth="1"/>
    <col min="8" max="8" width="7.00390625" style="0" customWidth="1"/>
    <col min="9" max="9" width="6.7109375" style="0" customWidth="1"/>
    <col min="10" max="10" width="9.57421875" style="0" customWidth="1"/>
    <col min="11" max="11" width="9.8515625" style="0" customWidth="1"/>
    <col min="12" max="12" width="6.8515625" style="8" customWidth="1"/>
    <col min="13" max="13" width="7.57421875" style="8" customWidth="1"/>
    <col min="14" max="14" width="9.28125" style="3" customWidth="1"/>
    <col min="15" max="15" width="9.8515625" style="0" customWidth="1"/>
    <col min="16" max="16" width="1.57421875" style="0" customWidth="1"/>
  </cols>
  <sheetData>
    <row r="1" spans="6:14" s="1" customFormat="1" ht="15">
      <c r="F1" s="58"/>
      <c r="G1" s="58"/>
      <c r="L1" s="58"/>
      <c r="M1" s="58"/>
      <c r="N1" s="2"/>
    </row>
    <row r="2" spans="1:15" s="1" customFormat="1" ht="16.5" customHeight="1">
      <c r="A2" s="59"/>
      <c r="B2" s="163" t="s">
        <v>113</v>
      </c>
      <c r="C2" s="163"/>
      <c r="D2" s="163"/>
      <c r="E2" s="163"/>
      <c r="F2" s="60"/>
      <c r="G2" s="60"/>
      <c r="H2" s="59"/>
      <c r="I2" s="59"/>
      <c r="J2" s="59"/>
      <c r="K2" s="59"/>
      <c r="L2" s="60"/>
      <c r="M2" s="60"/>
      <c r="N2" s="61"/>
      <c r="O2" s="59"/>
    </row>
    <row r="3" spans="1:15" s="1" customFormat="1" ht="15">
      <c r="A3" s="59"/>
      <c r="B3" s="4"/>
      <c r="C3" s="4" t="s">
        <v>110</v>
      </c>
      <c r="D3" s="5" t="s">
        <v>61</v>
      </c>
      <c r="E3" s="5" t="s">
        <v>59</v>
      </c>
      <c r="F3" s="58"/>
      <c r="G3" s="60"/>
      <c r="H3" s="59"/>
      <c r="I3" s="59"/>
      <c r="J3" s="59"/>
      <c r="K3" s="60"/>
      <c r="L3" s="60"/>
      <c r="M3" s="60"/>
      <c r="N3" s="61"/>
      <c r="O3" s="60"/>
    </row>
    <row r="4" spans="1:15" s="1" customFormat="1" ht="12.75" customHeight="1">
      <c r="A4" s="59"/>
      <c r="B4" s="4" t="s">
        <v>156</v>
      </c>
      <c r="C4" s="5" t="s">
        <v>60</v>
      </c>
      <c r="D4" s="4">
        <v>1741.5</v>
      </c>
      <c r="E4" s="4">
        <v>635374</v>
      </c>
      <c r="F4" s="77"/>
      <c r="G4" s="50"/>
      <c r="H4" s="50"/>
      <c r="I4" s="25"/>
      <c r="J4" s="50"/>
      <c r="K4" s="62"/>
      <c r="L4" s="60"/>
      <c r="M4" s="60"/>
      <c r="N4" s="25"/>
      <c r="O4" s="59"/>
    </row>
    <row r="5" spans="1:15" s="1" customFormat="1" ht="17.25">
      <c r="A5" s="59"/>
      <c r="B5" s="4" t="s">
        <v>157</v>
      </c>
      <c r="C5" s="5" t="s">
        <v>62</v>
      </c>
      <c r="D5" s="4">
        <v>35064</v>
      </c>
      <c r="E5" s="4">
        <v>0.375</v>
      </c>
      <c r="F5" s="77"/>
      <c r="G5" s="25"/>
      <c r="H5" s="25"/>
      <c r="I5" s="25"/>
      <c r="J5" s="25"/>
      <c r="K5" s="25"/>
      <c r="L5" s="60"/>
      <c r="M5" s="60"/>
      <c r="N5" s="25"/>
      <c r="O5" s="59"/>
    </row>
    <row r="6" spans="1:15" s="1" customFormat="1" ht="15">
      <c r="A6" s="59"/>
      <c r="B6" s="4"/>
      <c r="C6" s="5"/>
      <c r="D6" s="17"/>
      <c r="E6" s="4"/>
      <c r="F6" s="77"/>
      <c r="G6" s="25"/>
      <c r="H6" s="25"/>
      <c r="I6" s="25"/>
      <c r="J6" s="25"/>
      <c r="K6" s="25"/>
      <c r="L6" s="25"/>
      <c r="M6" s="25"/>
      <c r="N6" s="25"/>
      <c r="O6" s="63"/>
    </row>
    <row r="7" spans="1:15" s="1" customFormat="1" ht="17.25">
      <c r="A7" s="59"/>
      <c r="B7" s="4" t="s">
        <v>111</v>
      </c>
      <c r="C7" s="5" t="s">
        <v>62</v>
      </c>
      <c r="D7" s="57">
        <v>306.09</v>
      </c>
      <c r="E7" s="4">
        <v>0.952</v>
      </c>
      <c r="F7" s="77"/>
      <c r="G7" s="25"/>
      <c r="H7" s="25"/>
      <c r="I7" s="25"/>
      <c r="J7" s="25"/>
      <c r="K7" s="60"/>
      <c r="L7" s="25"/>
      <c r="M7" s="25"/>
      <c r="N7" s="25"/>
      <c r="O7" s="30"/>
    </row>
    <row r="8" spans="1:15" s="1" customFormat="1" ht="17.25">
      <c r="A8" s="59"/>
      <c r="B8" s="4" t="s">
        <v>112</v>
      </c>
      <c r="C8" s="5" t="s">
        <v>62</v>
      </c>
      <c r="D8" s="4">
        <v>2047</v>
      </c>
      <c r="E8" s="4">
        <v>0.3988</v>
      </c>
      <c r="F8" s="77"/>
      <c r="G8" s="25"/>
      <c r="H8" s="25"/>
      <c r="I8" s="25"/>
      <c r="J8" s="25"/>
      <c r="K8" s="60"/>
      <c r="L8" s="25"/>
      <c r="M8" s="25"/>
      <c r="N8" s="25"/>
      <c r="O8" s="30"/>
    </row>
    <row r="9" spans="1:15" s="1" customFormat="1" ht="15">
      <c r="A9" s="59"/>
      <c r="B9" s="61"/>
      <c r="C9" s="25"/>
      <c r="D9" s="25"/>
      <c r="E9" s="25"/>
      <c r="F9" s="77"/>
      <c r="G9" s="25"/>
      <c r="H9" s="25"/>
      <c r="I9" s="25"/>
      <c r="J9" s="25"/>
      <c r="K9" s="60"/>
      <c r="L9" s="25"/>
      <c r="M9" s="25"/>
      <c r="N9" s="25"/>
      <c r="O9" s="60"/>
    </row>
    <row r="10" spans="1:15" s="1" customFormat="1" ht="15">
      <c r="A10" s="59"/>
      <c r="B10" s="164" t="s">
        <v>121</v>
      </c>
      <c r="C10" s="164"/>
      <c r="D10" s="25"/>
      <c r="E10" s="25"/>
      <c r="F10" s="25"/>
      <c r="G10" s="25"/>
      <c r="H10" s="25"/>
      <c r="I10" s="25"/>
      <c r="J10" s="25"/>
      <c r="K10" s="60"/>
      <c r="L10" s="25"/>
      <c r="M10" s="25"/>
      <c r="N10" s="25"/>
      <c r="O10" s="60"/>
    </row>
    <row r="11" spans="1:15" s="1" customFormat="1" ht="15">
      <c r="A11" s="59"/>
      <c r="B11" s="19" t="s">
        <v>73</v>
      </c>
      <c r="C11" s="20" t="s">
        <v>90</v>
      </c>
      <c r="D11" s="25"/>
      <c r="E11" s="25"/>
      <c r="F11" s="25"/>
      <c r="G11" s="25"/>
      <c r="H11" s="25"/>
      <c r="I11" s="25"/>
      <c r="J11" s="25"/>
      <c r="K11" s="64"/>
      <c r="L11" s="25"/>
      <c r="M11" s="25"/>
      <c r="N11" s="25"/>
      <c r="O11" s="65"/>
    </row>
    <row r="12" spans="1:15" s="1" customFormat="1" ht="15">
      <c r="A12" s="59"/>
      <c r="B12" s="21" t="s">
        <v>36</v>
      </c>
      <c r="C12" s="19"/>
      <c r="D12" s="25"/>
      <c r="E12" s="25"/>
      <c r="F12" s="25"/>
      <c r="G12" s="25"/>
      <c r="H12" s="25"/>
      <c r="I12" s="25"/>
      <c r="J12" s="25"/>
      <c r="K12" s="64"/>
      <c r="L12" s="25"/>
      <c r="M12" s="25"/>
      <c r="N12" s="25"/>
      <c r="O12" s="30"/>
    </row>
    <row r="13" spans="1:15" s="1" customFormat="1" ht="15">
      <c r="A13" s="59"/>
      <c r="B13" s="21"/>
      <c r="C13" s="19"/>
      <c r="D13" s="25"/>
      <c r="E13" s="25"/>
      <c r="F13" s="25"/>
      <c r="G13" s="25"/>
      <c r="H13" s="25"/>
      <c r="I13" s="25"/>
      <c r="J13" s="25"/>
      <c r="K13" s="64"/>
      <c r="L13" s="25"/>
      <c r="M13" s="25"/>
      <c r="N13" s="25"/>
      <c r="O13" s="30"/>
    </row>
    <row r="14" spans="1:15" s="1" customFormat="1" ht="15">
      <c r="A14" s="59"/>
      <c r="B14" s="22" t="s">
        <v>72</v>
      </c>
      <c r="C14" s="28" t="s">
        <v>78</v>
      </c>
      <c r="D14" s="25"/>
      <c r="E14" s="25"/>
      <c r="F14" s="25"/>
      <c r="G14" s="25"/>
      <c r="H14" s="25"/>
      <c r="I14" s="25"/>
      <c r="J14" s="25"/>
      <c r="K14" s="64"/>
      <c r="L14" s="25"/>
      <c r="M14" s="25"/>
      <c r="N14" s="25"/>
      <c r="O14" s="30"/>
    </row>
    <row r="15" spans="1:15" s="1" customFormat="1" ht="15">
      <c r="A15" s="59"/>
      <c r="B15" s="22" t="s">
        <v>38</v>
      </c>
      <c r="C15" s="23" t="s">
        <v>77</v>
      </c>
      <c r="D15" s="25"/>
      <c r="E15" s="25"/>
      <c r="F15" s="25"/>
      <c r="G15" s="25"/>
      <c r="H15" s="25"/>
      <c r="I15" s="25"/>
      <c r="J15" s="25"/>
      <c r="K15" s="64"/>
      <c r="L15" s="25"/>
      <c r="M15" s="25"/>
      <c r="N15" s="25"/>
      <c r="O15" s="30"/>
    </row>
    <row r="16" spans="1:15" s="1" customFormat="1" ht="15">
      <c r="A16" s="59"/>
      <c r="B16" s="22" t="s">
        <v>39</v>
      </c>
      <c r="C16" s="23" t="s">
        <v>79</v>
      </c>
      <c r="D16" s="25"/>
      <c r="E16" s="25"/>
      <c r="F16" s="25"/>
      <c r="G16" s="25"/>
      <c r="H16" s="25"/>
      <c r="I16" s="25"/>
      <c r="J16" s="25"/>
      <c r="K16" s="64"/>
      <c r="L16" s="25"/>
      <c r="M16" s="25"/>
      <c r="N16" s="25"/>
      <c r="O16" s="30"/>
    </row>
    <row r="17" spans="1:15" s="1" customFormat="1" ht="15">
      <c r="A17" s="59"/>
      <c r="B17" s="21" t="s">
        <v>37</v>
      </c>
      <c r="C17" s="20"/>
      <c r="D17" s="25"/>
      <c r="E17" s="25"/>
      <c r="F17" s="25"/>
      <c r="G17" s="25"/>
      <c r="H17" s="25"/>
      <c r="I17" s="25"/>
      <c r="J17" s="25"/>
      <c r="K17" s="64"/>
      <c r="L17" s="25"/>
      <c r="M17" s="25"/>
      <c r="N17" s="25"/>
      <c r="O17" s="60"/>
    </row>
    <row r="18" spans="1:15" s="1" customFormat="1" ht="15">
      <c r="A18" s="59"/>
      <c r="B18" s="21" t="s">
        <v>74</v>
      </c>
      <c r="C18" s="20"/>
      <c r="D18" s="25"/>
      <c r="E18" s="25"/>
      <c r="F18" s="25"/>
      <c r="G18" s="26"/>
      <c r="H18" s="25"/>
      <c r="I18" s="25"/>
      <c r="J18" s="25"/>
      <c r="K18" s="60"/>
      <c r="L18" s="25"/>
      <c r="M18" s="25"/>
      <c r="N18" s="25"/>
      <c r="O18" s="60"/>
    </row>
    <row r="19" spans="1:15" s="1" customFormat="1" ht="15">
      <c r="A19" s="59"/>
      <c r="B19" s="22" t="s">
        <v>40</v>
      </c>
      <c r="C19" s="29" t="s">
        <v>80</v>
      </c>
      <c r="D19" s="25"/>
      <c r="E19" s="25"/>
      <c r="F19" s="25"/>
      <c r="G19" s="26"/>
      <c r="H19" s="25"/>
      <c r="I19" s="25"/>
      <c r="J19" s="25"/>
      <c r="K19" s="60"/>
      <c r="L19" s="25"/>
      <c r="M19" s="25"/>
      <c r="N19" s="25"/>
      <c r="O19" s="60"/>
    </row>
    <row r="20" spans="1:15" s="1" customFormat="1" ht="15">
      <c r="A20" s="59"/>
      <c r="B20" s="22" t="s">
        <v>41</v>
      </c>
      <c r="C20" s="23" t="s">
        <v>81</v>
      </c>
      <c r="D20" s="25"/>
      <c r="E20" s="25"/>
      <c r="F20" s="25"/>
      <c r="G20" s="26"/>
      <c r="H20" s="25"/>
      <c r="I20" s="25"/>
      <c r="J20" s="25"/>
      <c r="K20" s="30"/>
      <c r="L20" s="25"/>
      <c r="M20" s="25"/>
      <c r="N20" s="25"/>
      <c r="O20" s="30"/>
    </row>
    <row r="21" spans="1:15" s="1" customFormat="1" ht="15">
      <c r="A21" s="59"/>
      <c r="B21" s="22" t="s">
        <v>42</v>
      </c>
      <c r="C21" s="23" t="s">
        <v>82</v>
      </c>
      <c r="D21" s="25"/>
      <c r="E21" s="25"/>
      <c r="F21" s="25"/>
      <c r="G21" s="26"/>
      <c r="H21" s="25"/>
      <c r="I21" s="25"/>
      <c r="J21" s="25"/>
      <c r="K21" s="30"/>
      <c r="L21" s="25"/>
      <c r="M21" s="25"/>
      <c r="N21" s="25"/>
      <c r="O21" s="30"/>
    </row>
    <row r="22" spans="1:15" s="1" customFormat="1" ht="15">
      <c r="A22" s="59"/>
      <c r="B22" s="22" t="s">
        <v>43</v>
      </c>
      <c r="C22" s="23" t="s">
        <v>83</v>
      </c>
      <c r="D22" s="25"/>
      <c r="E22" s="25"/>
      <c r="F22" s="25"/>
      <c r="G22" s="26"/>
      <c r="H22" s="25"/>
      <c r="I22" s="25"/>
      <c r="J22" s="25"/>
      <c r="K22" s="30"/>
      <c r="L22" s="25"/>
      <c r="M22" s="25"/>
      <c r="N22" s="25"/>
      <c r="O22" s="30"/>
    </row>
    <row r="23" spans="1:15" s="1" customFormat="1" ht="15">
      <c r="A23" s="59"/>
      <c r="B23" s="22" t="s">
        <v>44</v>
      </c>
      <c r="C23" s="23" t="s">
        <v>84</v>
      </c>
      <c r="D23" s="25"/>
      <c r="E23" s="25"/>
      <c r="F23" s="25"/>
      <c r="G23" s="26"/>
      <c r="H23" s="25"/>
      <c r="I23" s="25"/>
      <c r="J23" s="25"/>
      <c r="K23" s="30"/>
      <c r="L23" s="25"/>
      <c r="M23" s="25"/>
      <c r="N23" s="25"/>
      <c r="O23" s="30"/>
    </row>
    <row r="24" spans="1:15" s="1" customFormat="1" ht="15">
      <c r="A24" s="59"/>
      <c r="B24" s="22" t="s">
        <v>45</v>
      </c>
      <c r="C24" s="23" t="s">
        <v>79</v>
      </c>
      <c r="D24" s="61"/>
      <c r="E24" s="61"/>
      <c r="F24" s="25"/>
      <c r="G24" s="25"/>
      <c r="H24" s="25"/>
      <c r="I24" s="25"/>
      <c r="J24" s="25"/>
      <c r="K24" s="30"/>
      <c r="L24" s="25"/>
      <c r="M24" s="25"/>
      <c r="N24" s="25"/>
      <c r="O24" s="30"/>
    </row>
    <row r="25" spans="1:15" s="1" customFormat="1" ht="15">
      <c r="A25" s="59"/>
      <c r="B25" s="21" t="s">
        <v>46</v>
      </c>
      <c r="C25" s="20"/>
      <c r="D25" s="25"/>
      <c r="E25" s="25"/>
      <c r="F25" s="25"/>
      <c r="G25" s="26"/>
      <c r="H25" s="25"/>
      <c r="I25" s="25"/>
      <c r="J25" s="25"/>
      <c r="K25" s="30"/>
      <c r="L25" s="25"/>
      <c r="M25" s="25"/>
      <c r="N25" s="25"/>
      <c r="O25" s="60"/>
    </row>
    <row r="26" spans="1:15" s="1" customFormat="1" ht="15">
      <c r="A26" s="59"/>
      <c r="B26" s="21" t="s">
        <v>54</v>
      </c>
      <c r="C26" s="20"/>
      <c r="D26" s="25"/>
      <c r="E26" s="25"/>
      <c r="F26" s="25"/>
      <c r="G26" s="26"/>
      <c r="H26" s="25"/>
      <c r="I26" s="25"/>
      <c r="J26" s="25"/>
      <c r="K26" s="27"/>
      <c r="L26" s="25"/>
      <c r="M26" s="25"/>
      <c r="N26" s="25"/>
      <c r="O26" s="60"/>
    </row>
    <row r="27" spans="1:15" s="1" customFormat="1" ht="13.5" customHeight="1">
      <c r="A27" s="59"/>
      <c r="B27" s="21" t="s">
        <v>75</v>
      </c>
      <c r="C27" s="20"/>
      <c r="D27" s="25"/>
      <c r="E27" s="25"/>
      <c r="F27" s="25"/>
      <c r="G27" s="26"/>
      <c r="H27" s="25"/>
      <c r="I27" s="25"/>
      <c r="J27" s="25"/>
      <c r="K27" s="27"/>
      <c r="L27" s="25"/>
      <c r="M27" s="25"/>
      <c r="N27" s="25"/>
      <c r="O27" s="30"/>
    </row>
    <row r="28" spans="1:15" ht="14.25" customHeight="1">
      <c r="A28" s="18"/>
      <c r="B28" s="22" t="s">
        <v>47</v>
      </c>
      <c r="C28" s="23" t="s">
        <v>85</v>
      </c>
      <c r="D28" s="25"/>
      <c r="E28" s="25"/>
      <c r="F28" s="25"/>
      <c r="G28" s="26"/>
      <c r="H28" s="25"/>
      <c r="I28" s="25"/>
      <c r="J28" s="25"/>
      <c r="K28" s="27"/>
      <c r="L28" s="25"/>
      <c r="M28" s="25"/>
      <c r="N28" s="25"/>
      <c r="O28" s="30"/>
    </row>
    <row r="29" spans="2:3" ht="15" customHeight="1">
      <c r="B29" s="22" t="s">
        <v>48</v>
      </c>
      <c r="C29" s="23" t="s">
        <v>86</v>
      </c>
    </row>
    <row r="30" spans="2:3" ht="15">
      <c r="B30" s="22" t="s">
        <v>49</v>
      </c>
      <c r="C30" s="23" t="s">
        <v>87</v>
      </c>
    </row>
    <row r="31" spans="2:3" ht="15">
      <c r="B31" s="22" t="s">
        <v>50</v>
      </c>
      <c r="C31" s="23" t="s">
        <v>88</v>
      </c>
    </row>
    <row r="32" spans="2:3" ht="15">
      <c r="B32" s="24" t="s">
        <v>53</v>
      </c>
      <c r="C32" s="23" t="s">
        <v>89</v>
      </c>
    </row>
    <row r="33" spans="2:3" ht="15">
      <c r="B33" s="22" t="s">
        <v>51</v>
      </c>
      <c r="C33" s="20">
        <v>1</v>
      </c>
    </row>
    <row r="34" spans="2:3" ht="15">
      <c r="B34" s="22" t="s">
        <v>52</v>
      </c>
      <c r="C34" s="20">
        <v>3</v>
      </c>
    </row>
    <row r="35" spans="2:3" ht="15">
      <c r="B35" s="22" t="s">
        <v>76</v>
      </c>
      <c r="C35" s="23" t="s">
        <v>78</v>
      </c>
    </row>
    <row r="36" ht="15">
      <c r="D36" s="8"/>
    </row>
    <row r="37" ht="15"/>
    <row r="38" ht="15">
      <c r="D38" s="8"/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sheetProtection/>
  <mergeCells count="2">
    <mergeCell ref="B2:E2"/>
    <mergeCell ref="B10:C10"/>
  </mergeCells>
  <printOptions/>
  <pageMargins left="0.7" right="0.7" top="0.75" bottom="0.75" header="0.3" footer="0.3"/>
  <pageSetup orientation="portrait" paperSize="9"/>
  <ignoredErrors>
    <ignoredError sqref="C14:C35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6:L21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0" max="10" width="22.140625" style="0" customWidth="1"/>
    <col min="11" max="11" width="26.140625" style="0" customWidth="1"/>
    <col min="12" max="12" width="21.421875" style="0" customWidth="1"/>
  </cols>
  <sheetData>
    <row r="5" ht="15.75" thickBot="1"/>
    <row r="6" spans="10:12" ht="15.75" thickBot="1">
      <c r="J6" s="89" t="s">
        <v>122</v>
      </c>
      <c r="K6" s="90" t="s">
        <v>123</v>
      </c>
      <c r="L6" s="91" t="s">
        <v>124</v>
      </c>
    </row>
    <row r="7" spans="10:12" ht="15">
      <c r="J7" s="92" t="s">
        <v>125</v>
      </c>
      <c r="K7" s="93" t="s">
        <v>126</v>
      </c>
      <c r="L7" s="94">
        <v>3</v>
      </c>
    </row>
    <row r="8" spans="10:12" ht="15">
      <c r="J8" s="95" t="s">
        <v>127</v>
      </c>
      <c r="K8" s="5" t="s">
        <v>128</v>
      </c>
      <c r="L8" s="96">
        <v>2</v>
      </c>
    </row>
    <row r="9" spans="10:12" ht="15">
      <c r="J9" s="95" t="s">
        <v>129</v>
      </c>
      <c r="K9" s="5" t="s">
        <v>130</v>
      </c>
      <c r="L9" s="96">
        <v>1</v>
      </c>
    </row>
    <row r="10" spans="10:12" ht="15.75" thickBot="1">
      <c r="J10" s="97" t="s">
        <v>131</v>
      </c>
      <c r="K10" s="98" t="s">
        <v>132</v>
      </c>
      <c r="L10" s="99">
        <v>0.5</v>
      </c>
    </row>
    <row r="11" spans="10:12" ht="15.75" thickBot="1">
      <c r="J11" s="168" t="s">
        <v>133</v>
      </c>
      <c r="K11" s="169"/>
      <c r="L11" s="170"/>
    </row>
    <row r="12" spans="10:12" ht="15">
      <c r="J12" s="171" t="s">
        <v>134</v>
      </c>
      <c r="K12" s="172"/>
      <c r="L12" s="173"/>
    </row>
    <row r="13" spans="10:12" ht="15">
      <c r="J13" s="174" t="s">
        <v>160</v>
      </c>
      <c r="K13" s="175"/>
      <c r="L13" s="176"/>
    </row>
    <row r="14" spans="10:12" ht="15">
      <c r="J14" s="177" t="s">
        <v>135</v>
      </c>
      <c r="K14" s="178"/>
      <c r="L14" s="179"/>
    </row>
    <row r="15" spans="10:12" ht="15">
      <c r="J15" s="177" t="s">
        <v>136</v>
      </c>
      <c r="K15" s="178"/>
      <c r="L15" s="179"/>
    </row>
    <row r="16" spans="10:12" ht="15">
      <c r="J16" s="177" t="s">
        <v>161</v>
      </c>
      <c r="K16" s="178"/>
      <c r="L16" s="179"/>
    </row>
    <row r="17" spans="10:12" ht="15.75" thickBot="1">
      <c r="J17" s="165" t="s">
        <v>137</v>
      </c>
      <c r="K17" s="166"/>
      <c r="L17" s="167"/>
    </row>
    <row r="18" spans="11:12" ht="15">
      <c r="K18" s="100"/>
      <c r="L18" s="100"/>
    </row>
    <row r="19" spans="10:11" ht="15">
      <c r="J19" t="s">
        <v>138</v>
      </c>
      <c r="K19" s="100"/>
    </row>
    <row r="20" ht="15">
      <c r="J20" t="s">
        <v>139</v>
      </c>
    </row>
    <row r="21" ht="15">
      <c r="J21" t="s">
        <v>140</v>
      </c>
    </row>
  </sheetData>
  <sheetProtection/>
  <mergeCells count="7">
    <mergeCell ref="J17:L17"/>
    <mergeCell ref="J11:L11"/>
    <mergeCell ref="J12:L12"/>
    <mergeCell ref="J13:L13"/>
    <mergeCell ref="J14:L14"/>
    <mergeCell ref="J15:L15"/>
    <mergeCell ref="J16:L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Hill</dc:creator>
  <cp:keywords/>
  <dc:description/>
  <cp:lastModifiedBy>Andy Hill</cp:lastModifiedBy>
  <cp:lastPrinted>2014-07-03T15:59:12Z</cp:lastPrinted>
  <dcterms:created xsi:type="dcterms:W3CDTF">2014-05-18T18:18:16Z</dcterms:created>
  <dcterms:modified xsi:type="dcterms:W3CDTF">2014-08-18T18:46:39Z</dcterms:modified>
  <cp:category/>
  <cp:version/>
  <cp:contentType/>
  <cp:contentStatus/>
</cp:coreProperties>
</file>