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60" windowWidth="12120" windowHeight="4308" firstSheet="1" activeTab="1"/>
  </bookViews>
  <sheets>
    <sheet name="README" sheetId="1" state="hidden" r:id="rId1"/>
    <sheet name="Criteria Emissions Summary" sheetId="2" r:id="rId2"/>
    <sheet name="TAC Emissions Summary" sheetId="3" r:id="rId3"/>
    <sheet name="Black Start Stack Parameters" sheetId="4" r:id="rId4"/>
    <sheet name="LM6000 Stack Parameters" sheetId="5" r:id="rId5"/>
    <sheet name="Black Start Criteria Pollutants" sheetId="6" r:id="rId6"/>
    <sheet name="LM6000 Criteria SCAQMD styles" sheetId="7" r:id="rId7"/>
    <sheet name="LM6000 Criteria Hourly" sheetId="8" r:id="rId8"/>
    <sheet name="LM6000 Criteria Pollutant PTE" sheetId="9" r:id="rId9"/>
    <sheet name="LM6000 TACs" sheetId="10" r:id="rId10"/>
    <sheet name="Black Start TACs" sheetId="11" r:id="rId11"/>
    <sheet name="Indirect Emissions" sheetId="12" r:id="rId12"/>
    <sheet name="Supplemental Info" sheetId="13" r:id="rId13"/>
    <sheet name="CATEF ICE FACTORS" sheetId="14" state="hidden" r:id="rId14"/>
  </sheets>
  <definedNames>
    <definedName name="_Regression_Out" hidden="1">#REF!</definedName>
    <definedName name="_Regression_X" hidden="1">#REF!</definedName>
    <definedName name="_Regression_Y" hidden="1">#REF!</definedName>
    <definedName name="DB">#REF!</definedName>
    <definedName name="_xlnm.Print_Area" localSheetId="5">'Black Start Criteria Pollutants'!$A$1:$H$30</definedName>
    <definedName name="_xlnm.Print_Area" localSheetId="1">'Criteria Emissions Summary'!$A$1:$H$15</definedName>
    <definedName name="_xlnm.Print_Area" localSheetId="7">'LM6000 Criteria Hourly'!$A$1:$G$52</definedName>
    <definedName name="_xlnm.Print_Area" localSheetId="8">'LM6000 Criteria Pollutant PTE'!$A$1:$K$19</definedName>
    <definedName name="_xlnm.Print_Area" localSheetId="6">'LM6000 Criteria SCAQMD styles'!$A$1:$H$31</definedName>
    <definedName name="_xlnm.Print_Area" localSheetId="4">'LM6000 Stack Parameters'!$A$1:$J$50</definedName>
    <definedName name="_xlnm.Print_Area" localSheetId="9">'LM6000 TACs'!$A$1:$H$34</definedName>
    <definedName name="_xlnm.Print_Area" localSheetId="12">'Supplemental Info'!$A$1:$O$37</definedName>
    <definedName name="_xlnm.Print_Area" localSheetId="2">'TAC Emissions Summary'!$A$1:$G$28</definedName>
    <definedName name="RANGE1">#REF!</definedName>
    <definedName name="RANGE2">#REF!</definedName>
  </definedNames>
  <calcPr fullCalcOnLoad="1"/>
</workbook>
</file>

<file path=xl/sharedStrings.xml><?xml version="1.0" encoding="utf-8"?>
<sst xmlns="http://schemas.openxmlformats.org/spreadsheetml/2006/main" count="757" uniqueCount="400">
  <si>
    <t>Ammonia</t>
  </si>
  <si>
    <t>Ethylbenzene</t>
  </si>
  <si>
    <t>Naphthalene</t>
  </si>
  <si>
    <t>Toluene</t>
  </si>
  <si>
    <t>Pollutant</t>
  </si>
  <si>
    <t>Acetaldehyde</t>
  </si>
  <si>
    <t>Assumptions:</t>
  </si>
  <si>
    <t>CAS</t>
  </si>
  <si>
    <t>Acrolein</t>
  </si>
  <si>
    <t>Benzene</t>
  </si>
  <si>
    <t>1,3-Butadiene</t>
  </si>
  <si>
    <t>Formaldehyde</t>
  </si>
  <si>
    <t>Propylene Oxide</t>
  </si>
  <si>
    <t>---</t>
  </si>
  <si>
    <t>Notes:</t>
  </si>
  <si>
    <t>75-07-0</t>
  </si>
  <si>
    <t>107-02-8</t>
  </si>
  <si>
    <t>71-43-2</t>
  </si>
  <si>
    <t>106-99-0</t>
  </si>
  <si>
    <t>100-41-4</t>
  </si>
  <si>
    <t>50-00-0</t>
  </si>
  <si>
    <t>91-20-3</t>
  </si>
  <si>
    <t>75-56-9</t>
  </si>
  <si>
    <t>108-88-3</t>
  </si>
  <si>
    <t>1330-20-7</t>
  </si>
  <si>
    <t>7664-41-7</t>
  </si>
  <si>
    <t>Worst-Case Short-Term Turbine Fuel Use (Case 100 in GE specs)</t>
  </si>
  <si>
    <t>Worst-Case Annual Turbine Fuel Use</t>
  </si>
  <si>
    <r>
      <t xml:space="preserve">AP-42 Emission Factor </t>
    </r>
    <r>
      <rPr>
        <b/>
        <vertAlign val="superscript"/>
        <sz val="10"/>
        <rFont val="Arial"/>
        <family val="2"/>
      </rPr>
      <t>(1)</t>
    </r>
  </si>
  <si>
    <t>fuel flow rate (MMBtu/hr)</t>
  </si>
  <si>
    <t>fuel flow rate (MMBtu/yr)</t>
  </si>
  <si>
    <t>(lb/MMBtu)</t>
  </si>
  <si>
    <t>assumed fraction control from oxidation catalyst</t>
  </si>
  <si>
    <r>
      <t xml:space="preserve">Emission Rate </t>
    </r>
    <r>
      <rPr>
        <b/>
        <vertAlign val="superscript"/>
        <sz val="10"/>
        <rFont val="Arial"/>
        <family val="2"/>
      </rPr>
      <t>(2)</t>
    </r>
  </si>
  <si>
    <t>(3) Ammonia is not a HAP and is not included in the HAP Total.</t>
  </si>
  <si>
    <r>
      <t xml:space="preserve">HAP Total </t>
    </r>
    <r>
      <rPr>
        <b/>
        <vertAlign val="superscript"/>
        <sz val="10"/>
        <rFont val="Arial"/>
        <family val="2"/>
      </rPr>
      <t>(3)</t>
    </r>
  </si>
  <si>
    <r>
      <t xml:space="preserve">Ammonia Slip </t>
    </r>
    <r>
      <rPr>
        <b/>
        <vertAlign val="superscript"/>
        <sz val="10"/>
        <rFont val="Arial"/>
        <family val="2"/>
      </rPr>
      <t>(4)</t>
    </r>
  </si>
  <si>
    <t>(1) AP-42 Section 3.1, Table 3.1-3 dated April 2000.</t>
  </si>
  <si>
    <t>HHV</t>
  </si>
  <si>
    <t>SU
(lb/hr)</t>
  </si>
  <si>
    <t>SD
(lb/hr)</t>
  </si>
  <si>
    <t>Number of SU/SD Events</t>
  </si>
  <si>
    <t>Normal Operations
(lb/hr)</t>
  </si>
  <si>
    <t>NOx</t>
  </si>
  <si>
    <t>CO</t>
  </si>
  <si>
    <t>SO2</t>
  </si>
  <si>
    <t>PM10</t>
  </si>
  <si>
    <t>PTE threshold</t>
  </si>
  <si>
    <t>PTE w/out Norm ops</t>
  </si>
  <si>
    <t>Note: assumes that 120 SUs and 120 SDs occur separately during the year</t>
  </si>
  <si>
    <t>Note: assumes that 60 SUs and 60 SDs occur separately during the year (60=120 events divided by 2 for 7/1/-12/31/07 operations)</t>
  </si>
  <si>
    <t>MMBtu/hr (HHV)</t>
  </si>
  <si>
    <t>Btu/hr (HHV)</t>
  </si>
  <si>
    <t>scf/hr</t>
  </si>
  <si>
    <t>using MMBtu</t>
  </si>
  <si>
    <t>using Btu</t>
  </si>
  <si>
    <t>Guaranteed Rate
(g/bhp-hr)</t>
  </si>
  <si>
    <t>Data from Waukesha "Environmental Products 9" Spec Sheet:</t>
  </si>
  <si>
    <t>Engine Specifications:</t>
  </si>
  <si>
    <t>KW</t>
  </si>
  <si>
    <t>bhp (KW * 1.341)</t>
  </si>
  <si>
    <t>Emission Factor
(lb/MMBtu)</t>
  </si>
  <si>
    <t>Rating
(MMBtu/hr)</t>
  </si>
  <si>
    <t>AP-42 SO2 and PM10 Calculations (assume 4SLB):</t>
  </si>
  <si>
    <t>Notes: AP-42 assumes 2,000 gr/MMscf sulfur in natural gas for SO2 calculation.</t>
  </si>
  <si>
    <t xml:space="preserve">          PM10 emission factor represents condensible PM10.</t>
  </si>
  <si>
    <t>Calculated Emission Rate
(g/hr)</t>
  </si>
  <si>
    <t>(1) ICE will operate for 30 minutes, therefore calculated g/hr rate is</t>
  </si>
  <si>
    <t xml:space="preserve">     converted to lb/hr by dividing the rate by 30/60.</t>
  </si>
  <si>
    <t>Stack Height</t>
  </si>
  <si>
    <t>(ft)</t>
  </si>
  <si>
    <t>(m)</t>
  </si>
  <si>
    <t>Stack Temp.</t>
  </si>
  <si>
    <t>(deg-F)</t>
  </si>
  <si>
    <t>(K)</t>
  </si>
  <si>
    <t>Stack Diam.</t>
  </si>
  <si>
    <t>Exhaust Flow</t>
  </si>
  <si>
    <t>(acfm)</t>
  </si>
  <si>
    <t>Stack Velocity</t>
  </si>
  <si>
    <t>(ft/s)</t>
  </si>
  <si>
    <t>(m/s)</t>
  </si>
  <si>
    <t>205-99-2</t>
  </si>
  <si>
    <t>Benzo(b)fluoranthene</t>
  </si>
  <si>
    <t>218-01-9</t>
  </si>
  <si>
    <t>Chrysene</t>
  </si>
  <si>
    <t>50-32-8</t>
  </si>
  <si>
    <t>PAH [as benzo(a)pyrene]</t>
  </si>
  <si>
    <t>Xylene</t>
  </si>
  <si>
    <t>Worst-Case Short-Term ICE Use</t>
  </si>
  <si>
    <t>minutes/hour operation</t>
  </si>
  <si>
    <t>Emission Rate</t>
  </si>
  <si>
    <t>HAP Total</t>
  </si>
  <si>
    <t>Annual Assumptions</t>
  </si>
  <si>
    <t>HHV btu/scf conversion</t>
  </si>
  <si>
    <t>Exhaust flow rate calculated from Waukesha Heat Rejection and Operation Data spec sheet, and</t>
  </si>
  <si>
    <t>Exhaust temp from Waukesha spec sheet for 645 KW capacity, 1800 rpm, standby power.</t>
  </si>
  <si>
    <t>Stack diameter verbal from Waukesha rep, 10/11/06 (10").</t>
  </si>
  <si>
    <t>Uncontrolled Commiss. Emissions
(lb/hr)</t>
  </si>
  <si>
    <t>Water Injection Commiss. Emissions
(lb/hr)</t>
  </si>
  <si>
    <t>Duration of Uncontrolled Commissioning
(hr)</t>
  </si>
  <si>
    <t>Duration of Water Injection Commissioning
(hr)</t>
  </si>
  <si>
    <t>Emission Factor</t>
  </si>
  <si>
    <t>Emission Factor Units</t>
  </si>
  <si>
    <t>Maximum Houly Rate
(lb/hr)</t>
  </si>
  <si>
    <t>Basis</t>
  </si>
  <si>
    <t>Vendor Guarantee</t>
  </si>
  <si>
    <t>AP-42</t>
  </si>
  <si>
    <r>
      <t xml:space="preserve">SO2 </t>
    </r>
    <r>
      <rPr>
        <vertAlign val="superscript"/>
        <sz val="10"/>
        <rFont val="Arial"/>
        <family val="2"/>
      </rPr>
      <t>(1)</t>
    </r>
  </si>
  <si>
    <t>n/a</t>
  </si>
  <si>
    <t>lb/MMBtu</t>
  </si>
  <si>
    <t>Duration of Startup
(min)</t>
  </si>
  <si>
    <t>Duration of Controlled Commissioning
(hr)</t>
  </si>
  <si>
    <t>Total Commissioning Emissions 
(lb)</t>
  </si>
  <si>
    <r>
      <t xml:space="preserve">Total Emissions During Startup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(lb)</t>
    </r>
  </si>
  <si>
    <r>
      <t xml:space="preserve">Maximum Houly Rate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(lb/hr)</t>
    </r>
  </si>
  <si>
    <t>(2) Normal operation emissions assumed for 48 minutes after startup is complete.</t>
  </si>
  <si>
    <r>
      <t xml:space="preserve">Controlled Commiss. Emissions </t>
    </r>
    <r>
      <rPr>
        <b/>
        <vertAlign val="superscript"/>
        <sz val="10"/>
        <rFont val="Arial"/>
        <family val="2"/>
      </rPr>
      <t>(2, 3)</t>
    </r>
    <r>
      <rPr>
        <b/>
        <sz val="10"/>
        <rFont val="Arial"/>
        <family val="2"/>
      </rPr>
      <t xml:space="preserve">
(lb/hr)</t>
    </r>
  </si>
  <si>
    <r>
      <t xml:space="preserve">Uncontrolled Commiss. Emissions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(lb/hr)</t>
    </r>
  </si>
  <si>
    <r>
      <t xml:space="preserve">Total Emissions During Shutdown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(lb)</t>
    </r>
  </si>
  <si>
    <t>(2) Normal operation emissions assumed for first 52 minutes of shutdown.</t>
  </si>
  <si>
    <t>PTE
(tpy)</t>
  </si>
  <si>
    <t>Maximum Possible Hours at Normal Ops
(hr)</t>
  </si>
  <si>
    <r>
      <t xml:space="preserve">Maximum Daily Rate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(lb/day)</t>
    </r>
  </si>
  <si>
    <r>
      <t xml:space="preserve">HAP Total </t>
    </r>
    <r>
      <rPr>
        <b/>
        <vertAlign val="superscript"/>
        <sz val="10"/>
        <rFont val="Arial"/>
        <family val="2"/>
      </rPr>
      <t>(1)</t>
    </r>
  </si>
  <si>
    <t>(1) Ammonia is not a HAP and is not included in the HAP Total.</t>
  </si>
  <si>
    <t>Stack diameter from "SCE 5XLM600 - BOP Equipment Only_Aug 09 06.doc", page 6.</t>
  </si>
  <si>
    <t>lb/hr emission rate</t>
  </si>
  <si>
    <t xml:space="preserve">     Represents 5.0 ppm ammonia slip.</t>
  </si>
  <si>
    <t>Stack height is 3 ft above 11.5 foot structure top.</t>
  </si>
  <si>
    <t>(1) AP-42, Section 3.1, Page 8, Supplement A.</t>
  </si>
  <si>
    <t>Startup load factors by minute</t>
  </si>
  <si>
    <t>minute</t>
  </si>
  <si>
    <t>flow
(ACFM)</t>
  </si>
  <si>
    <t>13-60 &lt; multiply flow rate times 52 minutes</t>
  </si>
  <si>
    <t>average flow rate during a startup hour</t>
  </si>
  <si>
    <t>ratio of startup hour to a full load hour</t>
  </si>
  <si>
    <t>Exhaust flow rate estimated for 12 minutes of startup from startup curve, with remaining 52 minutes at full load.</t>
  </si>
  <si>
    <t>Exhaust flow rate estimated to be 50% of full load during commissioning.</t>
  </si>
  <si>
    <t>Hours at Normal Ops
(hr)</t>
  </si>
  <si>
    <t>scf/yr</t>
  </si>
  <si>
    <t>total hourly fuel use (scf/hr)</t>
  </si>
  <si>
    <t>total annual fuel use (scf/yr)</t>
  </si>
  <si>
    <t>ID</t>
  </si>
  <si>
    <t>System</t>
  </si>
  <si>
    <t>Material</t>
  </si>
  <si>
    <t>SCC</t>
  </si>
  <si>
    <t>APC</t>
  </si>
  <si>
    <t>Other</t>
  </si>
  <si>
    <t>CAS        </t>
  </si>
  <si>
    <t>Substance</t>
  </si>
  <si>
    <t>Max</t>
  </si>
  <si>
    <t>Mean</t>
  </si>
  <si>
    <t>Median</t>
  </si>
  <si>
    <t>Unit</t>
  </si>
  <si>
    <t>Type</t>
  </si>
  <si>
    <t>Device</t>
  </si>
  <si>
    <t>Description</t>
  </si>
  <si>
    <t>Emission</t>
  </si>
  <si>
    <t>factor</t>
  </si>
  <si>
    <t> 3458 </t>
  </si>
  <si>
    <t>Internal Combustion Engine</t>
  </si>
  <si>
    <t>Natural gas</t>
  </si>
  <si>
    <t>None</t>
  </si>
  <si>
    <t>4S/Lean/&gt;650Hp</t>
  </si>
  <si>
    <t>lbs/MMcf</t>
  </si>
  <si>
    <t> 3462 </t>
  </si>
  <si>
    <t> 3465 </t>
  </si>
  <si>
    <t> 3469 </t>
  </si>
  <si>
    <t> 3471 </t>
  </si>
  <si>
    <t>Benzo(a)pyrene</t>
  </si>
  <si>
    <t> 3472 </t>
  </si>
  <si>
    <t> 3473 </t>
  </si>
  <si>
    <t>191-24-2</t>
  </si>
  <si>
    <t>Benzo(g,h,i)perylene</t>
  </si>
  <si>
    <t> 3474 </t>
  </si>
  <si>
    <t>207-08-9</t>
  </si>
  <si>
    <t>Benzo(k)fluoranthene</t>
  </si>
  <si>
    <t> 3475 </t>
  </si>
  <si>
    <t> 3476 </t>
  </si>
  <si>
    <t>53-70-3</t>
  </si>
  <si>
    <t>Dibenz(a,h)anthracene</t>
  </si>
  <si>
    <t> 3477 </t>
  </si>
  <si>
    <t> 3482 </t>
  </si>
  <si>
    <t> 3483 </t>
  </si>
  <si>
    <t>193-39-5</t>
  </si>
  <si>
    <t>Indeno(1,2,3-cd)pyrene</t>
  </si>
  <si>
    <t> 3484 </t>
  </si>
  <si>
    <t> 3487 </t>
  </si>
  <si>
    <t>115-07-1</t>
  </si>
  <si>
    <t>Propylene</t>
  </si>
  <si>
    <t> 3490 </t>
  </si>
  <si>
    <t> 3491 </t>
  </si>
  <si>
    <t>HHV of natural gas (btu/scf):</t>
  </si>
  <si>
    <t>(lb/MMscf)</t>
  </si>
  <si>
    <t>(1) 4-Stroke, lean burn, &gt;650 hp CATEF factors obtained 10/18/06.</t>
  </si>
  <si>
    <t>Number of Black Starts/Testing Hours per year</t>
  </si>
  <si>
    <r>
      <t xml:space="preserve">CATEF Emission Factor </t>
    </r>
    <r>
      <rPr>
        <b/>
        <vertAlign val="superscript"/>
        <sz val="10"/>
        <rFont val="Arial"/>
        <family val="2"/>
      </rPr>
      <t>(1)</t>
    </r>
  </si>
  <si>
    <t>number of black starts/testing hours per year</t>
  </si>
  <si>
    <t>PM emission limit compliance demonstration for turbine</t>
  </si>
  <si>
    <t>PM emission limit compliance demonstration for ICE</t>
  </si>
  <si>
    <t>MMBtu/hr</t>
  </si>
  <si>
    <t>Btu/hr</t>
  </si>
  <si>
    <r>
      <t xml:space="preserve">factor of full load </t>
    </r>
    <r>
      <rPr>
        <b/>
        <vertAlign val="superscript"/>
        <sz val="10"/>
        <rFont val="Arial"/>
        <family val="2"/>
      </rPr>
      <t>(1)</t>
    </r>
  </si>
  <si>
    <t>(1) Based on startup curve.</t>
  </si>
  <si>
    <t>minutes ICE operates during a black start/testing period</t>
  </si>
  <si>
    <t xml:space="preserve">     PM10 and SO2 assumed equal to normal operations.  </t>
  </si>
  <si>
    <t>(2) Hourly rates during normal operations assumed for PM10 and SO2.</t>
  </si>
  <si>
    <t xml:space="preserve">1-hr </t>
  </si>
  <si>
    <t>modeled rates (g/s)</t>
  </si>
  <si>
    <t>24-hr</t>
  </si>
  <si>
    <t>annual</t>
  </si>
  <si>
    <t>3-hr</t>
  </si>
  <si>
    <t>8-hr</t>
  </si>
  <si>
    <t>Approx. Annual Operating Hours</t>
  </si>
  <si>
    <t>scf/yr &lt; assume  14 hr/yr ops</t>
  </si>
  <si>
    <t>Assume no de-rating for elevation; Waukesha only provides de-rating values above 1,500 ft.</t>
  </si>
  <si>
    <t>VOC</t>
  </si>
  <si>
    <t xml:space="preserve">     Uncontrolled VOC emissions back-calculated assuming  33.3% control from oxidation catalyst;</t>
  </si>
  <si>
    <t xml:space="preserve">      of CO and VOC from water injection.</t>
  </si>
  <si>
    <t>Duration of Shutdown
(min)</t>
  </si>
  <si>
    <r>
      <t xml:space="preserve">Maximum Houly Rate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(AHU/AHC/MHU/MHC)
(lb/hr)</t>
    </r>
  </si>
  <si>
    <r>
      <t xml:space="preserve">Maximum Daily Rate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(MDU/MDC)
(lb/day)</t>
    </r>
  </si>
  <si>
    <r>
      <t xml:space="preserve">30-Day Average Rate 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
(30-DA)
(lb/day)</t>
    </r>
  </si>
  <si>
    <t>(3) 30-day average rates assume 2 hours of operation per month, consisting of 1 black start and 1 hour of testing.</t>
  </si>
  <si>
    <t>(2) Daily emission rates assume 1 black start or test in a day.</t>
  </si>
  <si>
    <t>Annual Average Rate
(AA)
(lb/yr)</t>
  </si>
  <si>
    <r>
      <t xml:space="preserve">Houly Uncontrolled Rate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(AHU/MHU)
(lb/hr)</t>
    </r>
  </si>
  <si>
    <r>
      <t xml:space="preserve">Houly Controlled Rate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(AHC/MHC)
(lb/hr)</t>
    </r>
  </si>
  <si>
    <r>
      <t xml:space="preserve">Maximum Daily Uncontrolled Rate 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
(MDU)
(lb/day)</t>
    </r>
  </si>
  <si>
    <r>
      <t xml:space="preserve">Maximum Daily Controlled Rate </t>
    </r>
    <r>
      <rPr>
        <b/>
        <vertAlign val="superscript"/>
        <sz val="10"/>
        <rFont val="Arial"/>
        <family val="2"/>
      </rPr>
      <t>(4)</t>
    </r>
    <r>
      <rPr>
        <b/>
        <sz val="10"/>
        <rFont val="Arial"/>
        <family val="2"/>
      </rPr>
      <t xml:space="preserve">
(MDC)
(lb/day)</t>
    </r>
  </si>
  <si>
    <r>
      <t xml:space="preserve">30-Day Average Rate </t>
    </r>
    <r>
      <rPr>
        <b/>
        <vertAlign val="superscript"/>
        <sz val="10"/>
        <rFont val="Arial"/>
        <family val="2"/>
      </rPr>
      <t>(5)</t>
    </r>
    <r>
      <rPr>
        <b/>
        <sz val="10"/>
        <rFont val="Arial"/>
        <family val="2"/>
      </rPr>
      <t xml:space="preserve">
(30-DA)
(lb/day)</t>
    </r>
  </si>
  <si>
    <t>CEQA threshold
(lb/day)</t>
  </si>
  <si>
    <t>Note: lead emission factors in AP-42 are non-detect for natural gas, therefore emissions of lead are negligible.</t>
  </si>
  <si>
    <t>w/out hr limit
(lb/day)</t>
  </si>
  <si>
    <t>daily final
(lb/day)</t>
  </si>
  <si>
    <t>(1) AHU/MHU are uncontrolled emissions during commissioning.</t>
  </si>
  <si>
    <t>(2) AHC/MHC are vendor guaranteed rates for NOx, CO, PM10, and VOC during normal operations.  SO2 is AP-42 emission calculation.</t>
  </si>
  <si>
    <t>&lt;min daily hr limit rounded to single hour</t>
  </si>
  <si>
    <t>(6) AA represents annual emissions for subsequent years following commissioning.</t>
  </si>
  <si>
    <r>
      <t xml:space="preserve">Annual Average Rate </t>
    </r>
    <r>
      <rPr>
        <b/>
        <vertAlign val="superscript"/>
        <sz val="10"/>
        <rFont val="Arial"/>
        <family val="2"/>
      </rPr>
      <t>(6)</t>
    </r>
    <r>
      <rPr>
        <b/>
        <sz val="10"/>
        <rFont val="Arial"/>
        <family val="2"/>
      </rPr>
      <t xml:space="preserve">
(AA)
(lb/yr)</t>
    </r>
  </si>
  <si>
    <t>NOTE: SU IS CONTROLLING SO 13 HRS NOT USED</t>
  </si>
  <si>
    <r>
      <t xml:space="preserve">Annual Average Rate </t>
    </r>
    <r>
      <rPr>
        <b/>
        <vertAlign val="superscript"/>
        <sz val="10"/>
        <rFont val="Arial"/>
        <family val="2"/>
      </rPr>
      <t>(7)</t>
    </r>
    <r>
      <rPr>
        <b/>
        <sz val="10"/>
        <rFont val="Arial"/>
        <family val="2"/>
      </rPr>
      <t xml:space="preserve">
(AA)
(lb/yr)</t>
    </r>
  </si>
  <si>
    <t>(7) AA represents annual emissions for subsequent years following commissioning.</t>
  </si>
  <si>
    <t>MHC (lb/hr)</t>
  </si>
  <si>
    <t>MHU (lb/hr)</t>
  </si>
  <si>
    <t>MHU
(lb/hr)</t>
  </si>
  <si>
    <t>MHC
(lb/hr)</t>
  </si>
  <si>
    <t>MAC
lb/yr</t>
  </si>
  <si>
    <t>MAC
ton/yr</t>
  </si>
  <si>
    <t>Mira Loma Site Facility-Wide Hourly, Daily, 30-Day, and Annual Emissions During Normal Operations</t>
  </si>
  <si>
    <t>Mira Loma Site TAC Emissions Summary</t>
  </si>
  <si>
    <t>Mira Loma Site Waukesha Black Start ICE Modeled Stack Parameters</t>
  </si>
  <si>
    <t>Mira Loma Site LM6000 Modeled Stack Parameters - Normal Operations</t>
  </si>
  <si>
    <t>Mira Loma Site LM6000 Modeled Stack Parameters - Startup Conditions</t>
  </si>
  <si>
    <t>Mira Loma Site LM6000 Modeled Stack Parameters - Commissioning</t>
  </si>
  <si>
    <t>Mira Loma Site Waukesha Black Start ICE Calculations for Criteria Pollutants</t>
  </si>
  <si>
    <t>Mira Loma Site LM6000 Hourly, Daily, 30-Day, and Annual Emissions During Normal Operations</t>
  </si>
  <si>
    <t>Mira Loma Site LM6000 Hourly Emission Calculations During Shutdown Conditions</t>
  </si>
  <si>
    <t>Mira Loma Site LM6000 Hourly Emission Calculations During Commissioning</t>
  </si>
  <si>
    <t>Mira Loma Site LM6000 PTE Calculations for Criteria Pollutants: First Year with Commissioning</t>
  </si>
  <si>
    <t>Mira Loma Site LM6000 PTE Calculations for Criteria Pollutants: After Commissioning</t>
  </si>
  <si>
    <t>Mira Loma Site LM6000 TAC Emission Calculations</t>
  </si>
  <si>
    <t xml:space="preserve">    Waukesha VGF36GL/GLD spec sheet.  Flow rate reduced by factor of 29.1 inHg/29.54 inHg</t>
  </si>
  <si>
    <t xml:space="preserve">    average atmospheric pressure to account for 751 ft elevation.</t>
  </si>
  <si>
    <t>Exhaust flow rate (ACFM) calculated from "406371 Guar Site 3 Mira Loma R1.pdf", and with correction</t>
  </si>
  <si>
    <t>Mira Loma Site LM6000 Hourly Emission Calculations During Normal Operations</t>
  </si>
  <si>
    <t>Mira Loma Site LM6000 Hourly Emission Calculations During Startup Conditions</t>
  </si>
  <si>
    <t>(4) Ammonia slip lb/hr rate from Express Integrated Technologies performance data for case #111;</t>
  </si>
  <si>
    <r>
      <t xml:space="preserve">Houly Controlled Rate SU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(AHC/MHC)
(lb/hr)</t>
    </r>
  </si>
  <si>
    <r>
      <t xml:space="preserve">Houly Controlled Rate SD 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
(AHC/MHC)
(lb/hr)</t>
    </r>
  </si>
  <si>
    <r>
      <t xml:space="preserve">Maximum Daily Uncontrolled Rate </t>
    </r>
    <r>
      <rPr>
        <b/>
        <vertAlign val="superscript"/>
        <sz val="10"/>
        <rFont val="Arial"/>
        <family val="2"/>
      </rPr>
      <t>(4)</t>
    </r>
    <r>
      <rPr>
        <b/>
        <sz val="10"/>
        <rFont val="Arial"/>
        <family val="2"/>
      </rPr>
      <t xml:space="preserve">
(MDU)
(lb/day)</t>
    </r>
  </si>
  <si>
    <r>
      <t xml:space="preserve">Maximum Daily Controlled Rate </t>
    </r>
    <r>
      <rPr>
        <b/>
        <vertAlign val="superscript"/>
        <sz val="10"/>
        <rFont val="Arial"/>
        <family val="2"/>
      </rPr>
      <t>(5)</t>
    </r>
    <r>
      <rPr>
        <b/>
        <sz val="10"/>
        <rFont val="Arial"/>
        <family val="2"/>
      </rPr>
      <t xml:space="preserve">
(MDC)
(lb/day)</t>
    </r>
  </si>
  <si>
    <r>
      <t xml:space="preserve">30-Day Average Rate </t>
    </r>
    <r>
      <rPr>
        <b/>
        <vertAlign val="superscript"/>
        <sz val="10"/>
        <rFont val="Arial"/>
        <family val="2"/>
      </rPr>
      <t>(6)</t>
    </r>
    <r>
      <rPr>
        <b/>
        <sz val="10"/>
        <rFont val="Arial"/>
        <family val="2"/>
      </rPr>
      <t xml:space="preserve">
(30-DA)
(lb/day)</t>
    </r>
  </si>
  <si>
    <t>CALC DOESN'T WORK, SO ASSUME 11 HR/DAY</t>
  </si>
  <si>
    <t>(2) AHC/MHC SU represent hourly average emission rates for a 12-minute startup, and 48 minutes of normal operations.</t>
  </si>
  <si>
    <t>(3) AHC/MHC SD represent hourly average emission rates for an 8-minute shutdown, and 52 minutes of normal operations.</t>
  </si>
  <si>
    <t>NOTE STARTUP IS CONTROLLING, SO LIMIT TO 11 HR/DAY</t>
  </si>
  <si>
    <t>Mira Loma Site LM6000 Hourly, Daily, 30-Day, and Annual Emissions Including Startup and Shutdown Operations</t>
  </si>
  <si>
    <t>Rev 1:</t>
  </si>
  <si>
    <t>Corrected 8-hr CO startup modeling rate.  Note: modeling was correct, since Rich caught this mistake when setting up runs</t>
  </si>
  <si>
    <t>Rev 2; 12/7/06</t>
  </si>
  <si>
    <t>Added BS ICE to EI for CEQA modeling</t>
  </si>
  <si>
    <t>Corrected fuel use limits; updated LM6000 TACs to use new annual fuel use</t>
  </si>
  <si>
    <t>hr/yr</t>
  </si>
  <si>
    <t>Calced using scf/hr * annual op hours below</t>
  </si>
  <si>
    <t>Mira Loma Site Waukesha Black Start ICE TAC Emission Calculations using CATEF</t>
  </si>
  <si>
    <t>Mira Loma Site Support Calculations</t>
  </si>
  <si>
    <t>LM6000 Fuel Use</t>
  </si>
  <si>
    <t>First Year with Commissioning Annual Fuel use:</t>
  </si>
  <si>
    <t>Subsequent Years after Commissioning Annual Fuel use:</t>
  </si>
  <si>
    <t>Waukesha ICE Fuel Use</t>
  </si>
  <si>
    <t>Facility-Wide Fuel Use: Subsequent Years after Commissioning</t>
  </si>
  <si>
    <t>VOC (as NMHC)</t>
  </si>
  <si>
    <r>
      <t xml:space="preserve">Vendor Guarantee </t>
    </r>
    <r>
      <rPr>
        <vertAlign val="superscript"/>
        <sz val="10"/>
        <rFont val="Arial"/>
        <family val="2"/>
      </rPr>
      <t>(2)</t>
    </r>
  </si>
  <si>
    <t>(2) Vendor guarantee of 4.0 lb/hr, plus 2 times SO2 emission rate to account for estimated sulfates.</t>
  </si>
  <si>
    <t>MAC
(lb/yr)</t>
  </si>
  <si>
    <t>MAC
(ton/yr)</t>
  </si>
  <si>
    <t>Proposed Facility-Wide TAC Emissions During Normal Operations After Commissioning</t>
  </si>
  <si>
    <t>Note: LM6000 PAHs are listed as composite PAHs (as benzo[a]pyrene) in emission factor list; Black start generator</t>
  </si>
  <si>
    <t xml:space="preserve">          PAHs are speciated in emission factor database.</t>
  </si>
  <si>
    <t>(1) Uncontrolled NOx calculated as water injection rate (42.3 lb/hr) times ratio of 61/25, where 61 = ppm "spike" on startup curve,</t>
  </si>
  <si>
    <t xml:space="preserve">    factor applied (in deg-R) to scale down the provided flow rate at 858.1F to 669F exhaust conditions.</t>
  </si>
  <si>
    <t>Exhaust temp from "Catalyst Design (C06-135-GE Rev 2-Non Calc).xls", case 115.</t>
  </si>
  <si>
    <t xml:space="preserve">     and 25 = ppm during water injection. Uncontrolled CO obtained from vendor guarantee spec sheet</t>
  </si>
  <si>
    <t xml:space="preserve">      ("Catalyst Design (C06-135-GE Rev 2-Non Calc).xls"). Uncontrolled VOC emissions back-calculated assuming</t>
  </si>
  <si>
    <t xml:space="preserve">     33.3% control from oxidation catalyst.</t>
  </si>
  <si>
    <t>(3) Water injection controlled emissions for NOx obtained from "Catalyst Design (C06-135-GE Rev 2-Non Calc).xls"); assumed no control</t>
  </si>
  <si>
    <t>Table C.2.19</t>
  </si>
  <si>
    <t>2007 Motor Vehicle Exhaust Emission Factors</t>
  </si>
  <si>
    <t>Passenger Vehicles
(pounds/mile)</t>
  </si>
  <si>
    <t>Delivery Trucks
(pounds/mile)</t>
  </si>
  <si>
    <t>SOx</t>
  </si>
  <si>
    <t>Source:  SCAQMD CEQA Analysis Guidance Handbook Web Site,</t>
  </si>
  <si>
    <t xml:space="preserve">               http://www.aqmd.gov/ceqa/hdbk.html</t>
  </si>
  <si>
    <t xml:space="preserve">Note:  The emission factors were compiled by running the California Air Resources Board's EMFAC2002 </t>
  </si>
  <si>
    <t>(version 2.2) Burden Model.  A weighted average of vehicle types was used to calculate emission factors</t>
  </si>
  <si>
    <t>for passenger vehicles, and emission factors for heavy heavy-duty diesel trucks were used for delivery trucks.</t>
  </si>
  <si>
    <t>All the emission factors account for the emissions from start, running and idling exhaust.  In addition, the VOC</t>
  </si>
  <si>
    <t>emission factors take into account diurnal, hot soak, running and resting emissions, and PM10 emission factors</t>
  </si>
  <si>
    <t>take into account tire and brake wear.</t>
  </si>
  <si>
    <t>Vehicle Type</t>
  </si>
  <si>
    <t>Exhaust Emission Factors</t>
  </si>
  <si>
    <t>CO
(lb/mi)</t>
  </si>
  <si>
    <t>VOC
(lb/mi)</t>
  </si>
  <si>
    <t>PM10
(lb/mi)</t>
  </si>
  <si>
    <r>
      <t>PM2.5
(lb/mi)</t>
    </r>
    <r>
      <rPr>
        <b/>
        <vertAlign val="superscript"/>
        <sz val="10"/>
        <rFont val="Arial"/>
        <family val="2"/>
      </rPr>
      <t>a</t>
    </r>
  </si>
  <si>
    <t>On-Site Pickup Truck</t>
  </si>
  <si>
    <t>Off-Site Dump Truck</t>
  </si>
  <si>
    <t>Off-Site Concrete Truck</t>
  </si>
  <si>
    <t>Off-Site Delivery Truck</t>
  </si>
  <si>
    <t>Off-Site Construction Worker Commute</t>
  </si>
  <si>
    <r>
      <t>c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</si>
  <si>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Diesel Engine Exhaust =</t>
  </si>
  <si>
    <t>from Final–Methodology to Calculate Particulate Matter (PM) 2.5</t>
  </si>
  <si>
    <t>PM2.5 Fraction of PM10 in Gasoline Engine Exhaust =</t>
  </si>
  <si>
    <t>and PM 2.5 Significance Thresholds, SCAQMD, October 2006</t>
  </si>
  <si>
    <t>Emissions [pounds/day] = Emission factor [pounds/mile] x Vehicle miles traveled [miles/day]</t>
  </si>
  <si>
    <t>Table C.2.20</t>
  </si>
  <si>
    <t>Motor Vehicle Entrained Paved Road PM10 Emission Factors</t>
  </si>
  <si>
    <r>
      <t>On-Road Average
Vehicle Weight
(tons)</t>
    </r>
    <r>
      <rPr>
        <b/>
        <vertAlign val="superscript"/>
        <sz val="10"/>
        <rFont val="Arial"/>
        <family val="2"/>
      </rPr>
      <t>a</t>
    </r>
  </si>
  <si>
    <t>Road Type</t>
  </si>
  <si>
    <r>
      <t>Silt Loading
(g/m2)</t>
    </r>
    <r>
      <rPr>
        <b/>
        <vertAlign val="superscript"/>
        <sz val="10"/>
        <rFont val="Arial"/>
        <family val="2"/>
      </rPr>
      <t>b</t>
    </r>
  </si>
  <si>
    <r>
      <t xml:space="preserve">
PM10
Emission
Factor
(lb/mi)</t>
    </r>
    <r>
      <rPr>
        <b/>
        <vertAlign val="superscript"/>
        <sz val="10"/>
        <rFont val="Arial"/>
        <family val="2"/>
      </rPr>
      <t>c</t>
    </r>
  </si>
  <si>
    <r>
      <t xml:space="preserve">
PM2.5
Emission
Factor
(lb/mi)</t>
    </r>
    <r>
      <rPr>
        <b/>
        <vertAlign val="superscript"/>
        <sz val="10"/>
        <rFont val="Arial"/>
        <family val="2"/>
      </rPr>
      <t>d</t>
    </r>
  </si>
  <si>
    <t>Local</t>
  </si>
  <si>
    <t>Collector</t>
  </si>
  <si>
    <r>
      <t>a</t>
    </r>
    <r>
      <rPr>
        <sz val="8"/>
        <rFont val="Arial"/>
        <family val="2"/>
      </rPr>
      <t xml:space="preserve">  Weight of on-site vehicles based on vehicle class. Off-site average vehicle weight from</t>
    </r>
  </si>
  <si>
    <t xml:space="preserve">    Methodology 7.9, Entrained Paved Road Dust (1997)</t>
  </si>
  <si>
    <r>
      <t>b</t>
    </r>
    <r>
      <rPr>
        <sz val="8"/>
        <rFont val="Arial"/>
        <family val="2"/>
      </rPr>
      <t xml:space="preserve">  From ARB Emission Inventory Methodology 7.9, Entrained Paved Road Dust (1997)</t>
    </r>
  </si>
  <si>
    <t xml:space="preserve">   from ARB Emission Inventory Methodology 7.9, Entrained Paved Road Dust (1997)</t>
  </si>
  <si>
    <r>
      <t>d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</si>
  <si>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Paved Road Dust =</t>
  </si>
  <si>
    <t>Table C.2.21</t>
  </si>
  <si>
    <t>Indirect Operational Emissions</t>
  </si>
  <si>
    <t>One-way Miles</t>
  </si>
  <si>
    <t>Emissions</t>
  </si>
  <si>
    <t>CO
(lb)</t>
  </si>
  <si>
    <t>VOC
(lb)</t>
  </si>
  <si>
    <t>PM10
(lb)</t>
  </si>
  <si>
    <t>PM2.5
(lb)</t>
  </si>
  <si>
    <t>Ammonia Delivery Truck</t>
  </si>
  <si>
    <t>Wastewater Delivery Truck</t>
  </si>
  <si>
    <t>Total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</si>
  <si>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</si>
  <si>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</si>
  <si>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c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(Weight/3)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</si>
  <si>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(lb)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</si>
  <si>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(lb)</t>
    </r>
  </si>
  <si>
    <t>Table C.2.1</t>
  </si>
  <si>
    <t>Table C.2.2</t>
  </si>
  <si>
    <t>Table C.2.3</t>
  </si>
  <si>
    <t>Table C.2.4</t>
  </si>
  <si>
    <t>Table C.2.5</t>
  </si>
  <si>
    <t>Table C.2.6</t>
  </si>
  <si>
    <t>Table C.2.7</t>
  </si>
  <si>
    <t>Table C.2.9</t>
  </si>
  <si>
    <t>Table C.2.8</t>
  </si>
  <si>
    <t>Table C.2.10</t>
  </si>
  <si>
    <t>Table C.2.11</t>
  </si>
  <si>
    <t>Table C.2.12</t>
  </si>
  <si>
    <t>Table C.2.13</t>
  </si>
  <si>
    <t>Table C.2.14</t>
  </si>
  <si>
    <t>Table C.2.15</t>
  </si>
  <si>
    <t xml:space="preserve">Table C.2.16 </t>
  </si>
  <si>
    <t>Table C.2.17</t>
  </si>
  <si>
    <t>Table C.2.18</t>
  </si>
  <si>
    <t>Table C.2.22</t>
  </si>
  <si>
    <t>(1) NOx and CO totals during startup provided by vendor; VOC assumed to be uncontrolled for first 6.5 minutes;</t>
  </si>
  <si>
    <t>(1) NOx and CO totals during shutdown provided by vendor; VOC assumed to be uncontrolled for last 5.5 minutes;</t>
  </si>
  <si>
    <r>
      <t xml:space="preserve">Houly Uncontrolled Rate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(lb/hr)</t>
    </r>
  </si>
  <si>
    <r>
      <t xml:space="preserve">Houly Controlled Rate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(lb/hr)</t>
    </r>
  </si>
  <si>
    <r>
      <t xml:space="preserve">Maximum Daily Uncontrolled Rate 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
(lb/day)</t>
    </r>
  </si>
  <si>
    <r>
      <t xml:space="preserve">Maximum Daily Controlled Rate </t>
    </r>
    <r>
      <rPr>
        <b/>
        <vertAlign val="superscript"/>
        <sz val="10"/>
        <rFont val="Arial"/>
        <family val="2"/>
      </rPr>
      <t>(4)</t>
    </r>
    <r>
      <rPr>
        <b/>
        <sz val="10"/>
        <rFont val="Arial"/>
        <family val="2"/>
      </rPr>
      <t xml:space="preserve">
(lb/day)</t>
    </r>
  </si>
  <si>
    <r>
      <t xml:space="preserve">30-Day Average Rate </t>
    </r>
    <r>
      <rPr>
        <b/>
        <vertAlign val="superscript"/>
        <sz val="10"/>
        <rFont val="Arial"/>
        <family val="2"/>
      </rPr>
      <t>(5)</t>
    </r>
    <r>
      <rPr>
        <b/>
        <sz val="10"/>
        <rFont val="Arial"/>
        <family val="2"/>
      </rPr>
      <t xml:space="preserve">
(lb/day)</t>
    </r>
  </si>
  <si>
    <r>
      <t xml:space="preserve">Annual Average Rate </t>
    </r>
    <r>
      <rPr>
        <b/>
        <vertAlign val="superscript"/>
        <sz val="10"/>
        <rFont val="Arial"/>
        <family val="2"/>
      </rPr>
      <t>(6)</t>
    </r>
    <r>
      <rPr>
        <b/>
        <sz val="10"/>
        <rFont val="Arial"/>
        <family val="2"/>
      </rPr>
      <t xml:space="preserve">
(lb/yr)</t>
    </r>
  </si>
  <si>
    <r>
      <t xml:space="preserve">Annual Average Rate </t>
    </r>
    <r>
      <rPr>
        <b/>
        <vertAlign val="superscript"/>
        <sz val="10"/>
        <rFont val="Arial"/>
        <family val="2"/>
      </rPr>
      <t>(7)</t>
    </r>
    <r>
      <rPr>
        <b/>
        <sz val="10"/>
        <rFont val="Arial"/>
        <family val="2"/>
      </rPr>
      <t xml:space="preserve">
(lb/yr)</t>
    </r>
  </si>
  <si>
    <t>(1) Uncontrolled turbine emissions during commissioning.</t>
  </si>
  <si>
    <t>(2) Startup hour.</t>
  </si>
  <si>
    <t>(6) Annual emissions for the first year with commissioning.</t>
  </si>
  <si>
    <t>(7) Annual emissions for subsequent years following commissioning.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</si>
</sst>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_);_(* \(#,##0\);_(* &quot;-&quot;??_);_(@_)"/>
    <numFmt numFmtId="169" formatCode="0.00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0"/>
      <name val="MS Sans Serif"/>
      <family val="0"/>
    </font>
    <font>
      <vertAlign val="superscript"/>
      <sz val="10"/>
      <name val="Arial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8" applyNumberFormat="0" applyBorder="0" applyAlignment="0" applyProtection="0"/>
    <xf numFmtId="0" fontId="43" fillId="0" borderId="9" applyNumberFormat="0" applyFill="0" applyAlignment="0" applyProtection="0"/>
    <xf numFmtId="0" fontId="44" fillId="33" borderId="0" applyNumberFormat="0" applyBorder="0" applyAlignment="0" applyProtection="0"/>
    <xf numFmtId="169" fontId="8" fillId="0" borderId="0">
      <alignment/>
      <protection/>
    </xf>
    <xf numFmtId="0" fontId="0" fillId="34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9" fillId="0" borderId="12">
      <alignment horizontal="center"/>
      <protection/>
    </xf>
    <xf numFmtId="3" fontId="5" fillId="0" borderId="0" applyFont="0" applyFill="0" applyBorder="0" applyAlignment="0" applyProtection="0"/>
    <xf numFmtId="0" fontId="5" fillId="35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" fontId="0" fillId="0" borderId="0" xfId="42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1" fontId="2" fillId="0" borderId="16" xfId="0" applyNumberFormat="1" applyFont="1" applyBorder="1" applyAlignment="1">
      <alignment horizontal="centerContinuous" wrapText="1"/>
    </xf>
    <xf numFmtId="11" fontId="2" fillId="0" borderId="4" xfId="0" applyNumberFormat="1" applyFont="1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0" xfId="0" applyAlignment="1">
      <alignment/>
    </xf>
    <xf numFmtId="0" fontId="2" fillId="0" borderId="8" xfId="0" applyNumberFormat="1" applyFont="1" applyBorder="1" applyAlignment="1">
      <alignment horizontal="center" wrapText="1"/>
    </xf>
    <xf numFmtId="11" fontId="2" fillId="0" borderId="8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left"/>
    </xf>
    <xf numFmtId="11" fontId="0" fillId="0" borderId="1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11" fontId="0" fillId="0" borderId="17" xfId="0" applyNumberFormat="1" applyBorder="1" applyAlignment="1" quotePrefix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/>
    </xf>
    <xf numFmtId="11" fontId="0" fillId="0" borderId="0" xfId="0" applyNumberFormat="1" applyBorder="1" applyAlignment="1">
      <alignment horizontal="left"/>
    </xf>
    <xf numFmtId="1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Continuous" wrapText="1"/>
    </xf>
    <xf numFmtId="0" fontId="2" fillId="0" borderId="15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0" fillId="0" borderId="0" xfId="42" applyNumberFormat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1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/>
    </xf>
    <xf numFmtId="1" fontId="0" fillId="0" borderId="0" xfId="42" applyNumberFormat="1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4" fillId="0" borderId="23" xfId="55" applyBorder="1" applyAlignment="1" applyProtection="1">
      <alignment wrapText="1"/>
      <protection/>
    </xf>
    <xf numFmtId="0" fontId="12" fillId="0" borderId="23" xfId="0" applyFont="1" applyBorder="1" applyAlignment="1">
      <alignment wrapText="1"/>
    </xf>
    <xf numFmtId="11" fontId="12" fillId="0" borderId="23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165" fontId="0" fillId="0" borderId="8" xfId="0" applyNumberFormat="1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24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5" xfId="0" applyFill="1" applyBorder="1" applyAlignment="1">
      <alignment/>
    </xf>
    <xf numFmtId="1" fontId="0" fillId="0" borderId="25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8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11" fontId="14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0" fillId="0" borderId="8" xfId="0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/>
    </xf>
    <xf numFmtId="166" fontId="0" fillId="0" borderId="8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8" xfId="0" applyNumberFormat="1" applyFon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wrapText="1"/>
    </xf>
    <xf numFmtId="166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5" fontId="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rmal - Style1" xfId="60"/>
    <cellStyle name="Note" xfId="61"/>
    <cellStyle name="Output" xfId="62"/>
    <cellStyle name="Percent" xfId="63"/>
    <cellStyle name="Percent [2]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.ca.gov/app/emsinv/catef_detail.php?id=3458&amp;scc=20200202" TargetMode="External" /><Relationship Id="rId2" Type="http://schemas.openxmlformats.org/officeDocument/2006/relationships/hyperlink" Target="http://www.arb.ca.gov/app/emsinv/catef_detail.php?id=3462&amp;scc=20200202" TargetMode="External" /><Relationship Id="rId3" Type="http://schemas.openxmlformats.org/officeDocument/2006/relationships/hyperlink" Target="http://www.arb.ca.gov/app/emsinv/catef_detail.php?id=3465&amp;scc=20200202" TargetMode="External" /><Relationship Id="rId4" Type="http://schemas.openxmlformats.org/officeDocument/2006/relationships/hyperlink" Target="http://www.arb.ca.gov/app/emsinv/catef_detail.php?id=3469&amp;scc=20200202" TargetMode="External" /><Relationship Id="rId5" Type="http://schemas.openxmlformats.org/officeDocument/2006/relationships/hyperlink" Target="http://www.arb.ca.gov/app/emsinv/catef_detail.php?id=3471&amp;scc=20200202" TargetMode="External" /><Relationship Id="rId6" Type="http://schemas.openxmlformats.org/officeDocument/2006/relationships/hyperlink" Target="http://www.arb.ca.gov/app/emsinv/catef_detail.php?id=3472&amp;scc=20200202" TargetMode="External" /><Relationship Id="rId7" Type="http://schemas.openxmlformats.org/officeDocument/2006/relationships/hyperlink" Target="http://www.arb.ca.gov/app/emsinv/catef_detail.php?id=3473&amp;scc=20200202" TargetMode="External" /><Relationship Id="rId8" Type="http://schemas.openxmlformats.org/officeDocument/2006/relationships/hyperlink" Target="http://www.arb.ca.gov/app/emsinv/catef_detail.php?id=3474&amp;scc=20200202" TargetMode="External" /><Relationship Id="rId9" Type="http://schemas.openxmlformats.org/officeDocument/2006/relationships/hyperlink" Target="http://www.arb.ca.gov/app/emsinv/catef_detail.php?id=3475&amp;scc=20200202" TargetMode="External" /><Relationship Id="rId10" Type="http://schemas.openxmlformats.org/officeDocument/2006/relationships/hyperlink" Target="http://www.arb.ca.gov/app/emsinv/catef_detail.php?id=3476&amp;scc=20200202" TargetMode="External" /><Relationship Id="rId11" Type="http://schemas.openxmlformats.org/officeDocument/2006/relationships/hyperlink" Target="http://www.arb.ca.gov/app/emsinv/catef_detail.php?id=3477&amp;scc=20200202" TargetMode="External" /><Relationship Id="rId12" Type="http://schemas.openxmlformats.org/officeDocument/2006/relationships/hyperlink" Target="http://www.arb.ca.gov/app/emsinv/catef_detail.php?id=3482&amp;scc=20200202" TargetMode="External" /><Relationship Id="rId13" Type="http://schemas.openxmlformats.org/officeDocument/2006/relationships/hyperlink" Target="http://www.arb.ca.gov/app/emsinv/catef_detail.php?id=3483&amp;scc=20200202" TargetMode="External" /><Relationship Id="rId14" Type="http://schemas.openxmlformats.org/officeDocument/2006/relationships/hyperlink" Target="http://www.arb.ca.gov/app/emsinv/catef_detail.php?id=3484&amp;scc=20200202" TargetMode="External" /><Relationship Id="rId15" Type="http://schemas.openxmlformats.org/officeDocument/2006/relationships/hyperlink" Target="http://www.arb.ca.gov/app/emsinv/catef_detail.php?id=3487&amp;scc=20200202" TargetMode="External" /><Relationship Id="rId16" Type="http://schemas.openxmlformats.org/officeDocument/2006/relationships/hyperlink" Target="http://www.arb.ca.gov/app/emsinv/catef_detail.php?id=3490&amp;scc=20200202" TargetMode="External" /><Relationship Id="rId17" Type="http://schemas.openxmlformats.org/officeDocument/2006/relationships/hyperlink" Target="http://www.arb.ca.gov/app/emsinv/catef_detail.php?id=3491&amp;scc=2020020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  <row r="4" ht="12.75">
      <c r="A4" t="s">
        <v>280</v>
      </c>
    </row>
    <row r="5" ht="12.75">
      <c r="A5" t="s">
        <v>281</v>
      </c>
    </row>
    <row r="6" ht="12.75">
      <c r="A6" t="s">
        <v>282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view="pageBreakPreview" zoomScale="60" zoomScalePageLayoutView="0" workbookViewId="0" topLeftCell="A1">
      <selection activeCell="D19" sqref="D19"/>
    </sheetView>
  </sheetViews>
  <sheetFormatPr defaultColWidth="9.140625" defaultRowHeight="12.75"/>
  <cols>
    <col min="1" max="1" width="22.421875" style="0" customWidth="1"/>
    <col min="2" max="2" width="13.140625" style="9" customWidth="1"/>
    <col min="3" max="3" width="16.8515625" style="10" customWidth="1"/>
    <col min="4" max="4" width="9.8515625" style="10" customWidth="1"/>
    <col min="5" max="5" width="9.8515625" style="11" customWidth="1"/>
    <col min="6" max="6" width="9.8515625" style="8" customWidth="1"/>
    <col min="7" max="7" width="9.57421875" style="0" customWidth="1"/>
  </cols>
  <sheetData>
    <row r="1" ht="12.75">
      <c r="A1" s="2" t="s">
        <v>385</v>
      </c>
    </row>
    <row r="2" ht="12.75">
      <c r="A2" s="2" t="s">
        <v>261</v>
      </c>
    </row>
    <row r="3" ht="12.75">
      <c r="A3" s="2" t="s">
        <v>6</v>
      </c>
    </row>
    <row r="4" spans="1:2" ht="12.75">
      <c r="A4" s="39" t="s">
        <v>26</v>
      </c>
      <c r="B4" s="13"/>
    </row>
    <row r="5" spans="1:6" ht="13.5" customHeight="1">
      <c r="A5" s="14" t="s">
        <v>29</v>
      </c>
      <c r="B5" s="40">
        <f>'Supplemental Info'!A3</f>
        <v>429.1</v>
      </c>
      <c r="C5" s="45" t="s">
        <v>38</v>
      </c>
      <c r="D5" s="45"/>
      <c r="E5"/>
      <c r="F5" s="11"/>
    </row>
    <row r="6" spans="1:7" ht="12.75">
      <c r="A6" s="12"/>
      <c r="B6" s="15"/>
      <c r="C6"/>
      <c r="D6"/>
      <c r="G6" s="5"/>
    </row>
    <row r="7" spans="1:7" ht="12.75">
      <c r="A7" s="39" t="s">
        <v>27</v>
      </c>
      <c r="B7" s="13"/>
      <c r="C7"/>
      <c r="D7"/>
      <c r="G7" s="5"/>
    </row>
    <row r="8" spans="1:7" ht="15" customHeight="1">
      <c r="A8" s="14" t="s">
        <v>30</v>
      </c>
      <c r="B8" s="40">
        <f>B5*ROUND(B9,0)</f>
        <v>726895.4</v>
      </c>
      <c r="C8" s="79"/>
      <c r="D8" s="79"/>
      <c r="G8" s="5"/>
    </row>
    <row r="9" spans="1:9" ht="26.25">
      <c r="A9" s="16" t="s">
        <v>213</v>
      </c>
      <c r="B9" s="17">
        <f>'Supplemental Info'!A14</f>
        <v>1694.2857142857142</v>
      </c>
      <c r="C9" s="52"/>
      <c r="D9" s="52"/>
      <c r="E9" s="66"/>
      <c r="F9" s="67"/>
      <c r="G9" s="61"/>
      <c r="H9" s="52"/>
      <c r="I9" s="52"/>
    </row>
    <row r="10" spans="1:7" ht="12.75">
      <c r="A10" s="12"/>
      <c r="B10" s="15"/>
      <c r="C10"/>
      <c r="D10"/>
      <c r="G10" s="5"/>
    </row>
    <row r="11" spans="1:7" ht="26.25">
      <c r="A11" s="12" t="s">
        <v>32</v>
      </c>
      <c r="B11" s="82">
        <v>0</v>
      </c>
      <c r="C11"/>
      <c r="D11"/>
      <c r="G11" s="5"/>
    </row>
    <row r="12" spans="2:7" ht="12.75">
      <c r="B12" s="15"/>
      <c r="C12"/>
      <c r="D12"/>
      <c r="G12" s="5"/>
    </row>
    <row r="13" spans="1:8" ht="28.5">
      <c r="A13" s="3"/>
      <c r="B13" s="18"/>
      <c r="C13" s="41" t="s">
        <v>28</v>
      </c>
      <c r="D13" s="19" t="s">
        <v>33</v>
      </c>
      <c r="E13" s="19"/>
      <c r="F13" s="20"/>
      <c r="G13" s="21"/>
      <c r="H13" s="22"/>
    </row>
    <row r="14" spans="1:8" s="7" customFormat="1" ht="26.25">
      <c r="A14" s="4" t="s">
        <v>4</v>
      </c>
      <c r="B14" s="4" t="s">
        <v>7</v>
      </c>
      <c r="C14" s="42" t="s">
        <v>31</v>
      </c>
      <c r="D14" s="23" t="s">
        <v>244</v>
      </c>
      <c r="E14" s="23" t="s">
        <v>243</v>
      </c>
      <c r="F14" s="24" t="s">
        <v>247</v>
      </c>
      <c r="G14" s="1" t="s">
        <v>248</v>
      </c>
      <c r="H14"/>
    </row>
    <row r="15" spans="1:7" ht="12.75">
      <c r="A15" s="25" t="s">
        <v>10</v>
      </c>
      <c r="B15" s="6" t="s">
        <v>18</v>
      </c>
      <c r="C15" s="26">
        <v>4.3E-07</v>
      </c>
      <c r="D15" s="26">
        <f>$B$5*C15</f>
        <v>0.00018451300000000003</v>
      </c>
      <c r="E15" s="27">
        <f>($B$5*C15)*(1-$B$11)</f>
        <v>0.00018451300000000003</v>
      </c>
      <c r="F15" s="27">
        <f>$B$8*C15*(1-$B$11)</f>
        <v>0.312565022</v>
      </c>
      <c r="G15" s="27">
        <f aca="true" t="shared" si="0" ref="G15:G25">F15/2000</f>
        <v>0.000156282511</v>
      </c>
    </row>
    <row r="16" spans="1:7" ht="12.75">
      <c r="A16" s="25" t="s">
        <v>5</v>
      </c>
      <c r="B16" s="6" t="s">
        <v>15</v>
      </c>
      <c r="C16" s="26">
        <v>4E-05</v>
      </c>
      <c r="D16" s="26">
        <f aca="true" t="shared" si="1" ref="D16:D25">$B$5*C16</f>
        <v>0.017164000000000002</v>
      </c>
      <c r="E16" s="27">
        <f aca="true" t="shared" si="2" ref="E16:E25">($B$5*C16)*(1-$B$11)</f>
        <v>0.017164000000000002</v>
      </c>
      <c r="F16" s="27">
        <f aca="true" t="shared" si="3" ref="F16:F25">$B$8*C16*(1-$B$11)</f>
        <v>29.075816000000003</v>
      </c>
      <c r="G16" s="27">
        <f t="shared" si="0"/>
        <v>0.014537908000000002</v>
      </c>
    </row>
    <row r="17" spans="1:7" ht="12.75">
      <c r="A17" s="25" t="s">
        <v>8</v>
      </c>
      <c r="B17" s="6" t="s">
        <v>16</v>
      </c>
      <c r="C17" s="26">
        <v>6.4E-06</v>
      </c>
      <c r="D17" s="26">
        <f t="shared" si="1"/>
        <v>0.00274624</v>
      </c>
      <c r="E17" s="27">
        <f t="shared" si="2"/>
        <v>0.00274624</v>
      </c>
      <c r="F17" s="27">
        <f t="shared" si="3"/>
        <v>4.65213056</v>
      </c>
      <c r="G17" s="27">
        <f t="shared" si="0"/>
        <v>0.0023260652799999997</v>
      </c>
    </row>
    <row r="18" spans="1:7" ht="12.75">
      <c r="A18" s="25" t="s">
        <v>9</v>
      </c>
      <c r="B18" s="6" t="s">
        <v>17</v>
      </c>
      <c r="C18" s="26">
        <v>1.5E-05</v>
      </c>
      <c r="D18" s="26">
        <f t="shared" si="1"/>
        <v>0.0064365</v>
      </c>
      <c r="E18" s="27">
        <f t="shared" si="2"/>
        <v>0.0064365</v>
      </c>
      <c r="F18" s="27">
        <f t="shared" si="3"/>
        <v>10.903431000000001</v>
      </c>
      <c r="G18" s="27">
        <f t="shared" si="0"/>
        <v>0.005451715500000001</v>
      </c>
    </row>
    <row r="19" spans="1:7" ht="12.75">
      <c r="A19" s="25" t="s">
        <v>1</v>
      </c>
      <c r="B19" s="6" t="s">
        <v>19</v>
      </c>
      <c r="C19" s="26">
        <v>3.2E-05</v>
      </c>
      <c r="D19" s="26">
        <f t="shared" si="1"/>
        <v>0.0137312</v>
      </c>
      <c r="E19" s="27">
        <f t="shared" si="2"/>
        <v>0.0137312</v>
      </c>
      <c r="F19" s="27">
        <f t="shared" si="3"/>
        <v>23.2606528</v>
      </c>
      <c r="G19" s="27">
        <f t="shared" si="0"/>
        <v>0.0116303264</v>
      </c>
    </row>
    <row r="20" spans="1:7" ht="12.75">
      <c r="A20" s="25" t="s">
        <v>11</v>
      </c>
      <c r="B20" s="6" t="s">
        <v>20</v>
      </c>
      <c r="C20" s="26">
        <v>0.00071</v>
      </c>
      <c r="D20" s="26">
        <f t="shared" si="1"/>
        <v>0.304661</v>
      </c>
      <c r="E20" s="27">
        <f t="shared" si="2"/>
        <v>0.304661</v>
      </c>
      <c r="F20" s="27">
        <f t="shared" si="3"/>
        <v>516.095734</v>
      </c>
      <c r="G20" s="27">
        <f t="shared" si="0"/>
        <v>0.258047867</v>
      </c>
    </row>
    <row r="21" spans="1:7" ht="12.75">
      <c r="A21" s="25" t="s">
        <v>2</v>
      </c>
      <c r="B21" s="6" t="s">
        <v>21</v>
      </c>
      <c r="C21" s="26">
        <v>1.3E-06</v>
      </c>
      <c r="D21" s="26">
        <f t="shared" si="1"/>
        <v>0.00055783</v>
      </c>
      <c r="E21" s="27">
        <f t="shared" si="2"/>
        <v>0.00055783</v>
      </c>
      <c r="F21" s="27">
        <f t="shared" si="3"/>
        <v>0.94496402</v>
      </c>
      <c r="G21" s="27">
        <f t="shared" si="0"/>
        <v>0.00047248201</v>
      </c>
    </row>
    <row r="22" spans="1:7" ht="14.25" customHeight="1">
      <c r="A22" s="57" t="s">
        <v>86</v>
      </c>
      <c r="B22" s="6" t="s">
        <v>85</v>
      </c>
      <c r="C22" s="26">
        <v>2.2E-06</v>
      </c>
      <c r="D22" s="26">
        <f t="shared" si="1"/>
        <v>0.0009440200000000001</v>
      </c>
      <c r="E22" s="27">
        <f t="shared" si="2"/>
        <v>0.0009440200000000001</v>
      </c>
      <c r="F22" s="27">
        <f t="shared" si="3"/>
        <v>1.59916988</v>
      </c>
      <c r="G22" s="27">
        <f t="shared" si="0"/>
        <v>0.00079958494</v>
      </c>
    </row>
    <row r="23" spans="1:7" ht="12.75">
      <c r="A23" s="25" t="s">
        <v>12</v>
      </c>
      <c r="B23" s="6" t="s">
        <v>22</v>
      </c>
      <c r="C23" s="26">
        <v>2.9E-05</v>
      </c>
      <c r="D23" s="26">
        <f t="shared" si="1"/>
        <v>0.0124439</v>
      </c>
      <c r="E23" s="27">
        <f t="shared" si="2"/>
        <v>0.0124439</v>
      </c>
      <c r="F23" s="27">
        <f t="shared" si="3"/>
        <v>21.079966600000002</v>
      </c>
      <c r="G23" s="27">
        <f t="shared" si="0"/>
        <v>0.010539983300000002</v>
      </c>
    </row>
    <row r="24" spans="1:7" ht="12.75">
      <c r="A24" s="25" t="s">
        <v>3</v>
      </c>
      <c r="B24" s="6" t="s">
        <v>23</v>
      </c>
      <c r="C24" s="26">
        <v>0.00013</v>
      </c>
      <c r="D24" s="26">
        <f t="shared" si="1"/>
        <v>0.055783</v>
      </c>
      <c r="E24" s="27">
        <f t="shared" si="2"/>
        <v>0.055783</v>
      </c>
      <c r="F24" s="27">
        <f t="shared" si="3"/>
        <v>94.49640199999999</v>
      </c>
      <c r="G24" s="27">
        <f t="shared" si="0"/>
        <v>0.047248201</v>
      </c>
    </row>
    <row r="25" spans="1:7" ht="12.75">
      <c r="A25" s="25" t="s">
        <v>87</v>
      </c>
      <c r="B25" s="6" t="s">
        <v>24</v>
      </c>
      <c r="C25" s="26">
        <v>6.4E-05</v>
      </c>
      <c r="D25" s="26">
        <f t="shared" si="1"/>
        <v>0.0274624</v>
      </c>
      <c r="E25" s="27">
        <f t="shared" si="2"/>
        <v>0.0274624</v>
      </c>
      <c r="F25" s="27">
        <f t="shared" si="3"/>
        <v>46.5213056</v>
      </c>
      <c r="G25" s="27">
        <f t="shared" si="0"/>
        <v>0.0232606528</v>
      </c>
    </row>
    <row r="26" spans="1:7" ht="15">
      <c r="A26" s="29"/>
      <c r="B26" s="30"/>
      <c r="C26" s="31" t="s">
        <v>35</v>
      </c>
      <c r="D26" s="94">
        <f>SUM(D15:D25)</f>
        <v>0.44211460300000005</v>
      </c>
      <c r="E26" s="94">
        <f>SUM(E15:E25)</f>
        <v>0.44211460300000005</v>
      </c>
      <c r="F26" s="94">
        <f>SUM(F15:F25)</f>
        <v>748.942137482</v>
      </c>
      <c r="G26" s="94">
        <f>SUM(G15:G25)</f>
        <v>0.37447106874099995</v>
      </c>
    </row>
    <row r="27" spans="1:7" ht="15">
      <c r="A27" s="37" t="s">
        <v>36</v>
      </c>
      <c r="B27" s="38"/>
      <c r="C27" s="38"/>
      <c r="D27" s="38"/>
      <c r="E27" s="38"/>
      <c r="F27" s="38"/>
      <c r="G27" s="38"/>
    </row>
    <row r="28" spans="1:7" ht="12.75">
      <c r="A28" s="32" t="s">
        <v>0</v>
      </c>
      <c r="B28" s="6" t="s">
        <v>25</v>
      </c>
      <c r="C28" s="28" t="s">
        <v>13</v>
      </c>
      <c r="D28" s="27">
        <v>3.1</v>
      </c>
      <c r="E28" s="27">
        <v>3.1</v>
      </c>
      <c r="F28" s="27">
        <f>E28*B9</f>
        <v>5252.285714285715</v>
      </c>
      <c r="G28" s="27">
        <f>F28/2000</f>
        <v>2.6261428571428573</v>
      </c>
    </row>
    <row r="29" spans="1:6" ht="12.75">
      <c r="A29" s="33" t="s">
        <v>14</v>
      </c>
      <c r="B29" s="15"/>
      <c r="C29" s="34"/>
      <c r="D29" s="34"/>
      <c r="E29" s="35"/>
      <c r="F29" s="35"/>
    </row>
    <row r="30" ht="12.75">
      <c r="A30" s="36" t="s">
        <v>37</v>
      </c>
    </row>
    <row r="31" ht="12.75">
      <c r="A31" s="36" t="str">
        <f>"(2) "&amp;B11*100&amp;"% control from the oxidation catalyst was assumed for all toxics except ammonia for MHC."</f>
        <v>(2) 0% control from the oxidation catalyst was assumed for all toxics except ammonia for MHC.</v>
      </c>
    </row>
    <row r="32" ht="12.75">
      <c r="A32" t="s">
        <v>34</v>
      </c>
    </row>
    <row r="33" ht="12.75">
      <c r="A33" s="36" t="s">
        <v>267</v>
      </c>
    </row>
    <row r="34" spans="1:6" ht="12.75">
      <c r="A34" s="44" t="s">
        <v>127</v>
      </c>
      <c r="C34"/>
      <c r="D34"/>
      <c r="E34"/>
      <c r="F34"/>
    </row>
    <row r="35" spans="3:6" ht="12.75">
      <c r="C35" s="8"/>
      <c r="D35" s="8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</sheetData>
  <sheetProtection/>
  <printOptions horizontalCentered="1"/>
  <pageMargins left="0.75" right="0.75" top="1.25" bottom="1" header="0.5" footer="0.5"/>
  <pageSetup fitToHeight="2" fitToWidth="1" horizontalDpi="300" verticalDpi="300" orientation="portrait" scale="90" r:id="rId1"/>
  <headerFooter alignWithMargins="0">
    <oddFooter>&amp;CC.2-&amp;P&amp;RSCE Mira Loma Peaker Project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3.140625" style="0" customWidth="1"/>
    <col min="3" max="3" width="18.00390625" style="0" customWidth="1"/>
    <col min="4" max="7" width="9.8515625" style="0" customWidth="1"/>
  </cols>
  <sheetData>
    <row r="1" ht="12.75">
      <c r="A1" s="2" t="s">
        <v>307</v>
      </c>
    </row>
    <row r="2" spans="1:7" ht="12.75">
      <c r="A2" s="2" t="s">
        <v>285</v>
      </c>
      <c r="B2" s="2"/>
      <c r="C2" s="9"/>
      <c r="D2" s="10"/>
      <c r="E2" s="10"/>
      <c r="F2" s="11"/>
      <c r="G2" s="8"/>
    </row>
    <row r="3" spans="1:7" ht="12.75">
      <c r="A3" s="2" t="s">
        <v>6</v>
      </c>
      <c r="B3" s="2"/>
      <c r="C3" s="9"/>
      <c r="D3" s="10"/>
      <c r="E3" s="10"/>
      <c r="F3" s="11"/>
      <c r="G3" s="8"/>
    </row>
    <row r="4" spans="1:7" ht="12.75">
      <c r="A4" s="39" t="s">
        <v>88</v>
      </c>
      <c r="B4" s="39"/>
      <c r="C4" s="13"/>
      <c r="D4" s="10"/>
      <c r="E4" s="10"/>
      <c r="F4" s="11"/>
      <c r="G4" s="8"/>
    </row>
    <row r="5" spans="1:7" ht="13.5" customHeight="1">
      <c r="A5" s="14" t="s">
        <v>29</v>
      </c>
      <c r="B5" s="96">
        <f>'Supplemental Info'!A17</f>
        <v>6.43</v>
      </c>
      <c r="C5" s="45"/>
      <c r="G5" s="11"/>
    </row>
    <row r="6" spans="1:8" ht="12.75">
      <c r="A6" s="12" t="s">
        <v>89</v>
      </c>
      <c r="B6" s="12">
        <v>30</v>
      </c>
      <c r="C6" t="s">
        <v>204</v>
      </c>
      <c r="F6" s="11"/>
      <c r="G6" s="8"/>
      <c r="H6" s="5"/>
    </row>
    <row r="7" spans="1:8" ht="12.75">
      <c r="A7" s="39" t="s">
        <v>92</v>
      </c>
      <c r="B7" s="39"/>
      <c r="C7" s="13"/>
      <c r="F7" s="11"/>
      <c r="G7" s="8"/>
      <c r="H7" s="5"/>
    </row>
    <row r="8" spans="1:12" ht="39">
      <c r="A8" s="16" t="s">
        <v>195</v>
      </c>
      <c r="B8" s="16">
        <v>14</v>
      </c>
      <c r="C8" s="68"/>
      <c r="D8" s="52"/>
      <c r="E8" s="52"/>
      <c r="F8" s="66"/>
      <c r="G8" s="67"/>
      <c r="H8" s="61"/>
      <c r="I8" s="52"/>
      <c r="J8" s="52"/>
      <c r="K8" s="52"/>
      <c r="L8" s="52"/>
    </row>
    <row r="9" spans="1:12" ht="27" customHeight="1">
      <c r="A9" s="16" t="s">
        <v>192</v>
      </c>
      <c r="B9" s="16">
        <v>1050</v>
      </c>
      <c r="C9" s="68"/>
      <c r="D9" s="52"/>
      <c r="E9" s="52"/>
      <c r="F9" s="66"/>
      <c r="G9" s="67"/>
      <c r="H9" s="61"/>
      <c r="I9" s="52"/>
      <c r="J9" s="52"/>
      <c r="K9" s="52"/>
      <c r="L9" s="52"/>
    </row>
    <row r="10" spans="1:12" ht="15" customHeight="1">
      <c r="A10" s="16"/>
      <c r="B10" s="16"/>
      <c r="C10" s="17"/>
      <c r="D10" s="52"/>
      <c r="E10" s="52"/>
      <c r="F10" s="66"/>
      <c r="G10" s="67"/>
      <c r="H10" s="61"/>
      <c r="I10" s="52"/>
      <c r="J10" s="52"/>
      <c r="K10" s="52"/>
      <c r="L10" s="52"/>
    </row>
    <row r="11" spans="1:9" ht="28.5">
      <c r="A11" s="3"/>
      <c r="B11" s="18"/>
      <c r="C11" s="41" t="s">
        <v>196</v>
      </c>
      <c r="D11" s="19" t="s">
        <v>90</v>
      </c>
      <c r="E11" s="20"/>
      <c r="F11" s="20"/>
      <c r="G11" s="21"/>
      <c r="H11" s="22"/>
      <c r="I11" s="22"/>
    </row>
    <row r="12" spans="1:8" s="7" customFormat="1" ht="26.25">
      <c r="A12" s="4" t="s">
        <v>4</v>
      </c>
      <c r="B12" s="4" t="s">
        <v>7</v>
      </c>
      <c r="C12" s="42" t="s">
        <v>193</v>
      </c>
      <c r="D12" s="23" t="s">
        <v>244</v>
      </c>
      <c r="E12" s="23" t="s">
        <v>243</v>
      </c>
      <c r="F12" s="24" t="s">
        <v>295</v>
      </c>
      <c r="G12" s="1" t="s">
        <v>296</v>
      </c>
      <c r="H12"/>
    </row>
    <row r="13" spans="1:7" ht="12.75">
      <c r="A13" s="57" t="str">
        <f>'CATEF ICE FACTORS'!H4</f>
        <v>1,3-Butadiene</v>
      </c>
      <c r="B13" s="6" t="str">
        <f>'CATEF ICE FACTORS'!G4</f>
        <v>106-99-0</v>
      </c>
      <c r="C13" s="27">
        <f>'CATEF ICE FACTORS'!J4</f>
        <v>0.367</v>
      </c>
      <c r="D13" s="27">
        <f>C13*$B$5/$B$9*$B$6/60</f>
        <v>0.0011237190476190476</v>
      </c>
      <c r="E13" s="27">
        <f>D13</f>
        <v>0.0011237190476190476</v>
      </c>
      <c r="F13" s="27">
        <f aca="true" t="shared" si="0" ref="F13:F29">D13*$B$8</f>
        <v>0.015732066666666666</v>
      </c>
      <c r="G13" s="27">
        <f aca="true" t="shared" si="1" ref="G13:G29">F13/2000</f>
        <v>7.866033333333332E-06</v>
      </c>
    </row>
    <row r="14" spans="1:7" ht="12.75">
      <c r="A14" s="57" t="str">
        <f>'CATEF ICE FACTORS'!H5</f>
        <v>Acetaldehyde</v>
      </c>
      <c r="B14" s="6" t="str">
        <f>'CATEF ICE FACTORS'!G5</f>
        <v>75-07-0</v>
      </c>
      <c r="C14" s="27">
        <f>'CATEF ICE FACTORS'!J5</f>
        <v>0.529</v>
      </c>
      <c r="D14" s="27">
        <f aca="true" t="shared" si="2" ref="D14:D29">C14*$B$5/$B$9*$B$6/60</f>
        <v>0.001619747619047619</v>
      </c>
      <c r="E14" s="27">
        <f aca="true" t="shared" si="3" ref="E14:E29">D14</f>
        <v>0.001619747619047619</v>
      </c>
      <c r="F14" s="27">
        <f t="shared" si="0"/>
        <v>0.022676466666666666</v>
      </c>
      <c r="G14" s="27">
        <f t="shared" si="1"/>
        <v>1.1338233333333333E-05</v>
      </c>
    </row>
    <row r="15" spans="1:8" ht="12.75">
      <c r="A15" s="57" t="str">
        <f>'CATEF ICE FACTORS'!H6</f>
        <v>Acrolein</v>
      </c>
      <c r="B15" s="6" t="str">
        <f>'CATEF ICE FACTORS'!G6</f>
        <v>107-02-8</v>
      </c>
      <c r="C15" s="27">
        <f>'CATEF ICE FACTORS'!J6</f>
        <v>0.059</v>
      </c>
      <c r="D15" s="27">
        <f t="shared" si="2"/>
        <v>0.00018065238095238095</v>
      </c>
      <c r="E15" s="27">
        <f t="shared" si="3"/>
        <v>0.00018065238095238095</v>
      </c>
      <c r="F15" s="27">
        <f t="shared" si="0"/>
        <v>0.0025291333333333334</v>
      </c>
      <c r="G15" s="27">
        <f t="shared" si="1"/>
        <v>1.2645666666666667E-06</v>
      </c>
      <c r="H15" s="8"/>
    </row>
    <row r="16" spans="1:7" ht="12.75">
      <c r="A16" s="57" t="str">
        <f>'CATEF ICE FACTORS'!H7</f>
        <v>Benzene</v>
      </c>
      <c r="B16" s="6" t="str">
        <f>'CATEF ICE FACTORS'!G7</f>
        <v>71-43-2</v>
      </c>
      <c r="C16" s="27">
        <f>'CATEF ICE FACTORS'!J7</f>
        <v>0.218</v>
      </c>
      <c r="D16" s="27">
        <f t="shared" si="2"/>
        <v>0.0006674952380952381</v>
      </c>
      <c r="E16" s="27">
        <f t="shared" si="3"/>
        <v>0.0006674952380952381</v>
      </c>
      <c r="F16" s="27">
        <f t="shared" si="0"/>
        <v>0.009344933333333333</v>
      </c>
      <c r="G16" s="27">
        <f t="shared" si="1"/>
        <v>4.672466666666666E-06</v>
      </c>
    </row>
    <row r="17" spans="1:7" ht="12.75">
      <c r="A17" s="57" t="str">
        <f>'CATEF ICE FACTORS'!H8</f>
        <v>Benzo(a)pyrene</v>
      </c>
      <c r="B17" s="6" t="str">
        <f>'CATEF ICE FACTORS'!G8</f>
        <v>50-32-8</v>
      </c>
      <c r="C17" s="27">
        <f>'CATEF ICE FACTORS'!J8</f>
        <v>2.7E-06</v>
      </c>
      <c r="D17" s="27">
        <f t="shared" si="2"/>
        <v>8.267142857142856E-09</v>
      </c>
      <c r="E17" s="27">
        <f t="shared" si="3"/>
        <v>8.267142857142856E-09</v>
      </c>
      <c r="F17" s="27">
        <f t="shared" si="0"/>
        <v>1.1573999999999998E-07</v>
      </c>
      <c r="G17" s="27">
        <f t="shared" si="1"/>
        <v>5.786999999999999E-11</v>
      </c>
    </row>
    <row r="18" spans="1:7" ht="12.75">
      <c r="A18" s="57" t="str">
        <f>'CATEF ICE FACTORS'!H9</f>
        <v>Benzo(b)fluoranthene</v>
      </c>
      <c r="B18" s="6" t="str">
        <f>'CATEF ICE FACTORS'!G9</f>
        <v>205-99-2</v>
      </c>
      <c r="C18" s="27">
        <f>'CATEF ICE FACTORS'!J9</f>
        <v>4.09E-05</v>
      </c>
      <c r="D18" s="27">
        <f t="shared" si="2"/>
        <v>1.2523190476190475E-07</v>
      </c>
      <c r="E18" s="27">
        <f t="shared" si="3"/>
        <v>1.2523190476190475E-07</v>
      </c>
      <c r="F18" s="27">
        <f t="shared" si="0"/>
        <v>1.7532466666666665E-06</v>
      </c>
      <c r="G18" s="27">
        <f t="shared" si="1"/>
        <v>8.766233333333332E-10</v>
      </c>
    </row>
    <row r="19" spans="1:7" ht="12.75">
      <c r="A19" s="57" t="str">
        <f>'CATEF ICE FACTORS'!H10</f>
        <v>Benzo(g,h,i)perylene</v>
      </c>
      <c r="B19" s="6" t="str">
        <f>'CATEF ICE FACTORS'!G10</f>
        <v>191-24-2</v>
      </c>
      <c r="C19" s="27">
        <f>'CATEF ICE FACTORS'!J10</f>
        <v>7.54E-06</v>
      </c>
      <c r="D19" s="27">
        <f t="shared" si="2"/>
        <v>2.30867619047619E-08</v>
      </c>
      <c r="E19" s="27">
        <f t="shared" si="3"/>
        <v>2.30867619047619E-08</v>
      </c>
      <c r="F19" s="27">
        <f t="shared" si="0"/>
        <v>3.232146666666666E-07</v>
      </c>
      <c r="G19" s="27">
        <f t="shared" si="1"/>
        <v>1.616073333333333E-10</v>
      </c>
    </row>
    <row r="20" spans="1:7" ht="12.75">
      <c r="A20" s="57" t="str">
        <f>'CATEF ICE FACTORS'!H11</f>
        <v>Benzo(k)fluoranthene</v>
      </c>
      <c r="B20" s="6" t="str">
        <f>'CATEF ICE FACTORS'!G11</f>
        <v>207-08-9</v>
      </c>
      <c r="C20" s="27">
        <f>'CATEF ICE FACTORS'!J11</f>
        <v>7.83E-06</v>
      </c>
      <c r="D20" s="27">
        <f t="shared" si="2"/>
        <v>2.3974714285714284E-08</v>
      </c>
      <c r="E20" s="27">
        <f t="shared" si="3"/>
        <v>2.3974714285714284E-08</v>
      </c>
      <c r="F20" s="27">
        <f t="shared" si="0"/>
        <v>3.3564599999999996E-07</v>
      </c>
      <c r="G20" s="27">
        <f t="shared" si="1"/>
        <v>1.6782299999999997E-10</v>
      </c>
    </row>
    <row r="21" spans="1:7" ht="12.75">
      <c r="A21" s="57" t="str">
        <f>'CATEF ICE FACTORS'!H12</f>
        <v>Chrysene</v>
      </c>
      <c r="B21" s="6" t="str">
        <f>'CATEF ICE FACTORS'!G12</f>
        <v>218-01-9</v>
      </c>
      <c r="C21" s="27">
        <f>'CATEF ICE FACTORS'!J12</f>
        <v>1.43E-05</v>
      </c>
      <c r="D21" s="27">
        <f t="shared" si="2"/>
        <v>4.3785238095238096E-08</v>
      </c>
      <c r="E21" s="27">
        <f t="shared" si="3"/>
        <v>4.3785238095238096E-08</v>
      </c>
      <c r="F21" s="27">
        <f t="shared" si="0"/>
        <v>6.129933333333334E-07</v>
      </c>
      <c r="G21" s="27">
        <f t="shared" si="1"/>
        <v>3.064966666666667E-10</v>
      </c>
    </row>
    <row r="22" spans="1:7" ht="12.75">
      <c r="A22" s="57" t="str">
        <f>'CATEF ICE FACTORS'!H13</f>
        <v>Dibenz(a,h)anthracene</v>
      </c>
      <c r="B22" s="6" t="str">
        <f>'CATEF ICE FACTORS'!G13</f>
        <v>53-70-3</v>
      </c>
      <c r="C22" s="27">
        <f>'CATEF ICE FACTORS'!J13</f>
        <v>2.7E-06</v>
      </c>
      <c r="D22" s="27">
        <f t="shared" si="2"/>
        <v>8.267142857142856E-09</v>
      </c>
      <c r="E22" s="27">
        <f t="shared" si="3"/>
        <v>8.267142857142856E-09</v>
      </c>
      <c r="F22" s="27">
        <f t="shared" si="0"/>
        <v>1.1573999999999998E-07</v>
      </c>
      <c r="G22" s="27">
        <f t="shared" si="1"/>
        <v>5.786999999999999E-11</v>
      </c>
    </row>
    <row r="23" spans="1:7" ht="12.75">
      <c r="A23" s="57" t="str">
        <f>'CATEF ICE FACTORS'!H14</f>
        <v>Ethylbenzene</v>
      </c>
      <c r="B23" s="6" t="str">
        <f>'CATEF ICE FACTORS'!G14</f>
        <v>100-41-4</v>
      </c>
      <c r="C23" s="27">
        <f>'CATEF ICE FACTORS'!J14</f>
        <v>0.0711</v>
      </c>
      <c r="D23" s="27">
        <f t="shared" si="2"/>
        <v>0.00021770142857142853</v>
      </c>
      <c r="E23" s="27">
        <f t="shared" si="3"/>
        <v>0.00021770142857142853</v>
      </c>
      <c r="F23" s="27">
        <f t="shared" si="0"/>
        <v>0.0030478199999999993</v>
      </c>
      <c r="G23" s="27">
        <f t="shared" si="1"/>
        <v>1.5239099999999996E-06</v>
      </c>
    </row>
    <row r="24" spans="1:7" ht="12.75">
      <c r="A24" s="57" t="str">
        <f>'CATEF ICE FACTORS'!H15</f>
        <v>Formaldehyde</v>
      </c>
      <c r="B24" s="6" t="str">
        <f>'CATEF ICE FACTORS'!G15</f>
        <v>50-00-0</v>
      </c>
      <c r="C24" s="27">
        <f>'CATEF ICE FACTORS'!J15</f>
        <v>4.71</v>
      </c>
      <c r="D24" s="27">
        <f t="shared" si="2"/>
        <v>0.014421571428571428</v>
      </c>
      <c r="E24" s="27">
        <f t="shared" si="3"/>
        <v>0.014421571428571428</v>
      </c>
      <c r="F24" s="27">
        <f t="shared" si="0"/>
        <v>0.201902</v>
      </c>
      <c r="G24" s="27">
        <f t="shared" si="1"/>
        <v>0.000100951</v>
      </c>
    </row>
    <row r="25" spans="1:7" ht="12.75">
      <c r="A25" s="57" t="str">
        <f>'CATEF ICE FACTORS'!H16</f>
        <v>Indeno(1,2,3-cd)pyrene</v>
      </c>
      <c r="B25" s="6" t="str">
        <f>'CATEF ICE FACTORS'!G16</f>
        <v>193-39-5</v>
      </c>
      <c r="C25" s="27">
        <f>'CATEF ICE FACTORS'!J16</f>
        <v>7.17E-06</v>
      </c>
      <c r="D25" s="27">
        <f t="shared" si="2"/>
        <v>2.1953857142857142E-08</v>
      </c>
      <c r="E25" s="27">
        <f t="shared" si="3"/>
        <v>2.1953857142857142E-08</v>
      </c>
      <c r="F25" s="27">
        <f t="shared" si="0"/>
        <v>3.07354E-07</v>
      </c>
      <c r="G25" s="27">
        <f t="shared" si="1"/>
        <v>1.53677E-10</v>
      </c>
    </row>
    <row r="26" spans="1:7" ht="12.75">
      <c r="A26" s="57" t="str">
        <f>'CATEF ICE FACTORS'!H17</f>
        <v>Naphthalene</v>
      </c>
      <c r="B26" s="6" t="str">
        <f>'CATEF ICE FACTORS'!G17</f>
        <v>91-20-3</v>
      </c>
      <c r="C26" s="27">
        <f>'CATEF ICE FACTORS'!J17</f>
        <v>0.0251</v>
      </c>
      <c r="D26" s="27">
        <f t="shared" si="2"/>
        <v>7.685380952380952E-05</v>
      </c>
      <c r="E26" s="27">
        <f t="shared" si="3"/>
        <v>7.685380952380952E-05</v>
      </c>
      <c r="F26" s="27">
        <f t="shared" si="0"/>
        <v>0.0010759533333333333</v>
      </c>
      <c r="G26" s="27">
        <f t="shared" si="1"/>
        <v>5.379766666666666E-07</v>
      </c>
    </row>
    <row r="27" spans="1:7" ht="12.75">
      <c r="A27" s="57" t="str">
        <f>'CATEF ICE FACTORS'!H18</f>
        <v>Propylene</v>
      </c>
      <c r="B27" s="6" t="str">
        <f>'CATEF ICE FACTORS'!G18</f>
        <v>115-07-1</v>
      </c>
      <c r="C27" s="27">
        <f>'CATEF ICE FACTORS'!J18</f>
        <v>5.38</v>
      </c>
      <c r="D27" s="27">
        <f t="shared" si="2"/>
        <v>0.016473047619047616</v>
      </c>
      <c r="E27" s="27">
        <f t="shared" si="3"/>
        <v>0.016473047619047616</v>
      </c>
      <c r="F27" s="27">
        <f t="shared" si="0"/>
        <v>0.23062266666666664</v>
      </c>
      <c r="G27" s="27">
        <f t="shared" si="1"/>
        <v>0.00011531133333333331</v>
      </c>
    </row>
    <row r="28" spans="1:7" ht="12.75">
      <c r="A28" s="57" t="str">
        <f>'CATEF ICE FACTORS'!H19</f>
        <v>Toluene</v>
      </c>
      <c r="B28" s="6" t="str">
        <f>'CATEF ICE FACTORS'!G19</f>
        <v>108-88-3</v>
      </c>
      <c r="C28" s="27">
        <f>'CATEF ICE FACTORS'!J19</f>
        <v>0.239</v>
      </c>
      <c r="D28" s="27">
        <f t="shared" si="2"/>
        <v>0.0007317952380952381</v>
      </c>
      <c r="E28" s="27">
        <f t="shared" si="3"/>
        <v>0.0007317952380952381</v>
      </c>
      <c r="F28" s="27">
        <f t="shared" si="0"/>
        <v>0.010245133333333333</v>
      </c>
      <c r="G28" s="27">
        <f t="shared" si="1"/>
        <v>5.1225666666666665E-06</v>
      </c>
    </row>
    <row r="29" spans="1:7" ht="12.75">
      <c r="A29" s="57" t="str">
        <f>'CATEF ICE FACTORS'!H20</f>
        <v>Xylene</v>
      </c>
      <c r="B29" s="6" t="str">
        <f>'CATEF ICE FACTORS'!G20</f>
        <v>1330-20-7</v>
      </c>
      <c r="C29" s="27">
        <f>'CATEF ICE FACTORS'!J20</f>
        <v>0.646</v>
      </c>
      <c r="D29" s="27">
        <f t="shared" si="2"/>
        <v>0.001977990476190476</v>
      </c>
      <c r="E29" s="27">
        <f t="shared" si="3"/>
        <v>0.001977990476190476</v>
      </c>
      <c r="F29" s="27">
        <f t="shared" si="0"/>
        <v>0.027691866666666665</v>
      </c>
      <c r="G29" s="27">
        <f t="shared" si="1"/>
        <v>1.3845933333333332E-05</v>
      </c>
    </row>
    <row r="30" spans="1:7" ht="12.75">
      <c r="A30" s="29"/>
      <c r="B30" s="30"/>
      <c r="C30" s="31" t="s">
        <v>91</v>
      </c>
      <c r="D30" s="94">
        <f>SUM(D13:D29)</f>
        <v>0.037490828852476184</v>
      </c>
      <c r="E30" s="94">
        <f>SUM(E13:E29)</f>
        <v>0.037490828852476184</v>
      </c>
      <c r="F30" s="94">
        <f>SUM(F13:F29)</f>
        <v>0.5248716039346666</v>
      </c>
      <c r="G30" s="95">
        <f>SUM(G13:G29)</f>
        <v>0.0002624358019673333</v>
      </c>
    </row>
    <row r="31" spans="1:6" ht="12.75">
      <c r="A31" s="36" t="s">
        <v>194</v>
      </c>
      <c r="B31" s="9"/>
      <c r="C31" s="10"/>
      <c r="D31" s="11"/>
      <c r="E31" s="11"/>
      <c r="F31" s="8"/>
    </row>
  </sheetData>
  <sheetProtection/>
  <printOptions/>
  <pageMargins left="0.75" right="0.75" top="1" bottom="1" header="0.5" footer="0.5"/>
  <pageSetup horizontalDpi="600" verticalDpi="600" orientation="portrait" scale="96" r:id="rId1"/>
  <headerFooter alignWithMargins="0">
    <oddFooter>&amp;CC.2-&amp;P&amp;RSCE Mira Loma Peaker Project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="60" zoomScalePageLayoutView="0" workbookViewId="0" topLeftCell="A1">
      <selection activeCell="A55" sqref="A55:H55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1.57421875" style="0" customWidth="1"/>
    <col min="4" max="4" width="10.8515625" style="0" customWidth="1"/>
    <col min="6" max="6" width="10.57421875" style="0" customWidth="1"/>
    <col min="8" max="8" width="11.28125" style="0" customWidth="1"/>
  </cols>
  <sheetData>
    <row r="1" spans="1:7" ht="12.75">
      <c r="A1" s="143" t="s">
        <v>337</v>
      </c>
      <c r="B1" s="143"/>
      <c r="C1" s="143"/>
      <c r="D1" s="143"/>
      <c r="E1" s="124"/>
      <c r="F1" s="124"/>
      <c r="G1" s="124"/>
    </row>
    <row r="2" spans="1:4" ht="12.75">
      <c r="A2" s="144" t="s">
        <v>308</v>
      </c>
      <c r="B2" s="144"/>
      <c r="C2" s="144"/>
      <c r="D2" s="144"/>
    </row>
    <row r="3" spans="1:4" s="81" customFormat="1" ht="26.25" customHeight="1">
      <c r="A3" s="148" t="s">
        <v>309</v>
      </c>
      <c r="B3" s="149"/>
      <c r="C3" s="146" t="s">
        <v>310</v>
      </c>
      <c r="D3" s="146"/>
    </row>
    <row r="4" spans="1:4" ht="12.75">
      <c r="A4" s="6" t="s">
        <v>44</v>
      </c>
      <c r="B4" s="125">
        <v>0.01282</v>
      </c>
      <c r="C4" s="6" t="s">
        <v>44</v>
      </c>
      <c r="D4" s="62">
        <v>0.005520326011330881</v>
      </c>
    </row>
    <row r="5" spans="1:4" ht="12.75">
      <c r="A5" s="6" t="s">
        <v>43</v>
      </c>
      <c r="B5" s="125">
        <v>0.001361</v>
      </c>
      <c r="C5" s="6" t="s">
        <v>43</v>
      </c>
      <c r="D5" s="62">
        <v>0.035634628764536325</v>
      </c>
    </row>
    <row r="6" spans="1:4" ht="12.75">
      <c r="A6" s="6" t="s">
        <v>216</v>
      </c>
      <c r="B6" s="125">
        <v>0.001383</v>
      </c>
      <c r="C6" s="6" t="s">
        <v>216</v>
      </c>
      <c r="D6" s="62">
        <v>0.0012265182387436637</v>
      </c>
    </row>
    <row r="7" spans="1:4" ht="12.75">
      <c r="A7" s="6" t="s">
        <v>311</v>
      </c>
      <c r="B7" s="125">
        <v>9E-06</v>
      </c>
      <c r="C7" s="6" t="s">
        <v>311</v>
      </c>
      <c r="D7" s="62">
        <v>4.5721101282178714E-05</v>
      </c>
    </row>
    <row r="8" spans="1:4" ht="12.75">
      <c r="A8" s="6" t="s">
        <v>46</v>
      </c>
      <c r="B8" s="125">
        <v>7.994837978627972E-05</v>
      </c>
      <c r="C8" s="6" t="s">
        <v>46</v>
      </c>
      <c r="D8" s="62">
        <v>0.0006440711658880828</v>
      </c>
    </row>
    <row r="9" ht="12.75">
      <c r="A9" s="126" t="s">
        <v>312</v>
      </c>
    </row>
    <row r="10" ht="12.75">
      <c r="A10" s="126" t="s">
        <v>313</v>
      </c>
    </row>
    <row r="12" ht="12.75">
      <c r="A12" s="126" t="s">
        <v>314</v>
      </c>
    </row>
    <row r="13" ht="12.75">
      <c r="A13" s="126" t="s">
        <v>315</v>
      </c>
    </row>
    <row r="14" ht="12.75">
      <c r="A14" s="126" t="s">
        <v>316</v>
      </c>
    </row>
    <row r="15" spans="1:5" ht="12.75">
      <c r="A15" s="127" t="s">
        <v>317</v>
      </c>
      <c r="B15" s="5"/>
      <c r="C15" s="5"/>
      <c r="D15" s="5"/>
      <c r="E15" s="5"/>
    </row>
    <row r="16" spans="1:5" ht="12.75">
      <c r="A16" s="127" t="s">
        <v>318</v>
      </c>
      <c r="B16" s="5"/>
      <c r="C16" s="5"/>
      <c r="D16" s="5"/>
      <c r="E16" s="5"/>
    </row>
    <row r="17" spans="1:5" ht="12.75">
      <c r="A17" s="127" t="s">
        <v>319</v>
      </c>
      <c r="B17" s="5"/>
      <c r="C17" s="5"/>
      <c r="D17" s="5"/>
      <c r="E17" s="5"/>
    </row>
    <row r="18" spans="1:7" ht="12.75">
      <c r="A18" s="128"/>
      <c r="B18" s="128"/>
      <c r="C18" s="128"/>
      <c r="D18" s="128"/>
      <c r="E18" s="128"/>
      <c r="F18" s="54"/>
      <c r="G18" s="54"/>
    </row>
    <row r="19" spans="1:7" ht="12.75">
      <c r="A19" s="147" t="s">
        <v>320</v>
      </c>
      <c r="B19" s="147" t="s">
        <v>321</v>
      </c>
      <c r="C19" s="147"/>
      <c r="D19" s="147"/>
      <c r="E19" s="147"/>
      <c r="F19" s="147"/>
      <c r="G19" s="147"/>
    </row>
    <row r="20" spans="1:7" ht="28.5">
      <c r="A20" s="150"/>
      <c r="B20" s="1" t="s">
        <v>322</v>
      </c>
      <c r="C20" s="1" t="s">
        <v>323</v>
      </c>
      <c r="D20" s="1" t="s">
        <v>363</v>
      </c>
      <c r="E20" s="76" t="s">
        <v>364</v>
      </c>
      <c r="F20" s="76" t="s">
        <v>324</v>
      </c>
      <c r="G20" s="76" t="s">
        <v>325</v>
      </c>
    </row>
    <row r="21" spans="1:7" ht="12.75">
      <c r="A21" s="57" t="s">
        <v>326</v>
      </c>
      <c r="B21" s="129">
        <f>$B$5</f>
        <v>0.001361</v>
      </c>
      <c r="C21" s="129">
        <f>$B$7</f>
        <v>9E-06</v>
      </c>
      <c r="D21" s="129">
        <f>$B$6</f>
        <v>0.001383</v>
      </c>
      <c r="E21" s="130">
        <f>$B$8</f>
        <v>7.994837978627972E-05</v>
      </c>
      <c r="F21" s="130">
        <f>$B$9</f>
        <v>0</v>
      </c>
      <c r="G21" s="130">
        <f>F21*$B$29</f>
        <v>0</v>
      </c>
    </row>
    <row r="22" spans="1:7" ht="12.75">
      <c r="A22" s="57" t="s">
        <v>327</v>
      </c>
      <c r="B22" s="129">
        <f>$D$5</f>
        <v>0.035634628764536325</v>
      </c>
      <c r="C22" s="129">
        <f>$D$7</f>
        <v>4.5721101282178714E-05</v>
      </c>
      <c r="D22" s="129">
        <f>$D$6</f>
        <v>0.0012265182387436637</v>
      </c>
      <c r="E22" s="130">
        <f>$D$8</f>
        <v>0.0006440711658880828</v>
      </c>
      <c r="F22" s="130">
        <f>$D$9</f>
        <v>0</v>
      </c>
      <c r="G22" s="130">
        <f>F22*$B$30</f>
        <v>0</v>
      </c>
    </row>
    <row r="23" spans="1:7" ht="12.75">
      <c r="A23" s="57" t="s">
        <v>328</v>
      </c>
      <c r="B23" s="129">
        <f>$D$5</f>
        <v>0.035634628764536325</v>
      </c>
      <c r="C23" s="129">
        <f>$D$7</f>
        <v>4.5721101282178714E-05</v>
      </c>
      <c r="D23" s="129">
        <f>$D$6</f>
        <v>0.0012265182387436637</v>
      </c>
      <c r="E23" s="130">
        <f>$D$8</f>
        <v>0.0006440711658880828</v>
      </c>
      <c r="F23" s="130">
        <f>$D$9</f>
        <v>0</v>
      </c>
      <c r="G23" s="130">
        <f>F23*$B$30</f>
        <v>0</v>
      </c>
    </row>
    <row r="24" spans="1:7" ht="12.75">
      <c r="A24" s="57" t="s">
        <v>329</v>
      </c>
      <c r="B24" s="129">
        <f>$D$5</f>
        <v>0.035634628764536325</v>
      </c>
      <c r="C24" s="129">
        <f>$D$7</f>
        <v>4.5721101282178714E-05</v>
      </c>
      <c r="D24" s="129">
        <f>$D$6</f>
        <v>0.0012265182387436637</v>
      </c>
      <c r="E24" s="130">
        <f>$D$8</f>
        <v>0.0006440711658880828</v>
      </c>
      <c r="F24" s="130">
        <f>$D$9</f>
        <v>0</v>
      </c>
      <c r="G24" s="130">
        <f>F24*$B$30</f>
        <v>0</v>
      </c>
    </row>
    <row r="25" spans="1:7" ht="12.75">
      <c r="A25" s="57" t="s">
        <v>330</v>
      </c>
      <c r="B25" s="129">
        <f>$B$5</f>
        <v>0.001361</v>
      </c>
      <c r="C25" s="129">
        <f>$B$7</f>
        <v>9E-06</v>
      </c>
      <c r="D25" s="129">
        <f>$B$6</f>
        <v>0.001383</v>
      </c>
      <c r="E25" s="130">
        <f>$B$8</f>
        <v>7.994837978627972E-05</v>
      </c>
      <c r="F25" s="130">
        <f>$B$9</f>
        <v>0</v>
      </c>
      <c r="G25" s="130">
        <f>F25*$B$29</f>
        <v>0</v>
      </c>
    </row>
    <row r="26" spans="1:7" ht="12.75">
      <c r="A26" s="5"/>
      <c r="B26" s="131"/>
      <c r="C26" s="131"/>
      <c r="D26" s="131"/>
      <c r="E26" s="131"/>
      <c r="F26" s="131"/>
      <c r="G26" s="54"/>
    </row>
    <row r="27" spans="1:7" ht="12.75">
      <c r="A27" s="132" t="s">
        <v>331</v>
      </c>
      <c r="B27" s="133"/>
      <c r="D27" s="131"/>
      <c r="E27" s="131"/>
      <c r="F27" s="131"/>
      <c r="G27" s="54"/>
    </row>
    <row r="28" spans="1:7" ht="12.75">
      <c r="A28" s="134" t="s">
        <v>332</v>
      </c>
      <c r="B28" s="135">
        <v>0.92</v>
      </c>
      <c r="C28" s="136" t="s">
        <v>333</v>
      </c>
      <c r="D28" s="131"/>
      <c r="E28" s="131"/>
      <c r="F28" s="131"/>
      <c r="G28" s="54"/>
    </row>
    <row r="29" spans="1:7" ht="12.75">
      <c r="A29" s="134" t="s">
        <v>334</v>
      </c>
      <c r="B29" s="137">
        <v>0.928</v>
      </c>
      <c r="C29" s="127" t="s">
        <v>335</v>
      </c>
      <c r="D29" s="131"/>
      <c r="E29" s="131"/>
      <c r="F29" s="131"/>
      <c r="G29" s="54"/>
    </row>
    <row r="30" spans="1:7" ht="12.75">
      <c r="A30" s="5"/>
      <c r="B30" s="131"/>
      <c r="C30" s="131"/>
      <c r="D30" s="131"/>
      <c r="E30" s="131"/>
      <c r="F30" s="131"/>
      <c r="G30" s="54"/>
    </row>
    <row r="31" spans="1:7" ht="12.75">
      <c r="A31" s="5" t="s">
        <v>336</v>
      </c>
      <c r="B31" s="131"/>
      <c r="C31" s="131"/>
      <c r="D31" s="131"/>
      <c r="E31" s="131"/>
      <c r="F31" s="131"/>
      <c r="G31" s="54"/>
    </row>
    <row r="32" spans="1:7" ht="12.75">
      <c r="A32" s="128"/>
      <c r="B32" s="128"/>
      <c r="C32" s="128"/>
      <c r="D32" s="128"/>
      <c r="E32" s="128"/>
      <c r="F32" s="54"/>
      <c r="G32" s="54"/>
    </row>
    <row r="33" spans="1:7" ht="12.75">
      <c r="A33" s="143" t="s">
        <v>352</v>
      </c>
      <c r="B33" s="143"/>
      <c r="C33" s="143"/>
      <c r="D33" s="143"/>
      <c r="E33" s="143"/>
      <c r="F33" s="124"/>
      <c r="G33" s="124"/>
    </row>
    <row r="34" spans="1:5" ht="12.75">
      <c r="A34" s="143" t="s">
        <v>338</v>
      </c>
      <c r="B34" s="143"/>
      <c r="C34" s="143"/>
      <c r="D34" s="143"/>
      <c r="E34" s="143"/>
    </row>
    <row r="35" spans="1:6" ht="68.25">
      <c r="A35" s="56" t="s">
        <v>320</v>
      </c>
      <c r="B35" s="1" t="s">
        <v>339</v>
      </c>
      <c r="C35" s="56" t="s">
        <v>340</v>
      </c>
      <c r="D35" s="1" t="s">
        <v>341</v>
      </c>
      <c r="E35" s="1" t="s">
        <v>342</v>
      </c>
      <c r="F35" s="1" t="s">
        <v>343</v>
      </c>
    </row>
    <row r="36" spans="1:6" ht="12.75">
      <c r="A36" s="57" t="s">
        <v>326</v>
      </c>
      <c r="B36" s="6">
        <v>2.7</v>
      </c>
      <c r="C36" s="6" t="s">
        <v>344</v>
      </c>
      <c r="D36" s="6">
        <v>0.24</v>
      </c>
      <c r="E36" s="62">
        <f>7.26*(D36/2)^0.65*(B36/3)^1.5/453.6</f>
        <v>0.003444253821211262</v>
      </c>
      <c r="F36" s="62">
        <f>E36*$B$49</f>
        <v>0</v>
      </c>
    </row>
    <row r="37" spans="1:6" ht="12.75">
      <c r="A37" s="57" t="s">
        <v>327</v>
      </c>
      <c r="B37" s="6">
        <v>2.7</v>
      </c>
      <c r="C37" s="6" t="s">
        <v>345</v>
      </c>
      <c r="D37" s="6">
        <v>0.037</v>
      </c>
      <c r="E37" s="62">
        <f>7.26*(D37/2)^0.65*(B37/3)^1.5/453.6</f>
        <v>0.0010216190026505838</v>
      </c>
      <c r="F37" s="62">
        <f>E37*$B$49</f>
        <v>0</v>
      </c>
    </row>
    <row r="38" spans="1:6" ht="12.75">
      <c r="A38" s="57" t="s">
        <v>328</v>
      </c>
      <c r="B38" s="6">
        <v>2.7</v>
      </c>
      <c r="C38" s="6" t="s">
        <v>345</v>
      </c>
      <c r="D38" s="6">
        <v>0.037</v>
      </c>
      <c r="E38" s="62">
        <f>7.26*(D38/2)^0.65*(B38/3)^1.5/453.6</f>
        <v>0.0010216190026505838</v>
      </c>
      <c r="F38" s="62">
        <f>E38*$B$49</f>
        <v>0</v>
      </c>
    </row>
    <row r="39" spans="1:6" ht="12.75">
      <c r="A39" s="57" t="s">
        <v>329</v>
      </c>
      <c r="B39" s="6">
        <v>2.7</v>
      </c>
      <c r="C39" s="6" t="s">
        <v>345</v>
      </c>
      <c r="D39" s="6">
        <v>0.037</v>
      </c>
      <c r="E39" s="62">
        <f>7.26*(D39/2)^0.65*(B39/3)^1.5/453.6</f>
        <v>0.0010216190026505838</v>
      </c>
      <c r="F39" s="62">
        <f>E39*$B$49</f>
        <v>0</v>
      </c>
    </row>
    <row r="40" spans="1:6" ht="12.75">
      <c r="A40" s="57" t="s">
        <v>330</v>
      </c>
      <c r="B40" s="6">
        <v>2.7</v>
      </c>
      <c r="C40" s="6" t="s">
        <v>345</v>
      </c>
      <c r="D40" s="6">
        <v>0.037</v>
      </c>
      <c r="E40" s="62">
        <f>7.26*(D40/2)^0.65*(B40/3)^1.5/453.6</f>
        <v>0.0010216190026505838</v>
      </c>
      <c r="F40" s="62">
        <f>E40*$B$49</f>
        <v>0</v>
      </c>
    </row>
    <row r="42" ht="12.75">
      <c r="A42" s="138" t="s">
        <v>346</v>
      </c>
    </row>
    <row r="43" ht="12.75">
      <c r="A43" s="126" t="s">
        <v>347</v>
      </c>
    </row>
    <row r="44" ht="12.75">
      <c r="A44" s="138" t="s">
        <v>348</v>
      </c>
    </row>
    <row r="45" ht="12.75">
      <c r="A45" s="138" t="s">
        <v>365</v>
      </c>
    </row>
    <row r="46" ht="12.75">
      <c r="A46" s="126" t="s">
        <v>349</v>
      </c>
    </row>
    <row r="47" spans="1:2" ht="12.75">
      <c r="A47" s="138" t="s">
        <v>350</v>
      </c>
      <c r="B47" s="133"/>
    </row>
    <row r="48" spans="1:3" ht="12.75">
      <c r="A48" s="139" t="s">
        <v>351</v>
      </c>
      <c r="B48" s="135">
        <v>0.169</v>
      </c>
      <c r="C48" s="136" t="s">
        <v>333</v>
      </c>
    </row>
    <row r="49" spans="1:3" ht="12.75">
      <c r="A49" s="136"/>
      <c r="B49" s="131"/>
      <c r="C49" s="127" t="s">
        <v>335</v>
      </c>
    </row>
    <row r="50" ht="12.75">
      <c r="A50" s="127"/>
    </row>
    <row r="51" ht="12.75">
      <c r="A51" s="5" t="s">
        <v>336</v>
      </c>
    </row>
    <row r="54" spans="1:8" ht="12.75">
      <c r="A54" s="143" t="s">
        <v>386</v>
      </c>
      <c r="B54" s="143"/>
      <c r="C54" s="143"/>
      <c r="D54" s="143"/>
      <c r="E54" s="143"/>
      <c r="F54" s="143"/>
      <c r="G54" s="143"/>
      <c r="H54" s="143"/>
    </row>
    <row r="55" spans="1:8" ht="12.75">
      <c r="A55" s="144" t="s">
        <v>353</v>
      </c>
      <c r="B55" s="144"/>
      <c r="C55" s="144"/>
      <c r="D55" s="144"/>
      <c r="E55" s="144"/>
      <c r="F55" s="144"/>
      <c r="G55" s="144"/>
      <c r="H55" s="144"/>
    </row>
    <row r="56" spans="1:8" ht="12.75">
      <c r="A56" s="145" t="s">
        <v>320</v>
      </c>
      <c r="B56" s="145" t="s">
        <v>354</v>
      </c>
      <c r="C56" s="147" t="s">
        <v>355</v>
      </c>
      <c r="D56" s="147"/>
      <c r="E56" s="147"/>
      <c r="F56" s="147"/>
      <c r="G56" s="147"/>
      <c r="H56" s="147"/>
    </row>
    <row r="57" spans="1:8" ht="28.5">
      <c r="A57" s="146"/>
      <c r="B57" s="146"/>
      <c r="C57" s="1" t="s">
        <v>356</v>
      </c>
      <c r="D57" s="1" t="s">
        <v>357</v>
      </c>
      <c r="E57" s="1" t="s">
        <v>366</v>
      </c>
      <c r="F57" s="76" t="s">
        <v>367</v>
      </c>
      <c r="G57" s="76" t="s">
        <v>358</v>
      </c>
      <c r="H57" s="76" t="s">
        <v>359</v>
      </c>
    </row>
    <row r="58" spans="1:8" ht="12.75">
      <c r="A58" s="57" t="s">
        <v>360</v>
      </c>
      <c r="B58" s="6">
        <v>30</v>
      </c>
      <c r="C58" s="62">
        <f>$B58*2*B24</f>
        <v>2.1380777258721793</v>
      </c>
      <c r="D58" s="62">
        <f>$B58*2*C24</f>
        <v>0.002743266076930723</v>
      </c>
      <c r="E58" s="62">
        <f>$B58*2*D24</f>
        <v>0.07359109432461983</v>
      </c>
      <c r="F58" s="62">
        <f>$B58*2*E24</f>
        <v>0.03864426995328497</v>
      </c>
      <c r="G58" s="62">
        <f>$B58*2*E39</f>
        <v>0.06129714015903503</v>
      </c>
      <c r="H58" s="62">
        <f>$B58*2*F39</f>
        <v>0</v>
      </c>
    </row>
    <row r="59" spans="1:8" ht="12.75">
      <c r="A59" s="57" t="s">
        <v>361</v>
      </c>
      <c r="B59" s="6">
        <v>0</v>
      </c>
      <c r="C59" s="62">
        <f aca="true" t="shared" si="0" ref="C59:F60">$B59*2*B24</f>
        <v>0</v>
      </c>
      <c r="D59" s="62">
        <f t="shared" si="0"/>
        <v>0</v>
      </c>
      <c r="E59" s="62">
        <f t="shared" si="0"/>
        <v>0</v>
      </c>
      <c r="F59" s="62">
        <f t="shared" si="0"/>
        <v>0</v>
      </c>
      <c r="G59" s="62">
        <f>B59*2*E39</f>
        <v>0</v>
      </c>
      <c r="H59" s="62">
        <f>$B59*2*G24</f>
        <v>0</v>
      </c>
    </row>
    <row r="60" spans="1:8" ht="12.75">
      <c r="A60" s="57" t="str">
        <f>A40</f>
        <v>Off-Site Construction Worker Commute</v>
      </c>
      <c r="B60" s="6">
        <v>30</v>
      </c>
      <c r="C60" s="62">
        <f t="shared" si="0"/>
        <v>0.08166</v>
      </c>
      <c r="D60" s="62">
        <f t="shared" si="0"/>
        <v>0.00054</v>
      </c>
      <c r="E60" s="62">
        <f t="shared" si="0"/>
        <v>0.08298</v>
      </c>
      <c r="F60" s="62">
        <f t="shared" si="0"/>
        <v>0.004796902787176783</v>
      </c>
      <c r="G60" s="62">
        <f>B60*2*E40</f>
        <v>0.06129714015903503</v>
      </c>
      <c r="H60" s="62">
        <f>$B60*2*G25</f>
        <v>0</v>
      </c>
    </row>
    <row r="61" spans="1:8" ht="12.75">
      <c r="A61" s="140" t="s">
        <v>362</v>
      </c>
      <c r="B61" s="140"/>
      <c r="C61" s="141">
        <f aca="true" t="shared" si="1" ref="C61:H61">SUM(C58:C60)</f>
        <v>2.219737725872179</v>
      </c>
      <c r="D61" s="141">
        <f t="shared" si="1"/>
        <v>0.003283266076930723</v>
      </c>
      <c r="E61" s="141">
        <f t="shared" si="1"/>
        <v>0.15657109432461983</v>
      </c>
      <c r="F61" s="141">
        <f t="shared" si="1"/>
        <v>0.04344117274046175</v>
      </c>
      <c r="G61" s="141">
        <f t="shared" si="1"/>
        <v>0.12259428031807006</v>
      </c>
      <c r="H61" s="141">
        <f t="shared" si="1"/>
        <v>0</v>
      </c>
    </row>
  </sheetData>
  <sheetProtection/>
  <mergeCells count="13">
    <mergeCell ref="A1:D1"/>
    <mergeCell ref="A2:D2"/>
    <mergeCell ref="A3:B3"/>
    <mergeCell ref="C3:D3"/>
    <mergeCell ref="A19:A20"/>
    <mergeCell ref="B19:G19"/>
    <mergeCell ref="A33:E33"/>
    <mergeCell ref="A34:E34"/>
    <mergeCell ref="A54:H54"/>
    <mergeCell ref="A55:H55"/>
    <mergeCell ref="A56:A57"/>
    <mergeCell ref="B56:B57"/>
    <mergeCell ref="C56:H56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&amp;CC.2-&amp;P&amp;RSCE Mira Loma Peaker Project</oddFooter>
  </headerFooter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</cols>
  <sheetData>
    <row r="1" ht="12.75">
      <c r="A1" s="2" t="s">
        <v>286</v>
      </c>
    </row>
    <row r="2" ht="12.75">
      <c r="A2" s="2" t="s">
        <v>287</v>
      </c>
    </row>
    <row r="3" spans="1:2" ht="12.75">
      <c r="A3">
        <v>429.1</v>
      </c>
      <c r="B3" t="s">
        <v>51</v>
      </c>
    </row>
    <row r="4" spans="1:2" ht="12.75">
      <c r="A4">
        <f>A3*1000000</f>
        <v>429100000</v>
      </c>
      <c r="B4" t="s">
        <v>52</v>
      </c>
    </row>
    <row r="5" spans="1:2" ht="12.75">
      <c r="A5">
        <v>1050</v>
      </c>
      <c r="B5" t="s">
        <v>93</v>
      </c>
    </row>
    <row r="6" spans="1:3" ht="12.75">
      <c r="A6" s="8">
        <f>A3*1000000/A5</f>
        <v>408666.6666666667</v>
      </c>
      <c r="B6" t="s">
        <v>53</v>
      </c>
      <c r="C6" t="s">
        <v>54</v>
      </c>
    </row>
    <row r="7" spans="1:3" ht="12.75">
      <c r="A7" s="8">
        <f>A4/A5</f>
        <v>408666.6666666667</v>
      </c>
      <c r="B7" t="s">
        <v>53</v>
      </c>
      <c r="C7" t="s">
        <v>55</v>
      </c>
    </row>
    <row r="8" ht="12.75">
      <c r="A8" s="119" t="s">
        <v>288</v>
      </c>
    </row>
    <row r="9" spans="1:3" ht="12.75">
      <c r="A9" s="8">
        <f>A6*A10</f>
        <v>603361304.7619048</v>
      </c>
      <c r="B9" t="s">
        <v>139</v>
      </c>
      <c r="C9" s="106" t="s">
        <v>284</v>
      </c>
    </row>
    <row r="10" spans="1:3" ht="12.75">
      <c r="A10" s="53">
        <f>'LM6000 Criteria Pollutant PTE'!J4+('LM6000 Criteria Pollutant PTE'!H4*2)+'LM6000 Criteria Pollutant PTE'!E4+'LM6000 Criteria Pollutant PTE'!C4</f>
        <v>1476.4142857142858</v>
      </c>
      <c r="B10" t="s">
        <v>283</v>
      </c>
      <c r="C10" t="str">
        <f>"Calced from LM6000 Criteria Pollutant PTE sheet for normal ops ("&amp;ROUND('LM6000 Criteria Pollutant PTE'!J4,0)&amp;" hr/yr), plus 60 hr for SU plus 60 hr for SD plus 25 hr for commiss."</f>
        <v>Calced from LM6000 Criteria Pollutant PTE sheet for normal ops (1331 hr/yr), plus 60 hr for SU plus 60 hr for SD plus 25 hr for commiss.</v>
      </c>
    </row>
    <row r="11" ht="12.75">
      <c r="A11" s="8"/>
    </row>
    <row r="12" ht="12.75">
      <c r="A12" s="119" t="s">
        <v>289</v>
      </c>
    </row>
    <row r="13" spans="1:3" ht="12.75">
      <c r="A13" s="8">
        <f>A6*A14</f>
        <v>692398095.2380953</v>
      </c>
      <c r="B13" t="s">
        <v>139</v>
      </c>
      <c r="C13" s="106" t="s">
        <v>284</v>
      </c>
    </row>
    <row r="14" spans="1:3" ht="12.75">
      <c r="A14" s="53">
        <f>'LM6000 Criteria Pollutant PTE'!F14+('LM6000 Criteria Pollutant PTE'!D14*2)</f>
        <v>1694.2857142857142</v>
      </c>
      <c r="B14" t="s">
        <v>283</v>
      </c>
      <c r="C14" t="str">
        <f>"Calced from LM6000 Criteria Pollutant PTE sheet for normal ops ("&amp;ROUND('LM6000 Criteria Pollutant PTE'!F14,0)&amp;" hr/yr), plus 120 hr for SU plus 120 hr for SD"</f>
        <v>Calced from LM6000 Criteria Pollutant PTE sheet for normal ops (1454 hr/yr), plus 120 hr for SU plus 120 hr for SD</v>
      </c>
    </row>
    <row r="15" ht="12.75">
      <c r="A15" s="8"/>
    </row>
    <row r="16" spans="1:5" ht="12.75">
      <c r="A16" s="120" t="s">
        <v>290</v>
      </c>
      <c r="E16" s="8"/>
    </row>
    <row r="17" spans="1:2" ht="12.75">
      <c r="A17" s="8">
        <f>A18/1000000</f>
        <v>6.43</v>
      </c>
      <c r="B17" t="s">
        <v>200</v>
      </c>
    </row>
    <row r="18" spans="1:2" ht="12.75">
      <c r="A18" s="8">
        <v>6430000</v>
      </c>
      <c r="B18" t="s">
        <v>201</v>
      </c>
    </row>
    <row r="19" spans="1:2" ht="12.75">
      <c r="A19">
        <v>1050</v>
      </c>
      <c r="B19" t="s">
        <v>93</v>
      </c>
    </row>
    <row r="20" spans="1:3" ht="12.75">
      <c r="A20" s="53">
        <f>A17*1000000/A19</f>
        <v>6123.809523809524</v>
      </c>
      <c r="B20" t="s">
        <v>53</v>
      </c>
      <c r="C20" t="s">
        <v>54</v>
      </c>
    </row>
    <row r="21" spans="1:3" ht="12.75">
      <c r="A21" s="53">
        <f>A18/A19</f>
        <v>6123.809523809524</v>
      </c>
      <c r="B21" t="s">
        <v>53</v>
      </c>
      <c r="C21" t="s">
        <v>55</v>
      </c>
    </row>
    <row r="22" spans="1:2" ht="12.75">
      <c r="A22" s="53">
        <f>A21*14</f>
        <v>85733.33333333333</v>
      </c>
      <c r="B22" t="s">
        <v>214</v>
      </c>
    </row>
    <row r="24" ht="12.75">
      <c r="A24" s="120" t="s">
        <v>291</v>
      </c>
    </row>
    <row r="25" spans="1:2" ht="12.75">
      <c r="A25" s="8">
        <f>A7+A21</f>
        <v>414790.4761904762</v>
      </c>
      <c r="B25" t="s">
        <v>140</v>
      </c>
    </row>
    <row r="26" spans="1:2" ht="12.75">
      <c r="A26" s="8">
        <f>A13+A22</f>
        <v>692483828.5714287</v>
      </c>
      <c r="B26" t="s">
        <v>141</v>
      </c>
    </row>
    <row r="27" spans="1:2" ht="12.75">
      <c r="A27" s="8">
        <f>(A21*1)+(A7*'Criteria Emissions Summary'!J12)</f>
        <v>4501457.142857144</v>
      </c>
      <c r="B27" t="str">
        <f>"total daily fuel use (scf/day) calced from LM6000 daily normal op hours ("&amp;ROUND('Criteria Emissions Summary'!J12,0)&amp;" hr/day), plus 1 hour for black start per day"</f>
        <v>total daily fuel use (scf/day) calced from LM6000 daily normal op hours (11 hr/day), plus 1 hour for black start per day</v>
      </c>
    </row>
    <row r="28" ht="12.75">
      <c r="A28" s="8"/>
    </row>
    <row r="29" ht="12.75">
      <c r="A29" s="2" t="s">
        <v>198</v>
      </c>
    </row>
    <row r="30" spans="1:2" ht="12.75">
      <c r="A30" s="47">
        <f>'LM6000 Criteria Hourly'!D6</f>
        <v>4.51492</v>
      </c>
      <c r="B30" t="s">
        <v>126</v>
      </c>
    </row>
    <row r="31" spans="1:2" ht="12.75">
      <c r="A31">
        <f>A3</f>
        <v>429.1</v>
      </c>
      <c r="B31" t="s">
        <v>51</v>
      </c>
    </row>
    <row r="32" spans="1:2" ht="12.75">
      <c r="A32" s="80">
        <f>A30/A31</f>
        <v>0.010521836401771149</v>
      </c>
      <c r="B32" t="s">
        <v>109</v>
      </c>
    </row>
    <row r="34" ht="12.75">
      <c r="A34" s="2" t="s">
        <v>199</v>
      </c>
    </row>
    <row r="35" spans="1:2" ht="12.75">
      <c r="A35" s="80">
        <f>'Black Start Criteria Pollutants'!D23</f>
        <v>0.03186065</v>
      </c>
      <c r="B35" t="s">
        <v>126</v>
      </c>
    </row>
    <row r="36" spans="1:2" ht="12.75">
      <c r="A36" s="8">
        <f>A17</f>
        <v>6.43</v>
      </c>
      <c r="B36" t="s">
        <v>51</v>
      </c>
    </row>
    <row r="37" spans="1:2" ht="12.75">
      <c r="A37" s="80">
        <f>A35/A36</f>
        <v>0.004955</v>
      </c>
      <c r="B37" t="s">
        <v>109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&amp;CC.2-&amp;P&amp;RSCE Mira Loma Peaker Project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PageLayoutView="0" workbookViewId="0" topLeftCell="A1">
      <selection activeCell="H21" sqref="H21"/>
    </sheetView>
  </sheetViews>
  <sheetFormatPr defaultColWidth="9.140625" defaultRowHeight="12.75"/>
  <cols>
    <col min="2" max="2" width="20.7109375" style="0" customWidth="1"/>
    <col min="3" max="3" width="17.7109375" style="0" customWidth="1"/>
    <col min="4" max="4" width="11.00390625" style="0" customWidth="1"/>
    <col min="6" max="6" width="15.7109375" style="0" customWidth="1"/>
    <col min="7" max="7" width="11.8515625" style="0" customWidth="1"/>
    <col min="8" max="8" width="20.00390625" style="0" customWidth="1"/>
    <col min="9" max="9" width="14.28125" style="0" customWidth="1"/>
  </cols>
  <sheetData>
    <row r="1" spans="1:12" ht="13.5">
      <c r="A1" s="151" t="s">
        <v>142</v>
      </c>
      <c r="B1" s="87" t="s">
        <v>143</v>
      </c>
      <c r="C1" s="87" t="s">
        <v>144</v>
      </c>
      <c r="D1" s="151" t="s">
        <v>145</v>
      </c>
      <c r="E1" s="87" t="s">
        <v>146</v>
      </c>
      <c r="F1" s="87" t="s">
        <v>147</v>
      </c>
      <c r="G1" s="151" t="s">
        <v>148</v>
      </c>
      <c r="H1" s="151" t="s">
        <v>149</v>
      </c>
      <c r="I1" s="87" t="s">
        <v>150</v>
      </c>
      <c r="J1" s="151" t="s">
        <v>151</v>
      </c>
      <c r="K1" s="151" t="s">
        <v>152</v>
      </c>
      <c r="L1" s="151" t="s">
        <v>153</v>
      </c>
    </row>
    <row r="2" spans="1:12" ht="13.5">
      <c r="A2" s="152"/>
      <c r="B2" s="88" t="s">
        <v>154</v>
      </c>
      <c r="C2" s="88" t="s">
        <v>154</v>
      </c>
      <c r="D2" s="152"/>
      <c r="E2" s="88" t="s">
        <v>155</v>
      </c>
      <c r="F2" s="88" t="s">
        <v>156</v>
      </c>
      <c r="G2" s="152"/>
      <c r="H2" s="152"/>
      <c r="I2" s="88" t="s">
        <v>157</v>
      </c>
      <c r="J2" s="152"/>
      <c r="K2" s="152"/>
      <c r="L2" s="152"/>
    </row>
    <row r="3" spans="1:12" ht="13.5">
      <c r="A3" s="153"/>
      <c r="B3" s="90"/>
      <c r="C3" s="90"/>
      <c r="D3" s="153"/>
      <c r="E3" s="90"/>
      <c r="F3" s="90"/>
      <c r="G3" s="153"/>
      <c r="H3" s="153"/>
      <c r="I3" s="89" t="s">
        <v>158</v>
      </c>
      <c r="J3" s="153"/>
      <c r="K3" s="153"/>
      <c r="L3" s="153"/>
    </row>
    <row r="4" spans="1:12" ht="26.25">
      <c r="A4" s="91" t="s">
        <v>159</v>
      </c>
      <c r="B4" s="92" t="s">
        <v>160</v>
      </c>
      <c r="C4" s="92" t="s">
        <v>161</v>
      </c>
      <c r="D4" s="92">
        <v>20200202</v>
      </c>
      <c r="E4" s="92" t="s">
        <v>162</v>
      </c>
      <c r="F4" s="92" t="s">
        <v>163</v>
      </c>
      <c r="G4" s="92" t="s">
        <v>18</v>
      </c>
      <c r="H4" s="92" t="s">
        <v>10</v>
      </c>
      <c r="I4" s="93">
        <v>0.415</v>
      </c>
      <c r="J4" s="93">
        <v>0.367</v>
      </c>
      <c r="K4" s="93">
        <v>0.378</v>
      </c>
      <c r="L4" s="92" t="s">
        <v>164</v>
      </c>
    </row>
    <row r="5" spans="1:12" ht="26.25">
      <c r="A5" s="91" t="s">
        <v>165</v>
      </c>
      <c r="B5" s="92" t="s">
        <v>160</v>
      </c>
      <c r="C5" s="92" t="s">
        <v>161</v>
      </c>
      <c r="D5" s="92">
        <v>20200202</v>
      </c>
      <c r="E5" s="92" t="s">
        <v>162</v>
      </c>
      <c r="F5" s="92" t="s">
        <v>163</v>
      </c>
      <c r="G5" s="92" t="s">
        <v>15</v>
      </c>
      <c r="H5" s="92" t="s">
        <v>5</v>
      </c>
      <c r="I5" s="93">
        <v>2.62</v>
      </c>
      <c r="J5" s="93">
        <v>0.529</v>
      </c>
      <c r="K5" s="93">
        <v>0.0392</v>
      </c>
      <c r="L5" s="92" t="s">
        <v>164</v>
      </c>
    </row>
    <row r="6" spans="1:12" ht="26.25">
      <c r="A6" s="91" t="s">
        <v>166</v>
      </c>
      <c r="B6" s="92" t="s">
        <v>160</v>
      </c>
      <c r="C6" s="92" t="s">
        <v>161</v>
      </c>
      <c r="D6" s="92">
        <v>20200202</v>
      </c>
      <c r="E6" s="92" t="s">
        <v>162</v>
      </c>
      <c r="F6" s="92" t="s">
        <v>163</v>
      </c>
      <c r="G6" s="92" t="s">
        <v>16</v>
      </c>
      <c r="H6" s="92" t="s">
        <v>8</v>
      </c>
      <c r="I6" s="93">
        <v>0.161</v>
      </c>
      <c r="J6" s="93">
        <v>0.059</v>
      </c>
      <c r="K6" s="93">
        <v>0.0392</v>
      </c>
      <c r="L6" s="92" t="s">
        <v>164</v>
      </c>
    </row>
    <row r="7" spans="1:12" ht="26.25">
      <c r="A7" s="91" t="s">
        <v>167</v>
      </c>
      <c r="B7" s="92" t="s">
        <v>160</v>
      </c>
      <c r="C7" s="92" t="s">
        <v>161</v>
      </c>
      <c r="D7" s="92">
        <v>20200202</v>
      </c>
      <c r="E7" s="92" t="s">
        <v>162</v>
      </c>
      <c r="F7" s="92" t="s">
        <v>163</v>
      </c>
      <c r="G7" s="92" t="s">
        <v>17</v>
      </c>
      <c r="H7" s="92" t="s">
        <v>9</v>
      </c>
      <c r="I7" s="93">
        <v>0.259</v>
      </c>
      <c r="J7" s="93">
        <v>0.218</v>
      </c>
      <c r="K7" s="93">
        <v>0.212</v>
      </c>
      <c r="L7" s="92" t="s">
        <v>164</v>
      </c>
    </row>
    <row r="8" spans="1:12" ht="26.25">
      <c r="A8" s="91" t="s">
        <v>168</v>
      </c>
      <c r="B8" s="92" t="s">
        <v>160</v>
      </c>
      <c r="C8" s="92" t="s">
        <v>161</v>
      </c>
      <c r="D8" s="92">
        <v>20200202</v>
      </c>
      <c r="E8" s="92" t="s">
        <v>162</v>
      </c>
      <c r="F8" s="92" t="s">
        <v>163</v>
      </c>
      <c r="G8" s="92" t="s">
        <v>85</v>
      </c>
      <c r="H8" s="92" t="s">
        <v>169</v>
      </c>
      <c r="I8" s="93">
        <v>3.88E-06</v>
      </c>
      <c r="J8" s="93">
        <v>2.7E-06</v>
      </c>
      <c r="K8" s="93">
        <v>2.52E-06</v>
      </c>
      <c r="L8" s="92" t="s">
        <v>164</v>
      </c>
    </row>
    <row r="9" spans="1:12" ht="26.25">
      <c r="A9" s="91" t="s">
        <v>170</v>
      </c>
      <c r="B9" s="92" t="s">
        <v>160</v>
      </c>
      <c r="C9" s="92" t="s">
        <v>161</v>
      </c>
      <c r="D9" s="92">
        <v>20200202</v>
      </c>
      <c r="E9" s="92" t="s">
        <v>162</v>
      </c>
      <c r="F9" s="92" t="s">
        <v>163</v>
      </c>
      <c r="G9" s="92" t="s">
        <v>81</v>
      </c>
      <c r="H9" s="92" t="s">
        <v>82</v>
      </c>
      <c r="I9" s="93">
        <v>7.98E-05</v>
      </c>
      <c r="J9" s="93">
        <v>4.09E-05</v>
      </c>
      <c r="K9" s="93">
        <v>3.49E-05</v>
      </c>
      <c r="L9" s="92" t="s">
        <v>164</v>
      </c>
    </row>
    <row r="10" spans="1:12" ht="26.25">
      <c r="A10" s="91" t="s">
        <v>171</v>
      </c>
      <c r="B10" s="92" t="s">
        <v>160</v>
      </c>
      <c r="C10" s="92" t="s">
        <v>161</v>
      </c>
      <c r="D10" s="92">
        <v>20200202</v>
      </c>
      <c r="E10" s="92" t="s">
        <v>162</v>
      </c>
      <c r="F10" s="92" t="s">
        <v>163</v>
      </c>
      <c r="G10" s="92" t="s">
        <v>172</v>
      </c>
      <c r="H10" s="92" t="s">
        <v>173</v>
      </c>
      <c r="I10" s="93">
        <v>1.71E-05</v>
      </c>
      <c r="J10" s="93">
        <v>7.54E-06</v>
      </c>
      <c r="K10" s="93">
        <v>6.81E-06</v>
      </c>
      <c r="L10" s="92" t="s">
        <v>164</v>
      </c>
    </row>
    <row r="11" spans="1:12" ht="26.25">
      <c r="A11" s="91" t="s">
        <v>174</v>
      </c>
      <c r="B11" s="92" t="s">
        <v>160</v>
      </c>
      <c r="C11" s="92" t="s">
        <v>161</v>
      </c>
      <c r="D11" s="92">
        <v>20200202</v>
      </c>
      <c r="E11" s="92" t="s">
        <v>162</v>
      </c>
      <c r="F11" s="92" t="s">
        <v>163</v>
      </c>
      <c r="G11" s="92" t="s">
        <v>175</v>
      </c>
      <c r="H11" s="92" t="s">
        <v>176</v>
      </c>
      <c r="I11" s="93">
        <v>1.21E-05</v>
      </c>
      <c r="J11" s="93">
        <v>7.83E-06</v>
      </c>
      <c r="K11" s="93">
        <v>8.54E-06</v>
      </c>
      <c r="L11" s="92" t="s">
        <v>164</v>
      </c>
    </row>
    <row r="12" spans="1:12" ht="26.25">
      <c r="A12" s="91" t="s">
        <v>177</v>
      </c>
      <c r="B12" s="92" t="s">
        <v>160</v>
      </c>
      <c r="C12" s="92" t="s">
        <v>161</v>
      </c>
      <c r="D12" s="92">
        <v>20200202</v>
      </c>
      <c r="E12" s="92" t="s">
        <v>162</v>
      </c>
      <c r="F12" s="92" t="s">
        <v>163</v>
      </c>
      <c r="G12" s="92" t="s">
        <v>83</v>
      </c>
      <c r="H12" s="92" t="s">
        <v>84</v>
      </c>
      <c r="I12" s="93">
        <v>2.25E-05</v>
      </c>
      <c r="J12" s="93">
        <v>1.43E-05</v>
      </c>
      <c r="K12" s="93">
        <v>1.58E-05</v>
      </c>
      <c r="L12" s="92" t="s">
        <v>164</v>
      </c>
    </row>
    <row r="13" spans="1:12" ht="26.25">
      <c r="A13" s="91" t="s">
        <v>178</v>
      </c>
      <c r="B13" s="92" t="s">
        <v>160</v>
      </c>
      <c r="C13" s="92" t="s">
        <v>161</v>
      </c>
      <c r="D13" s="92">
        <v>20200202</v>
      </c>
      <c r="E13" s="92" t="s">
        <v>162</v>
      </c>
      <c r="F13" s="92" t="s">
        <v>163</v>
      </c>
      <c r="G13" s="92" t="s">
        <v>179</v>
      </c>
      <c r="H13" s="92" t="s">
        <v>180</v>
      </c>
      <c r="I13" s="93">
        <v>3.88E-06</v>
      </c>
      <c r="J13" s="93">
        <v>2.7E-06</v>
      </c>
      <c r="K13" s="93">
        <v>2.52E-06</v>
      </c>
      <c r="L13" s="92" t="s">
        <v>164</v>
      </c>
    </row>
    <row r="14" spans="1:12" ht="26.25">
      <c r="A14" s="91" t="s">
        <v>181</v>
      </c>
      <c r="B14" s="92" t="s">
        <v>160</v>
      </c>
      <c r="C14" s="92" t="s">
        <v>161</v>
      </c>
      <c r="D14" s="92">
        <v>20200202</v>
      </c>
      <c r="E14" s="92" t="s">
        <v>162</v>
      </c>
      <c r="F14" s="92" t="s">
        <v>163</v>
      </c>
      <c r="G14" s="92" t="s">
        <v>19</v>
      </c>
      <c r="H14" s="92" t="s">
        <v>1</v>
      </c>
      <c r="I14" s="93">
        <v>0.115</v>
      </c>
      <c r="J14" s="93">
        <v>0.0711</v>
      </c>
      <c r="K14" s="93">
        <v>0.07</v>
      </c>
      <c r="L14" s="92" t="s">
        <v>164</v>
      </c>
    </row>
    <row r="15" spans="1:12" ht="26.25">
      <c r="A15" s="91" t="s">
        <v>182</v>
      </c>
      <c r="B15" s="92" t="s">
        <v>160</v>
      </c>
      <c r="C15" s="92" t="s">
        <v>161</v>
      </c>
      <c r="D15" s="92">
        <v>20200202</v>
      </c>
      <c r="E15" s="92" t="s">
        <v>162</v>
      </c>
      <c r="F15" s="92" t="s">
        <v>163</v>
      </c>
      <c r="G15" s="92" t="s">
        <v>20</v>
      </c>
      <c r="H15" s="92" t="s">
        <v>11</v>
      </c>
      <c r="I15" s="93">
        <v>20.9</v>
      </c>
      <c r="J15" s="93">
        <v>4.71</v>
      </c>
      <c r="K15" s="93">
        <v>0.365</v>
      </c>
      <c r="L15" s="92" t="s">
        <v>164</v>
      </c>
    </row>
    <row r="16" spans="1:12" ht="26.25">
      <c r="A16" s="91" t="s">
        <v>183</v>
      </c>
      <c r="B16" s="92" t="s">
        <v>160</v>
      </c>
      <c r="C16" s="92" t="s">
        <v>161</v>
      </c>
      <c r="D16" s="92">
        <v>20200202</v>
      </c>
      <c r="E16" s="92" t="s">
        <v>162</v>
      </c>
      <c r="F16" s="92" t="s">
        <v>163</v>
      </c>
      <c r="G16" s="92" t="s">
        <v>184</v>
      </c>
      <c r="H16" s="92" t="s">
        <v>185</v>
      </c>
      <c r="I16" s="93">
        <v>1.09E-05</v>
      </c>
      <c r="J16" s="93">
        <v>7.17E-06</v>
      </c>
      <c r="K16" s="93">
        <v>8.06E-06</v>
      </c>
      <c r="L16" s="92" t="s">
        <v>164</v>
      </c>
    </row>
    <row r="17" spans="1:12" ht="26.25">
      <c r="A17" s="91" t="s">
        <v>186</v>
      </c>
      <c r="B17" s="92" t="s">
        <v>160</v>
      </c>
      <c r="C17" s="92" t="s">
        <v>161</v>
      </c>
      <c r="D17" s="92">
        <v>20200202</v>
      </c>
      <c r="E17" s="92" t="s">
        <v>162</v>
      </c>
      <c r="F17" s="92" t="s">
        <v>163</v>
      </c>
      <c r="G17" s="92" t="s">
        <v>21</v>
      </c>
      <c r="H17" s="92" t="s">
        <v>2</v>
      </c>
      <c r="I17" s="93">
        <v>0.031</v>
      </c>
      <c r="J17" s="93">
        <v>0.0251</v>
      </c>
      <c r="K17" s="93">
        <v>0.0234</v>
      </c>
      <c r="L17" s="92" t="s">
        <v>164</v>
      </c>
    </row>
    <row r="18" spans="1:12" ht="26.25">
      <c r="A18" s="91" t="s">
        <v>187</v>
      </c>
      <c r="B18" s="92" t="s">
        <v>160</v>
      </c>
      <c r="C18" s="92" t="s">
        <v>161</v>
      </c>
      <c r="D18" s="92">
        <v>20200202</v>
      </c>
      <c r="E18" s="92" t="s">
        <v>162</v>
      </c>
      <c r="F18" s="92" t="s">
        <v>163</v>
      </c>
      <c r="G18" s="92" t="s">
        <v>188</v>
      </c>
      <c r="H18" s="92" t="s">
        <v>189</v>
      </c>
      <c r="I18" s="93">
        <v>12.1</v>
      </c>
      <c r="J18" s="93">
        <v>5.38</v>
      </c>
      <c r="K18" s="93">
        <v>4.25</v>
      </c>
      <c r="L18" s="92" t="s">
        <v>164</v>
      </c>
    </row>
    <row r="19" spans="1:12" ht="26.25">
      <c r="A19" s="91" t="s">
        <v>190</v>
      </c>
      <c r="B19" s="92" t="s">
        <v>160</v>
      </c>
      <c r="C19" s="92" t="s">
        <v>161</v>
      </c>
      <c r="D19" s="92">
        <v>20200202</v>
      </c>
      <c r="E19" s="92" t="s">
        <v>162</v>
      </c>
      <c r="F19" s="92" t="s">
        <v>163</v>
      </c>
      <c r="G19" s="92" t="s">
        <v>23</v>
      </c>
      <c r="H19" s="92" t="s">
        <v>3</v>
      </c>
      <c r="I19" s="93">
        <v>0.394</v>
      </c>
      <c r="J19" s="93">
        <v>0.239</v>
      </c>
      <c r="K19" s="93">
        <v>0.259</v>
      </c>
      <c r="L19" s="92" t="s">
        <v>164</v>
      </c>
    </row>
    <row r="20" spans="1:12" ht="26.25">
      <c r="A20" s="91" t="s">
        <v>191</v>
      </c>
      <c r="B20" s="92" t="s">
        <v>160</v>
      </c>
      <c r="C20" s="92" t="s">
        <v>161</v>
      </c>
      <c r="D20" s="92">
        <v>20200202</v>
      </c>
      <c r="E20" s="92" t="s">
        <v>162</v>
      </c>
      <c r="F20" s="92" t="s">
        <v>163</v>
      </c>
      <c r="G20" s="92" t="s">
        <v>24</v>
      </c>
      <c r="H20" s="92" t="s">
        <v>87</v>
      </c>
      <c r="I20" s="93">
        <v>0.965</v>
      </c>
      <c r="J20" s="93">
        <v>0.646</v>
      </c>
      <c r="K20" s="93">
        <v>0.685</v>
      </c>
      <c r="L20" s="92" t="s">
        <v>164</v>
      </c>
    </row>
  </sheetData>
  <sheetProtection/>
  <mergeCells count="7">
    <mergeCell ref="J1:J3"/>
    <mergeCell ref="K1:K3"/>
    <mergeCell ref="L1:L3"/>
    <mergeCell ref="A1:A3"/>
    <mergeCell ref="D1:D3"/>
    <mergeCell ref="G1:G3"/>
    <mergeCell ref="H1:H3"/>
  </mergeCells>
  <hyperlinks>
    <hyperlink ref="A4" r:id="rId1" display="http://www.arb.ca.gov/app/emsinv/catef_detail.php?id=3458&amp;scc=20200202"/>
    <hyperlink ref="A5" r:id="rId2" display="http://www.arb.ca.gov/app/emsinv/catef_detail.php?id=3462&amp;scc=20200202"/>
    <hyperlink ref="A6" r:id="rId3" display="http://www.arb.ca.gov/app/emsinv/catef_detail.php?id=3465&amp;scc=20200202"/>
    <hyperlink ref="A7" r:id="rId4" display="http://www.arb.ca.gov/app/emsinv/catef_detail.php?id=3469&amp;scc=20200202"/>
    <hyperlink ref="A8" r:id="rId5" display="http://www.arb.ca.gov/app/emsinv/catef_detail.php?id=3471&amp;scc=20200202"/>
    <hyperlink ref="A9" r:id="rId6" display="http://www.arb.ca.gov/app/emsinv/catef_detail.php?id=3472&amp;scc=20200202"/>
    <hyperlink ref="A10" r:id="rId7" display="http://www.arb.ca.gov/app/emsinv/catef_detail.php?id=3473&amp;scc=20200202"/>
    <hyperlink ref="A11" r:id="rId8" display="http://www.arb.ca.gov/app/emsinv/catef_detail.php?id=3474&amp;scc=20200202"/>
    <hyperlink ref="A12" r:id="rId9" display="http://www.arb.ca.gov/app/emsinv/catef_detail.php?id=3475&amp;scc=20200202"/>
    <hyperlink ref="A13" r:id="rId10" display="http://www.arb.ca.gov/app/emsinv/catef_detail.php?id=3476&amp;scc=20200202"/>
    <hyperlink ref="A14" r:id="rId11" display="http://www.arb.ca.gov/app/emsinv/catef_detail.php?id=3477&amp;scc=20200202"/>
    <hyperlink ref="A15" r:id="rId12" display="http://www.arb.ca.gov/app/emsinv/catef_detail.php?id=3482&amp;scc=20200202"/>
    <hyperlink ref="A16" r:id="rId13" display="http://www.arb.ca.gov/app/emsinv/catef_detail.php?id=3483&amp;scc=20200202"/>
    <hyperlink ref="A17" r:id="rId14" display="http://www.arb.ca.gov/app/emsinv/catef_detail.php?id=3484&amp;scc=20200202"/>
    <hyperlink ref="A18" r:id="rId15" display="http://www.arb.ca.gov/app/emsinv/catef_detail.php?id=3487&amp;scc=20200202"/>
    <hyperlink ref="A19" r:id="rId16" display="http://www.arb.ca.gov/app/emsinv/catef_detail.php?id=3490&amp;scc=20200202"/>
    <hyperlink ref="A20" r:id="rId17" display="http://www.arb.ca.gov/app/emsinv/catef_detail.php?id=3491&amp;scc=2020020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="60" zoomScaleNormal="75" zoomScalePageLayoutView="0" workbookViewId="0" topLeftCell="A1">
      <pane xSplit="1" topLeftCell="B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12.00390625" style="0" customWidth="1"/>
    <col min="2" max="3" width="20.57421875" style="0" customWidth="1"/>
    <col min="4" max="5" width="21.7109375" style="0" customWidth="1"/>
    <col min="6" max="11" width="20.421875" style="0" customWidth="1"/>
    <col min="12" max="12" width="14.7109375" style="0" customWidth="1"/>
    <col min="13" max="13" width="15.00390625" style="0" customWidth="1"/>
    <col min="14" max="17" width="17.421875" style="0" customWidth="1"/>
    <col min="18" max="24" width="11.7109375" style="0" customWidth="1"/>
    <col min="25" max="25" width="11.57421875" style="0" customWidth="1"/>
    <col min="26" max="26" width="11.28125" style="0" customWidth="1"/>
  </cols>
  <sheetData>
    <row r="1" ht="12.75">
      <c r="A1" s="2" t="s">
        <v>368</v>
      </c>
    </row>
    <row r="2" spans="1:19" ht="12.75">
      <c r="A2" s="2" t="s">
        <v>249</v>
      </c>
      <c r="N2" t="s">
        <v>208</v>
      </c>
      <c r="S2" t="s">
        <v>208</v>
      </c>
    </row>
    <row r="3" spans="1:26" ht="42">
      <c r="A3" s="1" t="s">
        <v>4</v>
      </c>
      <c r="B3" s="1" t="s">
        <v>389</v>
      </c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  <c r="H3" s="1" t="s">
        <v>395</v>
      </c>
      <c r="I3" s="108"/>
      <c r="J3" s="83" t="s">
        <v>121</v>
      </c>
      <c r="K3" s="83" t="s">
        <v>234</v>
      </c>
      <c r="L3" s="46" t="s">
        <v>233</v>
      </c>
      <c r="M3" s="46" t="s">
        <v>231</v>
      </c>
      <c r="N3" s="83" t="s">
        <v>209</v>
      </c>
      <c r="O3" s="46"/>
      <c r="P3" s="46"/>
      <c r="Q3" s="69"/>
      <c r="R3" s="69"/>
      <c r="S3" s="83" t="s">
        <v>207</v>
      </c>
      <c r="T3" s="83" t="s">
        <v>211</v>
      </c>
      <c r="U3" s="83" t="s">
        <v>212</v>
      </c>
      <c r="V3" s="83" t="s">
        <v>209</v>
      </c>
      <c r="W3" s="83"/>
      <c r="X3" s="46"/>
      <c r="Y3" s="46"/>
      <c r="Z3" s="69"/>
    </row>
    <row r="4" spans="1:26" ht="12.75">
      <c r="A4" s="57" t="s">
        <v>43</v>
      </c>
      <c r="B4" s="59">
        <f>'Black Start Criteria Pollutants'!$D$11+'LM6000 Criteria SCAQMD styles'!B4</f>
        <v>104.40377827380951</v>
      </c>
      <c r="C4" s="59">
        <f>'Black Start Criteria Pollutants'!$D$11+'LM6000 Criteria SCAQMD styles'!C19</f>
        <v>8.851778273809524</v>
      </c>
      <c r="D4" s="59">
        <f>('Black Start Criteria Pollutants'!$D$11*1)+('LM6000 Criteria SCAQMD styles'!B4*'Criteria Emissions Summary'!$J$12)</f>
        <v>1136.5237782738095</v>
      </c>
      <c r="E4" s="59">
        <f>('Black Start Criteria Pollutants'!$D$11*1)+'LM6000 Criteria SCAQMD styles'!F19</f>
        <v>53.09177827380953</v>
      </c>
      <c r="F4" s="59">
        <f>'Black Start Criteria Pollutants'!F11+'LM6000 Criteria SCAQMD styles'!G19</f>
        <v>23.86695188492064</v>
      </c>
      <c r="G4" s="59">
        <f>'Black Start Criteria Pollutants'!G11+('LM6000 Criteria Pollutant PTE'!K4*2000)</f>
        <v>7816.684895833333</v>
      </c>
      <c r="H4" s="59">
        <f>'Black Start Criteria Pollutants'!G11+('LM6000 Criteria Pollutant PTE'!G14*2000)</f>
        <v>7816.684895833333</v>
      </c>
      <c r="I4" s="107"/>
      <c r="J4" s="111">
        <f>MIN((24*(0.998*M4)/L4),24)</f>
        <v>12.916335240899365</v>
      </c>
      <c r="K4" s="86">
        <f>C4*J4</f>
        <v>114.3325356626333</v>
      </c>
      <c r="L4" s="50">
        <f>('Black Start Criteria Pollutants'!D11*1)+('LM6000 Criteria SCAQMD styles'!C4*24)</f>
        <v>101.99177827380953</v>
      </c>
      <c r="M4" s="48">
        <v>55</v>
      </c>
      <c r="N4" s="48"/>
      <c r="O4" s="48"/>
      <c r="P4" s="48"/>
      <c r="Q4" s="73"/>
      <c r="R4" s="73"/>
      <c r="S4" s="104">
        <f>D4*453.6/3600</f>
        <v>143.2019960625</v>
      </c>
      <c r="T4" s="104"/>
      <c r="U4" s="104"/>
      <c r="V4" s="104">
        <f>S4</f>
        <v>143.2019960625</v>
      </c>
      <c r="W4" s="70"/>
      <c r="X4" s="49"/>
      <c r="Y4" s="48"/>
      <c r="Z4" s="52"/>
    </row>
    <row r="5" spans="1:26" ht="12.75">
      <c r="A5" s="57" t="s">
        <v>44</v>
      </c>
      <c r="B5" s="59">
        <f>'Black Start Criteria Pollutants'!$D$12+'LM6000 Criteria SCAQMD styles'!B5</f>
        <v>64.61594196428571</v>
      </c>
      <c r="C5" s="59">
        <f>'Black Start Criteria Pollutants'!$D$12+'LM6000 Criteria SCAQMD styles'!C20</f>
        <v>10.175941964285714</v>
      </c>
      <c r="D5" s="59">
        <f>('Black Start Criteria Pollutants'!$D$12*1)+('LM6000 Criteria SCAQMD styles'!B5*'Criteria Emissions Summary'!$J$12)</f>
        <v>695.6159419642858</v>
      </c>
      <c r="E5" s="59">
        <f>('Black Start Criteria Pollutants'!$D$12*1)+'LM6000 Criteria SCAQMD styles'!F20</f>
        <v>73.74927529761905</v>
      </c>
      <c r="F5" s="59">
        <f>'Black Start Criteria Pollutants'!F12+'LM6000 Criteria SCAQMD styles'!G20</f>
        <v>33.208007242063495</v>
      </c>
      <c r="G5" s="59">
        <f>'Black Start Criteria Pollutants'!G12+('LM6000 Criteria Pollutant PTE'!K5*2000)</f>
        <v>10839.491758928572</v>
      </c>
      <c r="H5" s="59">
        <f>'Black Start Criteria Pollutants'!G12+('LM6000 Criteria Pollutant PTE'!G15*2000)</f>
        <v>11009.794616071427</v>
      </c>
      <c r="I5" s="107"/>
      <c r="J5" s="111">
        <f>MIN((24*(0.998*M5)/L5),24)</f>
        <v>24</v>
      </c>
      <c r="K5" s="86">
        <f>C5*J5</f>
        <v>244.22260714285716</v>
      </c>
      <c r="L5" s="50">
        <f>('Black Start Criteria Pollutants'!D12*1)+('LM6000 Criteria SCAQMD styles'!C5*24)</f>
        <v>150.3159419642857</v>
      </c>
      <c r="M5" s="48">
        <v>550</v>
      </c>
      <c r="N5" s="48"/>
      <c r="O5" s="48"/>
      <c r="P5" s="48"/>
      <c r="Q5" s="73"/>
      <c r="R5" s="73"/>
      <c r="S5" s="104">
        <f>D5*453.6/3600</f>
        <v>87.64760868750001</v>
      </c>
      <c r="T5" s="104"/>
      <c r="U5" s="104">
        <f>S5</f>
        <v>87.64760868750001</v>
      </c>
      <c r="V5" s="104">
        <f>S5</f>
        <v>87.64760868750001</v>
      </c>
      <c r="W5" s="71"/>
      <c r="X5" s="49"/>
      <c r="Y5" s="48"/>
      <c r="Z5" s="72"/>
    </row>
    <row r="6" spans="1:26" ht="12.75">
      <c r="A6" s="57" t="s">
        <v>46</v>
      </c>
      <c r="B6" s="59">
        <f>'Black Start Criteria Pollutants'!$D$23+'LM6000 Criteria SCAQMD styles'!B6</f>
        <v>4.54678065</v>
      </c>
      <c r="C6" s="59">
        <f>'Black Start Criteria Pollutants'!$D$23+'LM6000 Criteria SCAQMD styles'!C21</f>
        <v>4.54678065</v>
      </c>
      <c r="D6" s="59">
        <f>('Black Start Criteria Pollutants'!$D$23*1)+('LM6000 Criteria SCAQMD styles'!B6*'Criteria Emissions Summary'!$J$12)</f>
        <v>49.695980649999996</v>
      </c>
      <c r="E6" s="59">
        <f>('Black Start Criteria Pollutants'!$D$23*1)+'LM6000 Criteria SCAQMD styles'!F21</f>
        <v>49.69598065</v>
      </c>
      <c r="F6" s="59">
        <f>'Black Start Criteria Pollutants'!F23+'LM6000 Criteria SCAQMD styles'!G21</f>
        <v>22.76484571</v>
      </c>
      <c r="G6" s="59">
        <f>'Black Start Criteria Pollutants'!G23+('LM6000 Criteria Pollutant PTE'!K6*2000)</f>
        <v>6666.338435957144</v>
      </c>
      <c r="H6" s="59">
        <f>'Black Start Criteria Pollutants'!G23+('LM6000 Criteria Pollutant PTE'!G16*2000)</f>
        <v>7650.0105062428565</v>
      </c>
      <c r="I6" s="107"/>
      <c r="J6" s="111">
        <f>MIN((24*(0.998*M6)/L6),24)</f>
        <v>24</v>
      </c>
      <c r="K6" s="86">
        <f>C6*J6</f>
        <v>109.1227356</v>
      </c>
      <c r="L6" s="50">
        <f>('Black Start Criteria Pollutants'!D23*1)+('LM6000 Criteria SCAQMD styles'!C6*24)</f>
        <v>108.38994065</v>
      </c>
      <c r="M6" s="48">
        <v>150</v>
      </c>
      <c r="N6" s="48">
        <f>E6/24*453.6/3600</f>
        <v>0.2609038984125</v>
      </c>
      <c r="O6" s="48"/>
      <c r="P6" s="48"/>
      <c r="Q6" s="50"/>
      <c r="R6" s="50"/>
      <c r="S6" s="104"/>
      <c r="T6" s="104"/>
      <c r="U6" s="104"/>
      <c r="V6" s="104">
        <f>D6*453.6/3600</f>
        <v>6.2616935619</v>
      </c>
      <c r="W6" s="71"/>
      <c r="X6" s="49"/>
      <c r="Y6" s="48"/>
      <c r="Z6" s="72"/>
    </row>
    <row r="7" spans="1:26" ht="12.75">
      <c r="A7" s="74" t="s">
        <v>216</v>
      </c>
      <c r="B7" s="59">
        <f>'Black Start Criteria Pollutants'!$D$13+'LM6000 Criteria SCAQMD styles'!B7</f>
        <v>2.3480806583315483</v>
      </c>
      <c r="C7" s="59">
        <f>'Black Start Criteria Pollutants'!$D$13+'LM6000 Criteria SCAQMD styles'!C22</f>
        <v>1.7782695638787747</v>
      </c>
      <c r="D7" s="59">
        <f>('Black Start Criteria Pollutants'!$D$13*1)+('LM6000 Criteria SCAQMD styles'!B7*'Criteria Emissions Summary'!$J$12)</f>
        <v>21.53848545593275</v>
      </c>
      <c r="E7" s="59">
        <f>('Black Start Criteria Pollutants'!$D$13*1)+'LM6000 Criteria SCAQMD styles'!F22</f>
        <v>14.636848274523452</v>
      </c>
      <c r="F7" s="59">
        <f>'Black Start Criteria Pollutants'!F13+'LM6000 Criteria SCAQMD styles'!G22</f>
        <v>6.54051472254944</v>
      </c>
      <c r="G7" s="59">
        <f>'Black Start Criteria Pollutants'!G13+('LM6000 Criteria Pollutant PTE'!K7*2000)</f>
        <v>1919.4613459654104</v>
      </c>
      <c r="H7" s="59">
        <f>'Black Start Criteria Pollutants'!G13+('LM6000 Criteria Pollutant PTE'!G17*2000)</f>
        <v>2190.029248299957</v>
      </c>
      <c r="I7" s="107"/>
      <c r="J7" s="111">
        <f>MIN((24*(0.998*M7)/L7),24)</f>
        <v>24</v>
      </c>
      <c r="K7" s="86">
        <f>C7*J7</f>
        <v>42.67846953309059</v>
      </c>
      <c r="L7" s="50">
        <f>('Black Start Criteria Pollutants'!D13*1)+('LM6000 Criteria SCAQMD styles'!C7*24)</f>
        <v>31.14904017857143</v>
      </c>
      <c r="M7" s="71">
        <v>55</v>
      </c>
      <c r="N7" s="71"/>
      <c r="O7" s="71"/>
      <c r="P7" s="71"/>
      <c r="Q7" s="73"/>
      <c r="R7" s="73"/>
      <c r="S7" s="104"/>
      <c r="T7" s="48"/>
      <c r="U7" s="48"/>
      <c r="V7" s="104"/>
      <c r="W7" s="70"/>
      <c r="X7" s="49"/>
      <c r="Y7" s="48"/>
      <c r="Z7" s="72"/>
    </row>
    <row r="8" spans="1:26" ht="12.75">
      <c r="A8" s="57" t="s">
        <v>45</v>
      </c>
      <c r="B8" s="59">
        <f>'Black Start Criteria Pollutants'!$D$22+'LM6000 Criteria SCAQMD styles'!B8</f>
        <v>0.25935041999999997</v>
      </c>
      <c r="C8" s="59">
        <f>'Black Start Criteria Pollutants'!$D$22+'LM6000 Criteria SCAQMD styles'!C23</f>
        <v>0.25935041999999997</v>
      </c>
      <c r="D8" s="59">
        <f>('Black Start Criteria Pollutants'!$D$22*1)+('LM6000 Criteria SCAQMD styles'!B8*'Criteria Emissions Summary'!$J$12)</f>
        <v>2.83395042</v>
      </c>
      <c r="E8" s="59">
        <f>('Black Start Criteria Pollutants'!$D$22*1)+'LM6000 Criteria SCAQMD styles'!F23</f>
        <v>2.83395042</v>
      </c>
      <c r="F8" s="59">
        <f>'Black Start Criteria Pollutants'!F22+'LM6000 Criteria SCAQMD styles'!G23</f>
        <v>1.2981535279999998</v>
      </c>
      <c r="G8" s="59">
        <f>'Black Start Criteria Pollutants'!G22+('LM6000 Criteria Pollutant PTE'!K8*2000)</f>
        <v>380.14408788</v>
      </c>
      <c r="H8" s="59">
        <f>'Black Start Criteria Pollutants'!G22+('LM6000 Criteria Pollutant PTE'!G18*2000)</f>
        <v>436.2372658799999</v>
      </c>
      <c r="I8" s="107"/>
      <c r="J8" s="111">
        <f>MIN((24*(0.998*M8)/L8),24)</f>
        <v>24</v>
      </c>
      <c r="K8" s="86">
        <f>C8*J8</f>
        <v>6.224410079999999</v>
      </c>
      <c r="L8" s="50">
        <f>('Black Start Criteria Pollutants'!D22*1)+('LM6000 Criteria SCAQMD styles'!C8*24)</f>
        <v>6.180930419999998</v>
      </c>
      <c r="M8" s="48">
        <v>150</v>
      </c>
      <c r="N8" s="113">
        <f>E8/24*453.6/3600</f>
        <v>0.014878239704999999</v>
      </c>
      <c r="O8" s="48"/>
      <c r="P8" s="48"/>
      <c r="Q8" s="50"/>
      <c r="R8" s="50"/>
      <c r="S8" s="104">
        <f>D8*453.6/3600</f>
        <v>0.35707775292</v>
      </c>
      <c r="T8" s="104">
        <f>S8</f>
        <v>0.35707775292</v>
      </c>
      <c r="U8" s="104"/>
      <c r="V8" s="104">
        <f>S8</f>
        <v>0.35707775292</v>
      </c>
      <c r="W8" s="70"/>
      <c r="X8" s="49"/>
      <c r="Y8" s="48"/>
      <c r="Z8" s="72"/>
    </row>
    <row r="9" ht="12.75">
      <c r="A9" s="109" t="s">
        <v>396</v>
      </c>
    </row>
    <row r="10" ht="12.75">
      <c r="A10" s="109" t="s">
        <v>397</v>
      </c>
    </row>
    <row r="11" spans="1:11" ht="12.75">
      <c r="A11" s="110" t="str">
        <f>"(3) 1 hour of black start ICE operation and "&amp;$J$12&amp;" hr/day operation of uncontrolled turbine emissions."</f>
        <v>(3) 1 hour of black start ICE operation and 11 hr/day operation of uncontrolled turbine emissions.</v>
      </c>
      <c r="G11" s="47"/>
      <c r="H11" s="47"/>
      <c r="J11" s="51" t="str">
        <f>LEFT(J4,2)</f>
        <v>12</v>
      </c>
      <c r="K11" t="s">
        <v>237</v>
      </c>
    </row>
    <row r="12" spans="1:11" ht="12.75">
      <c r="A12" s="110" t="str">
        <f>"(4) 1 hour of black start ICE operation, plus the sum of 1 startup hour, 1 shutdown hour, and "&amp;(J12-2)&amp;" hours of fully controlled turbine operations."</f>
        <v>(4) 1 hour of black start ICE operation, plus the sum of 1 startup hour, 1 shutdown hour, and 9 hours of fully controlled turbine operations.</v>
      </c>
      <c r="G12" s="47"/>
      <c r="H12" s="47"/>
      <c r="J12" s="48">
        <f>'LM6000 Criteria SCAQMD styles'!J28</f>
        <v>11</v>
      </c>
      <c r="K12" s="118" t="s">
        <v>276</v>
      </c>
    </row>
    <row r="13" spans="1:8" ht="12.75">
      <c r="A13" s="109" t="str">
        <f>"(5) 2 hours of black start ICE operation, plus daily controlled turbine emissions for "&amp;J12&amp;" hr/day operation, for 30 days/month."</f>
        <v>(5) 2 hours of black start ICE operation, plus daily controlled turbine emissions for 11 hr/day operation, for 30 days/month.</v>
      </c>
      <c r="G13" s="47"/>
      <c r="H13" s="47"/>
    </row>
    <row r="14" spans="1:8" ht="12.75">
      <c r="A14" s="61" t="s">
        <v>398</v>
      </c>
      <c r="G14" s="47"/>
      <c r="H14" s="47"/>
    </row>
    <row r="15" spans="1:8" ht="12.75">
      <c r="A15" s="61" t="s">
        <v>399</v>
      </c>
      <c r="G15" s="47"/>
      <c r="H15" s="47"/>
    </row>
  </sheetData>
  <sheetProtection/>
  <printOptions/>
  <pageMargins left="0.75" right="0.75" top="1" bottom="1" header="0.5" footer="0.5"/>
  <pageSetup horizontalDpi="600" verticalDpi="600" orientation="landscape" scale="69" r:id="rId1"/>
  <headerFooter alignWithMargins="0">
    <oddFooter>&amp;CC.2-&amp;P&amp;RSCE Mira Loma Peaker Project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6">
      <selection activeCell="A6" sqref="A6"/>
    </sheetView>
  </sheetViews>
  <sheetFormatPr defaultColWidth="9.140625" defaultRowHeight="12.75"/>
  <cols>
    <col min="1" max="1" width="24.00390625" style="0" customWidth="1"/>
    <col min="2" max="2" width="16.7109375" style="0" customWidth="1"/>
    <col min="3" max="6" width="13.421875" style="0" customWidth="1"/>
  </cols>
  <sheetData>
    <row r="1" ht="12.75">
      <c r="A1" s="2" t="s">
        <v>369</v>
      </c>
    </row>
    <row r="2" ht="12.75">
      <c r="A2" s="2" t="s">
        <v>250</v>
      </c>
    </row>
    <row r="3" ht="12.75">
      <c r="A3" s="2" t="s">
        <v>297</v>
      </c>
    </row>
    <row r="4" spans="1:6" ht="26.25">
      <c r="A4" s="1" t="s">
        <v>4</v>
      </c>
      <c r="B4" s="1" t="s">
        <v>7</v>
      </c>
      <c r="C4" s="1" t="s">
        <v>245</v>
      </c>
      <c r="D4" s="1" t="s">
        <v>246</v>
      </c>
      <c r="E4" s="1" t="s">
        <v>295</v>
      </c>
      <c r="F4" s="1" t="s">
        <v>296</v>
      </c>
    </row>
    <row r="5" spans="1:6" ht="12.75">
      <c r="A5" s="25" t="s">
        <v>10</v>
      </c>
      <c r="B5" s="115" t="s">
        <v>18</v>
      </c>
      <c r="C5" s="27">
        <f>IF(ISNA(VLOOKUP($A5,'LM6000 TACs'!$A$15:$G$25,4,FALSE)),0,VLOOKUP($A5,'LM6000 TACs'!$A$15:$G$25,4,FALSE))+IF(ISNA(VLOOKUP($A5,'Black Start TACs'!$A$13:$G$29,4,FALSE)),0,VLOOKUP($A5,'Black Start TACs'!$A$13:$G$29,4,FALSE))</f>
        <v>0.0013082320476190477</v>
      </c>
      <c r="D5" s="27">
        <f>IF(ISNA(VLOOKUP($A5,'LM6000 TACs'!$A$15:$G$25,5,FALSE)),0,VLOOKUP($A5,'LM6000 TACs'!$A$15:$G$25,5,FALSE))+IF(ISNA(VLOOKUP($A5,'Black Start TACs'!$A$13:$G$29,5,FALSE)),0,VLOOKUP($A5,'Black Start TACs'!$A$13:$G$29,5,FALSE))</f>
        <v>0.0013082320476190477</v>
      </c>
      <c r="E5" s="27">
        <f>IF(ISNA(VLOOKUP($A5,'LM6000 TACs'!$A$15:$G$25,6,FALSE)),0,VLOOKUP($A5,'LM6000 TACs'!$A$15:$G$25,6,FALSE))+IF(ISNA(VLOOKUP($A5,'Black Start TACs'!$A$13:$G$29,6,FALSE)),0,VLOOKUP($A5,'Black Start TACs'!$A$13:$G$29,6,FALSE))</f>
        <v>0.3282970886666667</v>
      </c>
      <c r="F5" s="27">
        <f>IF(ISNA(VLOOKUP($A5,'LM6000 TACs'!$A$15:$G$25,7,FALSE)),0,VLOOKUP($A5,'LM6000 TACs'!$A$15:$G$25,7,FALSE))+IF(ISNA(VLOOKUP($A5,'Black Start TACs'!$A$13:$G$29,7,FALSE)),0,VLOOKUP($A5,'Black Start TACs'!$A$13:$G$29,7,FALSE))</f>
        <v>0.00016414854433333335</v>
      </c>
    </row>
    <row r="6" spans="1:6" ht="12.75">
      <c r="A6" s="25" t="s">
        <v>5</v>
      </c>
      <c r="B6" s="115" t="s">
        <v>15</v>
      </c>
      <c r="C6" s="27">
        <f>IF(ISNA(VLOOKUP($A6,'LM6000 TACs'!$A$15:$G$25,4,FALSE)),0,VLOOKUP($A6,'LM6000 TACs'!$A$15:$G$25,4,FALSE))+IF(ISNA(VLOOKUP($A6,'Black Start TACs'!$A$13:$G$29,4,FALSE)),0,VLOOKUP($A6,'Black Start TACs'!$A$13:$G$29,4,FALSE))</f>
        <v>0.018783747619047622</v>
      </c>
      <c r="D6" s="27">
        <f>IF(ISNA(VLOOKUP($A6,'LM6000 TACs'!$A$15:$G$25,5,FALSE)),0,VLOOKUP($A6,'LM6000 TACs'!$A$15:$G$25,5,FALSE))+IF(ISNA(VLOOKUP($A6,'Black Start TACs'!$A$13:$G$29,5,FALSE)),0,VLOOKUP($A6,'Black Start TACs'!$A$13:$G$29,5,FALSE))</f>
        <v>0.018783747619047622</v>
      </c>
      <c r="E6" s="27">
        <f>IF(ISNA(VLOOKUP($A6,'LM6000 TACs'!$A$15:$G$25,6,FALSE)),0,VLOOKUP($A6,'LM6000 TACs'!$A$15:$G$25,6,FALSE))+IF(ISNA(VLOOKUP($A6,'Black Start TACs'!$A$13:$G$29,6,FALSE)),0,VLOOKUP($A6,'Black Start TACs'!$A$13:$G$29,6,FALSE))</f>
        <v>29.09849246666667</v>
      </c>
      <c r="F6" s="27">
        <f>IF(ISNA(VLOOKUP($A6,'LM6000 TACs'!$A$15:$G$25,7,FALSE)),0,VLOOKUP($A6,'LM6000 TACs'!$A$15:$G$25,7,FALSE))+IF(ISNA(VLOOKUP($A6,'Black Start TACs'!$A$13:$G$29,7,FALSE)),0,VLOOKUP($A6,'Black Start TACs'!$A$13:$G$29,7,FALSE))</f>
        <v>0.014549246233333335</v>
      </c>
    </row>
    <row r="7" spans="1:6" ht="12.75">
      <c r="A7" s="25" t="s">
        <v>8</v>
      </c>
      <c r="B7" s="115" t="s">
        <v>16</v>
      </c>
      <c r="C7" s="27">
        <f>IF(ISNA(VLOOKUP($A7,'LM6000 TACs'!$A$15:$G$25,4,FALSE)),0,VLOOKUP($A7,'LM6000 TACs'!$A$15:$G$25,4,FALSE))+IF(ISNA(VLOOKUP($A7,'Black Start TACs'!$A$13:$G$29,4,FALSE)),0,VLOOKUP($A7,'Black Start TACs'!$A$13:$G$29,4,FALSE))</f>
        <v>0.002926892380952381</v>
      </c>
      <c r="D7" s="27">
        <f>IF(ISNA(VLOOKUP($A7,'LM6000 TACs'!$A$15:$G$25,5,FALSE)),0,VLOOKUP($A7,'LM6000 TACs'!$A$15:$G$25,5,FALSE))+IF(ISNA(VLOOKUP($A7,'Black Start TACs'!$A$13:$G$29,5,FALSE)),0,VLOOKUP($A7,'Black Start TACs'!$A$13:$G$29,5,FALSE))</f>
        <v>0.002926892380952381</v>
      </c>
      <c r="E7" s="27">
        <f>IF(ISNA(VLOOKUP($A7,'LM6000 TACs'!$A$15:$G$25,6,FALSE)),0,VLOOKUP($A7,'LM6000 TACs'!$A$15:$G$25,6,FALSE))+IF(ISNA(VLOOKUP($A7,'Black Start TACs'!$A$13:$G$29,6,FALSE)),0,VLOOKUP($A7,'Black Start TACs'!$A$13:$G$29,6,FALSE))</f>
        <v>4.6546596933333335</v>
      </c>
      <c r="F7" s="27">
        <f>IF(ISNA(VLOOKUP($A7,'LM6000 TACs'!$A$15:$G$25,7,FALSE)),0,VLOOKUP($A7,'LM6000 TACs'!$A$15:$G$25,7,FALSE))+IF(ISNA(VLOOKUP($A7,'Black Start TACs'!$A$13:$G$29,7,FALSE)),0,VLOOKUP($A7,'Black Start TACs'!$A$13:$G$29,7,FALSE))</f>
        <v>0.0023273298466666664</v>
      </c>
    </row>
    <row r="8" spans="1:6" ht="12.75">
      <c r="A8" s="25" t="s">
        <v>0</v>
      </c>
      <c r="B8" s="115" t="s">
        <v>25</v>
      </c>
      <c r="C8" s="27">
        <f>'LM6000 TACs'!D28</f>
        <v>3.1</v>
      </c>
      <c r="D8" s="27">
        <f>'LM6000 TACs'!E28</f>
        <v>3.1</v>
      </c>
      <c r="E8" s="27">
        <f>'LM6000 TACs'!F28</f>
        <v>5252.285714285715</v>
      </c>
      <c r="F8" s="27">
        <f>'LM6000 TACs'!G28</f>
        <v>2.6261428571428573</v>
      </c>
    </row>
    <row r="9" spans="1:6" ht="12.75">
      <c r="A9" s="25" t="s">
        <v>9</v>
      </c>
      <c r="B9" s="115" t="s">
        <v>17</v>
      </c>
      <c r="C9" s="27">
        <f>IF(ISNA(VLOOKUP($A9,'LM6000 TACs'!$A$15:$G$25,4,FALSE)),0,VLOOKUP($A9,'LM6000 TACs'!$A$15:$G$25,4,FALSE))+IF(ISNA(VLOOKUP($A9,'Black Start TACs'!$A$13:$G$29,4,FALSE)),0,VLOOKUP($A9,'Black Start TACs'!$A$13:$G$29,4,FALSE))</f>
        <v>0.007103995238095238</v>
      </c>
      <c r="D9" s="27">
        <f>IF(ISNA(VLOOKUP($A9,'LM6000 TACs'!$A$15:$G$25,5,FALSE)),0,VLOOKUP($A9,'LM6000 TACs'!$A$15:$G$25,5,FALSE))+IF(ISNA(VLOOKUP($A9,'Black Start TACs'!$A$13:$G$29,5,FALSE)),0,VLOOKUP($A9,'Black Start TACs'!$A$13:$G$29,5,FALSE))</f>
        <v>0.007103995238095238</v>
      </c>
      <c r="E9" s="27">
        <f>IF(ISNA(VLOOKUP($A9,'LM6000 TACs'!$A$15:$G$25,6,FALSE)),0,VLOOKUP($A9,'LM6000 TACs'!$A$15:$G$25,6,FALSE))+IF(ISNA(VLOOKUP($A9,'Black Start TACs'!$A$13:$G$29,6,FALSE)),0,VLOOKUP($A9,'Black Start TACs'!$A$13:$G$29,6,FALSE))</f>
        <v>10.912775933333334</v>
      </c>
      <c r="F9" s="27">
        <f>IF(ISNA(VLOOKUP($A9,'LM6000 TACs'!$A$15:$G$25,7,FALSE)),0,VLOOKUP($A9,'LM6000 TACs'!$A$15:$G$25,7,FALSE))+IF(ISNA(VLOOKUP($A9,'Black Start TACs'!$A$13:$G$29,7,FALSE)),0,VLOOKUP($A9,'Black Start TACs'!$A$13:$G$29,7,FALSE))</f>
        <v>0.005456387966666668</v>
      </c>
    </row>
    <row r="10" spans="1:6" ht="12.75">
      <c r="A10" s="25" t="s">
        <v>169</v>
      </c>
      <c r="B10" s="115" t="s">
        <v>85</v>
      </c>
      <c r="C10" s="27">
        <f>IF(ISNA(VLOOKUP($A10,'LM6000 TACs'!$A$15:$G$25,4,FALSE)),0,VLOOKUP($A10,'LM6000 TACs'!$A$15:$G$25,4,FALSE))+IF(ISNA(VLOOKUP($A10,'Black Start TACs'!$A$13:$G$29,4,FALSE)),0,VLOOKUP($A10,'Black Start TACs'!$A$13:$G$29,4,FALSE))</f>
        <v>8.267142857142856E-09</v>
      </c>
      <c r="D10" s="27">
        <f>IF(ISNA(VLOOKUP($A10,'LM6000 TACs'!$A$15:$G$25,5,FALSE)),0,VLOOKUP($A10,'LM6000 TACs'!$A$15:$G$25,5,FALSE))+IF(ISNA(VLOOKUP($A10,'Black Start TACs'!$A$13:$G$29,5,FALSE)),0,VLOOKUP($A10,'Black Start TACs'!$A$13:$G$29,5,FALSE))</f>
        <v>8.267142857142856E-09</v>
      </c>
      <c r="E10" s="27">
        <f>IF(ISNA(VLOOKUP($A10,'LM6000 TACs'!$A$15:$G$25,6,FALSE)),0,VLOOKUP($A10,'LM6000 TACs'!$A$15:$G$25,6,FALSE))+IF(ISNA(VLOOKUP($A10,'Black Start TACs'!$A$13:$G$29,6,FALSE)),0,VLOOKUP($A10,'Black Start TACs'!$A$13:$G$29,6,FALSE))</f>
        <v>1.1573999999999998E-07</v>
      </c>
      <c r="F10" s="27">
        <f>IF(ISNA(VLOOKUP($A10,'LM6000 TACs'!$A$15:$G$25,7,FALSE)),0,VLOOKUP($A10,'LM6000 TACs'!$A$15:$G$25,7,FALSE))+IF(ISNA(VLOOKUP($A10,'Black Start TACs'!$A$13:$G$29,7,FALSE)),0,VLOOKUP($A10,'Black Start TACs'!$A$13:$G$29,7,FALSE))</f>
        <v>5.786999999999999E-11</v>
      </c>
    </row>
    <row r="11" spans="1:6" ht="12.75">
      <c r="A11" s="25" t="s">
        <v>82</v>
      </c>
      <c r="B11" s="115" t="s">
        <v>81</v>
      </c>
      <c r="C11" s="27">
        <f>IF(ISNA(VLOOKUP($A11,'LM6000 TACs'!$A$15:$G$25,4,FALSE)),0,VLOOKUP($A11,'LM6000 TACs'!$A$15:$G$25,4,FALSE))+IF(ISNA(VLOOKUP($A11,'Black Start TACs'!$A$13:$G$29,4,FALSE)),0,VLOOKUP($A11,'Black Start TACs'!$A$13:$G$29,4,FALSE))</f>
        <v>1.2523190476190475E-07</v>
      </c>
      <c r="D11" s="27">
        <f>IF(ISNA(VLOOKUP($A11,'LM6000 TACs'!$A$15:$G$25,5,FALSE)),0,VLOOKUP($A11,'LM6000 TACs'!$A$15:$G$25,5,FALSE))+IF(ISNA(VLOOKUP($A11,'Black Start TACs'!$A$13:$G$29,5,FALSE)),0,VLOOKUP($A11,'Black Start TACs'!$A$13:$G$29,5,FALSE))</f>
        <v>1.2523190476190475E-07</v>
      </c>
      <c r="E11" s="27">
        <f>IF(ISNA(VLOOKUP($A11,'LM6000 TACs'!$A$15:$G$25,6,FALSE)),0,VLOOKUP($A11,'LM6000 TACs'!$A$15:$G$25,6,FALSE))+IF(ISNA(VLOOKUP($A11,'Black Start TACs'!$A$13:$G$29,6,FALSE)),0,VLOOKUP($A11,'Black Start TACs'!$A$13:$G$29,6,FALSE))</f>
        <v>1.7532466666666665E-06</v>
      </c>
      <c r="F11" s="27">
        <f>IF(ISNA(VLOOKUP($A11,'LM6000 TACs'!$A$15:$G$25,7,FALSE)),0,VLOOKUP($A11,'LM6000 TACs'!$A$15:$G$25,7,FALSE))+IF(ISNA(VLOOKUP($A11,'Black Start TACs'!$A$13:$G$29,7,FALSE)),0,VLOOKUP($A11,'Black Start TACs'!$A$13:$G$29,7,FALSE))</f>
        <v>8.766233333333332E-10</v>
      </c>
    </row>
    <row r="12" spans="1:6" ht="12.75">
      <c r="A12" s="25" t="s">
        <v>173</v>
      </c>
      <c r="B12" s="115" t="s">
        <v>172</v>
      </c>
      <c r="C12" s="27">
        <f>IF(ISNA(VLOOKUP($A12,'LM6000 TACs'!$A$15:$G$25,4,FALSE)),0,VLOOKUP($A12,'LM6000 TACs'!$A$15:$G$25,4,FALSE))+IF(ISNA(VLOOKUP($A12,'Black Start TACs'!$A$13:$G$29,4,FALSE)),0,VLOOKUP($A12,'Black Start TACs'!$A$13:$G$29,4,FALSE))</f>
        <v>2.30867619047619E-08</v>
      </c>
      <c r="D12" s="27">
        <f>IF(ISNA(VLOOKUP($A12,'LM6000 TACs'!$A$15:$G$25,5,FALSE)),0,VLOOKUP($A12,'LM6000 TACs'!$A$15:$G$25,5,FALSE))+IF(ISNA(VLOOKUP($A12,'Black Start TACs'!$A$13:$G$29,5,FALSE)),0,VLOOKUP($A12,'Black Start TACs'!$A$13:$G$29,5,FALSE))</f>
        <v>2.30867619047619E-08</v>
      </c>
      <c r="E12" s="27">
        <f>IF(ISNA(VLOOKUP($A12,'LM6000 TACs'!$A$15:$G$25,6,FALSE)),0,VLOOKUP($A12,'LM6000 TACs'!$A$15:$G$25,6,FALSE))+IF(ISNA(VLOOKUP($A12,'Black Start TACs'!$A$13:$G$29,6,FALSE)),0,VLOOKUP($A12,'Black Start TACs'!$A$13:$G$29,6,FALSE))</f>
        <v>3.232146666666666E-07</v>
      </c>
      <c r="F12" s="27">
        <f>IF(ISNA(VLOOKUP($A12,'LM6000 TACs'!$A$15:$G$25,7,FALSE)),0,VLOOKUP($A12,'LM6000 TACs'!$A$15:$G$25,7,FALSE))+IF(ISNA(VLOOKUP($A12,'Black Start TACs'!$A$13:$G$29,7,FALSE)),0,VLOOKUP($A12,'Black Start TACs'!$A$13:$G$29,7,FALSE))</f>
        <v>1.616073333333333E-10</v>
      </c>
    </row>
    <row r="13" spans="1:6" ht="12.75">
      <c r="A13" s="25" t="s">
        <v>176</v>
      </c>
      <c r="B13" s="115" t="s">
        <v>175</v>
      </c>
      <c r="C13" s="27">
        <f>IF(ISNA(VLOOKUP($A13,'LM6000 TACs'!$A$15:$G$25,4,FALSE)),0,VLOOKUP($A13,'LM6000 TACs'!$A$15:$G$25,4,FALSE))+IF(ISNA(VLOOKUP($A13,'Black Start TACs'!$A$13:$G$29,4,FALSE)),0,VLOOKUP($A13,'Black Start TACs'!$A$13:$G$29,4,FALSE))</f>
        <v>2.3974714285714284E-08</v>
      </c>
      <c r="D13" s="27">
        <f>IF(ISNA(VLOOKUP($A13,'LM6000 TACs'!$A$15:$G$25,5,FALSE)),0,VLOOKUP($A13,'LM6000 TACs'!$A$15:$G$25,5,FALSE))+IF(ISNA(VLOOKUP($A13,'Black Start TACs'!$A$13:$G$29,5,FALSE)),0,VLOOKUP($A13,'Black Start TACs'!$A$13:$G$29,5,FALSE))</f>
        <v>2.3974714285714284E-08</v>
      </c>
      <c r="E13" s="27">
        <f>IF(ISNA(VLOOKUP($A13,'LM6000 TACs'!$A$15:$G$25,6,FALSE)),0,VLOOKUP($A13,'LM6000 TACs'!$A$15:$G$25,6,FALSE))+IF(ISNA(VLOOKUP($A13,'Black Start TACs'!$A$13:$G$29,6,FALSE)),0,VLOOKUP($A13,'Black Start TACs'!$A$13:$G$29,6,FALSE))</f>
        <v>3.3564599999999996E-07</v>
      </c>
      <c r="F13" s="27">
        <f>IF(ISNA(VLOOKUP($A13,'LM6000 TACs'!$A$15:$G$25,7,FALSE)),0,VLOOKUP($A13,'LM6000 TACs'!$A$15:$G$25,7,FALSE))+IF(ISNA(VLOOKUP($A13,'Black Start TACs'!$A$13:$G$29,7,FALSE)),0,VLOOKUP($A13,'Black Start TACs'!$A$13:$G$29,7,FALSE))</f>
        <v>1.6782299999999997E-10</v>
      </c>
    </row>
    <row r="14" spans="1:6" ht="12.75">
      <c r="A14" s="25" t="s">
        <v>84</v>
      </c>
      <c r="B14" s="115" t="s">
        <v>83</v>
      </c>
      <c r="C14" s="27">
        <f>IF(ISNA(VLOOKUP($A14,'LM6000 TACs'!$A$15:$G$25,4,FALSE)),0,VLOOKUP($A14,'LM6000 TACs'!$A$15:$G$25,4,FALSE))+IF(ISNA(VLOOKUP($A14,'Black Start TACs'!$A$13:$G$29,4,FALSE)),0,VLOOKUP($A14,'Black Start TACs'!$A$13:$G$29,4,FALSE))</f>
        <v>4.3785238095238096E-08</v>
      </c>
      <c r="D14" s="27">
        <f>IF(ISNA(VLOOKUP($A14,'LM6000 TACs'!$A$15:$G$25,5,FALSE)),0,VLOOKUP($A14,'LM6000 TACs'!$A$15:$G$25,5,FALSE))+IF(ISNA(VLOOKUP($A14,'Black Start TACs'!$A$13:$G$29,5,FALSE)),0,VLOOKUP($A14,'Black Start TACs'!$A$13:$G$29,5,FALSE))</f>
        <v>4.3785238095238096E-08</v>
      </c>
      <c r="E14" s="27">
        <f>IF(ISNA(VLOOKUP($A14,'LM6000 TACs'!$A$15:$G$25,6,FALSE)),0,VLOOKUP($A14,'LM6000 TACs'!$A$15:$G$25,6,FALSE))+IF(ISNA(VLOOKUP($A14,'Black Start TACs'!$A$13:$G$29,6,FALSE)),0,VLOOKUP($A14,'Black Start TACs'!$A$13:$G$29,6,FALSE))</f>
        <v>6.129933333333334E-07</v>
      </c>
      <c r="F14" s="27">
        <f>IF(ISNA(VLOOKUP($A14,'LM6000 TACs'!$A$15:$G$25,7,FALSE)),0,VLOOKUP($A14,'LM6000 TACs'!$A$15:$G$25,7,FALSE))+IF(ISNA(VLOOKUP($A14,'Black Start TACs'!$A$13:$G$29,7,FALSE)),0,VLOOKUP($A14,'Black Start TACs'!$A$13:$G$29,7,FALSE))</f>
        <v>3.064966666666667E-10</v>
      </c>
    </row>
    <row r="15" spans="1:6" ht="12.75">
      <c r="A15" s="25" t="s">
        <v>180</v>
      </c>
      <c r="B15" s="115" t="s">
        <v>179</v>
      </c>
      <c r="C15" s="27">
        <f>IF(ISNA(VLOOKUP($A15,'LM6000 TACs'!$A$15:$G$25,4,FALSE)),0,VLOOKUP($A15,'LM6000 TACs'!$A$15:$G$25,4,FALSE))+IF(ISNA(VLOOKUP($A15,'Black Start TACs'!$A$13:$G$29,4,FALSE)),0,VLOOKUP($A15,'Black Start TACs'!$A$13:$G$29,4,FALSE))</f>
        <v>8.267142857142856E-09</v>
      </c>
      <c r="D15" s="27">
        <f>IF(ISNA(VLOOKUP($A15,'LM6000 TACs'!$A$15:$G$25,5,FALSE)),0,VLOOKUP($A15,'LM6000 TACs'!$A$15:$G$25,5,FALSE))+IF(ISNA(VLOOKUP($A15,'Black Start TACs'!$A$13:$G$29,5,FALSE)),0,VLOOKUP($A15,'Black Start TACs'!$A$13:$G$29,5,FALSE))</f>
        <v>8.267142857142856E-09</v>
      </c>
      <c r="E15" s="27">
        <f>IF(ISNA(VLOOKUP($A15,'LM6000 TACs'!$A$15:$G$25,6,FALSE)),0,VLOOKUP($A15,'LM6000 TACs'!$A$15:$G$25,6,FALSE))+IF(ISNA(VLOOKUP($A15,'Black Start TACs'!$A$13:$G$29,6,FALSE)),0,VLOOKUP($A15,'Black Start TACs'!$A$13:$G$29,6,FALSE))</f>
        <v>1.1573999999999998E-07</v>
      </c>
      <c r="F15" s="27">
        <f>IF(ISNA(VLOOKUP($A15,'LM6000 TACs'!$A$15:$G$25,7,FALSE)),0,VLOOKUP($A15,'LM6000 TACs'!$A$15:$G$25,7,FALSE))+IF(ISNA(VLOOKUP($A15,'Black Start TACs'!$A$13:$G$29,7,FALSE)),0,VLOOKUP($A15,'Black Start TACs'!$A$13:$G$29,7,FALSE))</f>
        <v>5.786999999999999E-11</v>
      </c>
    </row>
    <row r="16" spans="1:6" ht="12.75">
      <c r="A16" s="114" t="s">
        <v>1</v>
      </c>
      <c r="B16" s="116" t="s">
        <v>19</v>
      </c>
      <c r="C16" s="27">
        <f>IF(ISNA(VLOOKUP($A16,'LM6000 TACs'!$A$15:$G$25,4,FALSE)),0,VLOOKUP($A16,'LM6000 TACs'!$A$15:$G$25,4,FALSE))+IF(ISNA(VLOOKUP($A16,'Black Start TACs'!$A$13:$G$29,4,FALSE)),0,VLOOKUP($A16,'Black Start TACs'!$A$13:$G$29,4,FALSE))</f>
        <v>0.01394890142857143</v>
      </c>
      <c r="D16" s="27">
        <f>IF(ISNA(VLOOKUP($A16,'LM6000 TACs'!$A$15:$G$25,5,FALSE)),0,VLOOKUP($A16,'LM6000 TACs'!$A$15:$G$25,5,FALSE))+IF(ISNA(VLOOKUP($A16,'Black Start TACs'!$A$13:$G$29,5,FALSE)),0,VLOOKUP($A16,'Black Start TACs'!$A$13:$G$29,5,FALSE))</f>
        <v>0.01394890142857143</v>
      </c>
      <c r="E16" s="27">
        <f>IF(ISNA(VLOOKUP($A16,'LM6000 TACs'!$A$15:$G$25,6,FALSE)),0,VLOOKUP($A16,'LM6000 TACs'!$A$15:$G$25,6,FALSE))+IF(ISNA(VLOOKUP($A16,'Black Start TACs'!$A$13:$G$29,6,FALSE)),0,VLOOKUP($A16,'Black Start TACs'!$A$13:$G$29,6,FALSE))</f>
        <v>23.263700619999998</v>
      </c>
      <c r="F16" s="27">
        <f>IF(ISNA(VLOOKUP($A16,'LM6000 TACs'!$A$15:$G$25,7,FALSE)),0,VLOOKUP($A16,'LM6000 TACs'!$A$15:$G$25,7,FALSE))+IF(ISNA(VLOOKUP($A16,'Black Start TACs'!$A$13:$G$29,7,FALSE)),0,VLOOKUP($A16,'Black Start TACs'!$A$13:$G$29,7,FALSE))</f>
        <v>0.01163185031</v>
      </c>
    </row>
    <row r="17" spans="1:6" ht="12.75">
      <c r="A17" s="121" t="s">
        <v>11</v>
      </c>
      <c r="B17" s="6" t="s">
        <v>20</v>
      </c>
      <c r="C17" s="27">
        <f>IF(ISNA(VLOOKUP($A17,'LM6000 TACs'!$A$15:$G$25,4,FALSE)),0,VLOOKUP($A17,'LM6000 TACs'!$A$15:$G$25,4,FALSE))+IF(ISNA(VLOOKUP($A17,'Black Start TACs'!$A$13:$G$29,4,FALSE)),0,VLOOKUP($A17,'Black Start TACs'!$A$13:$G$29,4,FALSE))</f>
        <v>0.31908257142857144</v>
      </c>
      <c r="D17" s="27">
        <f>IF(ISNA(VLOOKUP($A17,'LM6000 TACs'!$A$15:$G$25,5,FALSE)),0,VLOOKUP($A17,'LM6000 TACs'!$A$15:$G$25,5,FALSE))+IF(ISNA(VLOOKUP($A17,'Black Start TACs'!$A$13:$G$29,5,FALSE)),0,VLOOKUP($A17,'Black Start TACs'!$A$13:$G$29,5,FALSE))</f>
        <v>0.31908257142857144</v>
      </c>
      <c r="E17" s="27">
        <f>IF(ISNA(VLOOKUP($A17,'LM6000 TACs'!$A$15:$G$25,6,FALSE)),0,VLOOKUP($A17,'LM6000 TACs'!$A$15:$G$25,6,FALSE))+IF(ISNA(VLOOKUP($A17,'Black Start TACs'!$A$13:$G$29,6,FALSE)),0,VLOOKUP($A17,'Black Start TACs'!$A$13:$G$29,6,FALSE))</f>
        <v>516.297636</v>
      </c>
      <c r="F17" s="27">
        <f>IF(ISNA(VLOOKUP($A17,'LM6000 TACs'!$A$15:$G$25,7,FALSE)),0,VLOOKUP($A17,'LM6000 TACs'!$A$15:$G$25,7,FALSE))+IF(ISNA(VLOOKUP($A17,'Black Start TACs'!$A$13:$G$29,7,FALSE)),0,VLOOKUP($A17,'Black Start TACs'!$A$13:$G$29,7,FALSE))</f>
        <v>0.258148818</v>
      </c>
    </row>
    <row r="18" spans="1:6" ht="12.75">
      <c r="A18" s="57" t="s">
        <v>185</v>
      </c>
      <c r="B18" s="6" t="s">
        <v>184</v>
      </c>
      <c r="C18" s="27">
        <f>IF(ISNA(VLOOKUP($A18,'LM6000 TACs'!$A$15:$G$25,4,FALSE)),0,VLOOKUP($A18,'LM6000 TACs'!$A$15:$G$25,4,FALSE))+IF(ISNA(VLOOKUP($A18,'Black Start TACs'!$A$13:$G$29,4,FALSE)),0,VLOOKUP($A18,'Black Start TACs'!$A$13:$G$29,4,FALSE))</f>
        <v>2.1953857142857142E-08</v>
      </c>
      <c r="D18" s="27">
        <f>IF(ISNA(VLOOKUP($A18,'LM6000 TACs'!$A$15:$G$25,5,FALSE)),0,VLOOKUP($A18,'LM6000 TACs'!$A$15:$G$25,5,FALSE))+IF(ISNA(VLOOKUP($A18,'Black Start TACs'!$A$13:$G$29,5,FALSE)),0,VLOOKUP($A18,'Black Start TACs'!$A$13:$G$29,5,FALSE))</f>
        <v>2.1953857142857142E-08</v>
      </c>
      <c r="E18" s="27">
        <f>IF(ISNA(VLOOKUP($A18,'LM6000 TACs'!$A$15:$G$25,6,FALSE)),0,VLOOKUP($A18,'LM6000 TACs'!$A$15:$G$25,6,FALSE))+IF(ISNA(VLOOKUP($A18,'Black Start TACs'!$A$13:$G$29,6,FALSE)),0,VLOOKUP($A18,'Black Start TACs'!$A$13:$G$29,6,FALSE))</f>
        <v>3.07354E-07</v>
      </c>
      <c r="F18" s="27">
        <f>IF(ISNA(VLOOKUP($A18,'LM6000 TACs'!$A$15:$G$25,7,FALSE)),0,VLOOKUP($A18,'LM6000 TACs'!$A$15:$G$25,7,FALSE))+IF(ISNA(VLOOKUP($A18,'Black Start TACs'!$A$13:$G$29,7,FALSE)),0,VLOOKUP($A18,'Black Start TACs'!$A$13:$G$29,7,FALSE))</f>
        <v>1.53677E-10</v>
      </c>
    </row>
    <row r="19" spans="1:6" ht="12.75">
      <c r="A19" s="57" t="s">
        <v>2</v>
      </c>
      <c r="B19" s="6" t="s">
        <v>21</v>
      </c>
      <c r="C19" s="27">
        <f>IF(ISNA(VLOOKUP($A19,'LM6000 TACs'!$A$15:$G$25,4,FALSE)),0,VLOOKUP($A19,'LM6000 TACs'!$A$15:$G$25,4,FALSE))+IF(ISNA(VLOOKUP($A19,'Black Start TACs'!$A$13:$G$29,4,FALSE)),0,VLOOKUP($A19,'Black Start TACs'!$A$13:$G$29,4,FALSE))</f>
        <v>0.0006346838095238096</v>
      </c>
      <c r="D19" s="27">
        <f>IF(ISNA(VLOOKUP($A19,'LM6000 TACs'!$A$15:$G$25,5,FALSE)),0,VLOOKUP($A19,'LM6000 TACs'!$A$15:$G$25,5,FALSE))+IF(ISNA(VLOOKUP($A19,'Black Start TACs'!$A$13:$G$29,5,FALSE)),0,VLOOKUP($A19,'Black Start TACs'!$A$13:$G$29,5,FALSE))</f>
        <v>0.0006346838095238096</v>
      </c>
      <c r="E19" s="27">
        <f>IF(ISNA(VLOOKUP($A19,'LM6000 TACs'!$A$15:$G$25,6,FALSE)),0,VLOOKUP($A19,'LM6000 TACs'!$A$15:$G$25,6,FALSE))+IF(ISNA(VLOOKUP($A19,'Black Start TACs'!$A$13:$G$29,6,FALSE)),0,VLOOKUP($A19,'Black Start TACs'!$A$13:$G$29,6,FALSE))</f>
        <v>0.9460399733333333</v>
      </c>
      <c r="F19" s="27">
        <f>IF(ISNA(VLOOKUP($A19,'LM6000 TACs'!$A$15:$G$25,7,FALSE)),0,VLOOKUP($A19,'LM6000 TACs'!$A$15:$G$25,7,FALSE))+IF(ISNA(VLOOKUP($A19,'Black Start TACs'!$A$13:$G$29,7,FALSE)),0,VLOOKUP($A19,'Black Start TACs'!$A$13:$G$29,7,FALSE))</f>
        <v>0.00047301998666666664</v>
      </c>
    </row>
    <row r="20" spans="1:6" ht="12.75">
      <c r="A20" s="57" t="s">
        <v>86</v>
      </c>
      <c r="B20" s="6" t="s">
        <v>85</v>
      </c>
      <c r="C20" s="27">
        <f>IF(ISNA(VLOOKUP($A20,'LM6000 TACs'!$A$15:$G$25,4,FALSE)),0,VLOOKUP($A20,'LM6000 TACs'!$A$15:$G$25,4,FALSE))+IF(ISNA(VLOOKUP($A20,'Black Start TACs'!$A$13:$G$29,4,FALSE)),0,VLOOKUP($A20,'Black Start TACs'!$A$13:$G$29,4,FALSE))</f>
        <v>0.0009440200000000001</v>
      </c>
      <c r="D20" s="27">
        <f>IF(ISNA(VLOOKUP($A20,'LM6000 TACs'!$A$15:$G$25,5,FALSE)),0,VLOOKUP($A20,'LM6000 TACs'!$A$15:$G$25,5,FALSE))+IF(ISNA(VLOOKUP($A20,'Black Start TACs'!$A$13:$G$29,5,FALSE)),0,VLOOKUP($A20,'Black Start TACs'!$A$13:$G$29,5,FALSE))</f>
        <v>0.0009440200000000001</v>
      </c>
      <c r="E20" s="27">
        <f>IF(ISNA(VLOOKUP($A20,'LM6000 TACs'!$A$15:$G$25,6,FALSE)),0,VLOOKUP($A20,'LM6000 TACs'!$A$15:$G$25,6,FALSE))+IF(ISNA(VLOOKUP($A20,'Black Start TACs'!$A$13:$G$29,6,FALSE)),0,VLOOKUP($A20,'Black Start TACs'!$A$13:$G$29,6,FALSE))</f>
        <v>1.59916988</v>
      </c>
      <c r="F20" s="27">
        <f>IF(ISNA(VLOOKUP($A20,'LM6000 TACs'!$A$15:$G$25,7,FALSE)),0,VLOOKUP($A20,'LM6000 TACs'!$A$15:$G$25,7,FALSE))+IF(ISNA(VLOOKUP($A20,'Black Start TACs'!$A$13:$G$29,7,FALSE)),0,VLOOKUP($A20,'Black Start TACs'!$A$13:$G$29,7,FALSE))</f>
        <v>0.00079958494</v>
      </c>
    </row>
    <row r="21" spans="1:6" ht="12.75">
      <c r="A21" s="57" t="s">
        <v>189</v>
      </c>
      <c r="B21" s="6" t="s">
        <v>188</v>
      </c>
      <c r="C21" s="27">
        <f>IF(ISNA(VLOOKUP($A21,'LM6000 TACs'!$A$15:$G$25,4,FALSE)),0,VLOOKUP($A21,'LM6000 TACs'!$A$15:$G$25,4,FALSE))+IF(ISNA(VLOOKUP($A21,'Black Start TACs'!$A$13:$G$29,4,FALSE)),0,VLOOKUP($A21,'Black Start TACs'!$A$13:$G$29,4,FALSE))</f>
        <v>0.016473047619047616</v>
      </c>
      <c r="D21" s="27">
        <f>IF(ISNA(VLOOKUP($A21,'LM6000 TACs'!$A$15:$G$25,5,FALSE)),0,VLOOKUP($A21,'LM6000 TACs'!$A$15:$G$25,5,FALSE))+IF(ISNA(VLOOKUP($A21,'Black Start TACs'!$A$13:$G$29,5,FALSE)),0,VLOOKUP($A21,'Black Start TACs'!$A$13:$G$29,5,FALSE))</f>
        <v>0.016473047619047616</v>
      </c>
      <c r="E21" s="27">
        <f>IF(ISNA(VLOOKUP($A21,'LM6000 TACs'!$A$15:$G$25,6,FALSE)),0,VLOOKUP($A21,'LM6000 TACs'!$A$15:$G$25,6,FALSE))+IF(ISNA(VLOOKUP($A21,'Black Start TACs'!$A$13:$G$29,6,FALSE)),0,VLOOKUP($A21,'Black Start TACs'!$A$13:$G$29,6,FALSE))</f>
        <v>0.23062266666666664</v>
      </c>
      <c r="F21" s="27">
        <f>IF(ISNA(VLOOKUP($A21,'LM6000 TACs'!$A$15:$G$25,7,FALSE)),0,VLOOKUP($A21,'LM6000 TACs'!$A$15:$G$25,7,FALSE))+IF(ISNA(VLOOKUP($A21,'Black Start TACs'!$A$13:$G$29,7,FALSE)),0,VLOOKUP($A21,'Black Start TACs'!$A$13:$G$29,7,FALSE))</f>
        <v>0.00011531133333333331</v>
      </c>
    </row>
    <row r="22" spans="1:6" ht="12.75">
      <c r="A22" s="57" t="s">
        <v>12</v>
      </c>
      <c r="B22" s="6" t="s">
        <v>22</v>
      </c>
      <c r="C22" s="27">
        <f>IF(ISNA(VLOOKUP($A22,'LM6000 TACs'!$A$15:$G$25,4,FALSE)),0,VLOOKUP($A22,'LM6000 TACs'!$A$15:$G$25,4,FALSE))+IF(ISNA(VLOOKUP($A22,'Black Start TACs'!$A$13:$G$29,4,FALSE)),0,VLOOKUP($A22,'Black Start TACs'!$A$13:$G$29,4,FALSE))</f>
        <v>0.0124439</v>
      </c>
      <c r="D22" s="27">
        <f>IF(ISNA(VLOOKUP($A22,'LM6000 TACs'!$A$15:$G$25,5,FALSE)),0,VLOOKUP($A22,'LM6000 TACs'!$A$15:$G$25,5,FALSE))+IF(ISNA(VLOOKUP($A22,'Black Start TACs'!$A$13:$G$29,5,FALSE)),0,VLOOKUP($A22,'Black Start TACs'!$A$13:$G$29,5,FALSE))</f>
        <v>0.0124439</v>
      </c>
      <c r="E22" s="27">
        <f>IF(ISNA(VLOOKUP($A22,'LM6000 TACs'!$A$15:$G$25,6,FALSE)),0,VLOOKUP($A22,'LM6000 TACs'!$A$15:$G$25,6,FALSE))+IF(ISNA(VLOOKUP($A22,'Black Start TACs'!$A$13:$G$29,6,FALSE)),0,VLOOKUP($A22,'Black Start TACs'!$A$13:$G$29,6,FALSE))</f>
        <v>21.079966600000002</v>
      </c>
      <c r="F22" s="27">
        <f>IF(ISNA(VLOOKUP($A22,'LM6000 TACs'!$A$15:$G$25,7,FALSE)),0,VLOOKUP($A22,'LM6000 TACs'!$A$15:$G$25,7,FALSE))+IF(ISNA(VLOOKUP($A22,'Black Start TACs'!$A$13:$G$29,7,FALSE)),0,VLOOKUP($A22,'Black Start TACs'!$A$13:$G$29,7,FALSE))</f>
        <v>0.010539983300000002</v>
      </c>
    </row>
    <row r="23" spans="1:6" ht="12.75">
      <c r="A23" s="57" t="s">
        <v>3</v>
      </c>
      <c r="B23" s="6" t="s">
        <v>23</v>
      </c>
      <c r="C23" s="27">
        <f>IF(ISNA(VLOOKUP($A23,'LM6000 TACs'!$A$15:$G$25,4,FALSE)),0,VLOOKUP($A23,'LM6000 TACs'!$A$15:$G$25,4,FALSE))+IF(ISNA(VLOOKUP($A23,'Black Start TACs'!$A$13:$G$29,4,FALSE)),0,VLOOKUP($A23,'Black Start TACs'!$A$13:$G$29,4,FALSE))</f>
        <v>0.05651479523809524</v>
      </c>
      <c r="D23" s="27">
        <f>IF(ISNA(VLOOKUP($A23,'LM6000 TACs'!$A$15:$G$25,5,FALSE)),0,VLOOKUP($A23,'LM6000 TACs'!$A$15:$G$25,5,FALSE))+IF(ISNA(VLOOKUP($A23,'Black Start TACs'!$A$13:$G$29,5,FALSE)),0,VLOOKUP($A23,'Black Start TACs'!$A$13:$G$29,5,FALSE))</f>
        <v>0.05651479523809524</v>
      </c>
      <c r="E23" s="27">
        <f>IF(ISNA(VLOOKUP($A23,'LM6000 TACs'!$A$15:$G$25,6,FALSE)),0,VLOOKUP($A23,'LM6000 TACs'!$A$15:$G$25,6,FALSE))+IF(ISNA(VLOOKUP($A23,'Black Start TACs'!$A$13:$G$29,6,FALSE)),0,VLOOKUP($A23,'Black Start TACs'!$A$13:$G$29,6,FALSE))</f>
        <v>94.50664713333332</v>
      </c>
      <c r="F23" s="27">
        <f>IF(ISNA(VLOOKUP($A23,'LM6000 TACs'!$A$15:$G$25,7,FALSE)),0,VLOOKUP($A23,'LM6000 TACs'!$A$15:$G$25,7,FALSE))+IF(ISNA(VLOOKUP($A23,'Black Start TACs'!$A$13:$G$29,7,FALSE)),0,VLOOKUP($A23,'Black Start TACs'!$A$13:$G$29,7,FALSE))</f>
        <v>0.047253323566666665</v>
      </c>
    </row>
    <row r="24" spans="1:6" ht="12.75">
      <c r="A24" s="57" t="s">
        <v>87</v>
      </c>
      <c r="B24" s="6" t="s">
        <v>24</v>
      </c>
      <c r="C24" s="27">
        <f>IF(ISNA(VLOOKUP($A24,'LM6000 TACs'!$A$15:$G$25,4,FALSE)),0,VLOOKUP($A24,'LM6000 TACs'!$A$15:$G$25,4,FALSE))+IF(ISNA(VLOOKUP($A24,'Black Start TACs'!$A$13:$G$29,4,FALSE)),0,VLOOKUP($A24,'Black Start TACs'!$A$13:$G$29,4,FALSE))</f>
        <v>0.029440390476190476</v>
      </c>
      <c r="D24" s="27">
        <f>IF(ISNA(VLOOKUP($A24,'LM6000 TACs'!$A$15:$G$25,5,FALSE)),0,VLOOKUP($A24,'LM6000 TACs'!$A$15:$G$25,5,FALSE))+IF(ISNA(VLOOKUP($A24,'Black Start TACs'!$A$13:$G$29,5,FALSE)),0,VLOOKUP($A24,'Black Start TACs'!$A$13:$G$29,5,FALSE))</f>
        <v>0.029440390476190476</v>
      </c>
      <c r="E24" s="27">
        <f>IF(ISNA(VLOOKUP($A24,'LM6000 TACs'!$A$15:$G$25,6,FALSE)),0,VLOOKUP($A24,'LM6000 TACs'!$A$15:$G$25,6,FALSE))+IF(ISNA(VLOOKUP($A24,'Black Start TACs'!$A$13:$G$29,6,FALSE)),0,VLOOKUP($A24,'Black Start TACs'!$A$13:$G$29,6,FALSE))</f>
        <v>46.54899746666666</v>
      </c>
      <c r="F24" s="27">
        <f>IF(ISNA(VLOOKUP($A24,'LM6000 TACs'!$A$15:$G$25,7,FALSE)),0,VLOOKUP($A24,'LM6000 TACs'!$A$15:$G$25,7,FALSE))+IF(ISNA(VLOOKUP($A24,'Black Start TACs'!$A$13:$G$29,7,FALSE)),0,VLOOKUP($A24,'Black Start TACs'!$A$13:$G$29,7,FALSE))</f>
        <v>0.023274498733333333</v>
      </c>
    </row>
    <row r="25" spans="1:6" ht="15">
      <c r="A25" s="29"/>
      <c r="B25" s="30"/>
      <c r="C25" s="122"/>
      <c r="D25" s="123" t="s">
        <v>123</v>
      </c>
      <c r="E25" s="43">
        <f>SUM(E5:E7)+SUM(E9:E24)</f>
        <v>749.4670090859346</v>
      </c>
      <c r="F25" s="43">
        <f>SUM(F5:F7)+SUM(F9:F24)</f>
        <v>0.3747335045429673</v>
      </c>
    </row>
    <row r="26" ht="12.75">
      <c r="A26" t="s">
        <v>124</v>
      </c>
    </row>
    <row r="27" ht="12.75">
      <c r="A27" t="s">
        <v>298</v>
      </c>
    </row>
    <row r="28" ht="12.75">
      <c r="A28" t="s">
        <v>299</v>
      </c>
    </row>
  </sheetData>
  <sheetProtection/>
  <printOptions/>
  <pageMargins left="0.75" right="0.75" top="1" bottom="1" header="0.5" footer="0.5"/>
  <pageSetup orientation="portrait" scale="87" r:id="rId1"/>
  <headerFooter alignWithMargins="0">
    <oddFooter>&amp;CC.2-&amp;P&amp;RSCE Mira Loma Peaker Project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5" max="5" width="13.7109375" style="0" customWidth="1"/>
  </cols>
  <sheetData>
    <row r="1" ht="12.75">
      <c r="A1" s="2" t="s">
        <v>370</v>
      </c>
    </row>
    <row r="2" spans="1:2" ht="12.75">
      <c r="A2" s="2" t="s">
        <v>251</v>
      </c>
      <c r="B2" s="2"/>
    </row>
    <row r="3" spans="1:9" ht="12.75">
      <c r="A3" s="65" t="s">
        <v>69</v>
      </c>
      <c r="B3" s="65"/>
      <c r="C3" s="65" t="s">
        <v>72</v>
      </c>
      <c r="D3" s="65"/>
      <c r="E3" s="56" t="s">
        <v>76</v>
      </c>
      <c r="F3" s="65" t="s">
        <v>78</v>
      </c>
      <c r="G3" s="65"/>
      <c r="H3" s="65" t="s">
        <v>75</v>
      </c>
      <c r="I3" s="65"/>
    </row>
    <row r="4" spans="1:9" ht="12.75">
      <c r="A4" s="56" t="s">
        <v>70</v>
      </c>
      <c r="B4" s="56" t="s">
        <v>71</v>
      </c>
      <c r="C4" s="56" t="s">
        <v>73</v>
      </c>
      <c r="D4" s="56" t="s">
        <v>74</v>
      </c>
      <c r="E4" s="56" t="s">
        <v>77</v>
      </c>
      <c r="F4" s="56" t="s">
        <v>79</v>
      </c>
      <c r="G4" s="56" t="s">
        <v>80</v>
      </c>
      <c r="H4" s="56" t="s">
        <v>70</v>
      </c>
      <c r="I4" s="56" t="s">
        <v>71</v>
      </c>
    </row>
    <row r="5" spans="1:9" ht="12.75">
      <c r="A5" s="6">
        <v>14.5</v>
      </c>
      <c r="B5" s="58">
        <f>A5/3.28</f>
        <v>4.420731707317073</v>
      </c>
      <c r="C5" s="6">
        <v>843</v>
      </c>
      <c r="D5" s="58">
        <f>((C5-32)*5/9)+273.15</f>
        <v>723.7055555555555</v>
      </c>
      <c r="E5" s="60">
        <f>(8320*(843+460))/2275*29.1/29.54</f>
        <v>4694.2783634780935</v>
      </c>
      <c r="F5" s="58">
        <f>IF(AND(E5&lt;&gt;"",H5&lt;&gt;""),E5/(0.25*PI()*POWER(H5,2))/60,"")</f>
        <v>144.60107529818004</v>
      </c>
      <c r="G5" s="58">
        <f>F5/3.28</f>
        <v>44.085693688469526</v>
      </c>
      <c r="H5" s="6">
        <v>0.83</v>
      </c>
      <c r="I5" s="59">
        <f>H5/3.28</f>
        <v>0.2530487804878049</v>
      </c>
    </row>
    <row r="6" ht="12.75">
      <c r="A6" t="s">
        <v>14</v>
      </c>
    </row>
    <row r="7" ht="12.75">
      <c r="A7" t="s">
        <v>128</v>
      </c>
    </row>
    <row r="8" ht="12.75">
      <c r="A8" t="s">
        <v>95</v>
      </c>
    </row>
    <row r="9" ht="12.75">
      <c r="A9" t="s">
        <v>94</v>
      </c>
    </row>
    <row r="10" ht="12.75">
      <c r="A10" t="s">
        <v>262</v>
      </c>
    </row>
    <row r="11" ht="12.75">
      <c r="A11" t="s">
        <v>263</v>
      </c>
    </row>
    <row r="12" ht="12.75">
      <c r="A12" t="s">
        <v>96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&amp;CC.2-&amp;P&amp;RSCE Mira Loma Peaker Project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zoomScalePageLayoutView="0" workbookViewId="0" topLeftCell="A1">
      <selection activeCell="A32" sqref="A32"/>
    </sheetView>
  </sheetViews>
  <sheetFormatPr defaultColWidth="9.140625" defaultRowHeight="12.75"/>
  <cols>
    <col min="1" max="1" width="10.7109375" style="0" customWidth="1"/>
    <col min="5" max="5" width="13.7109375" style="0" customWidth="1"/>
  </cols>
  <sheetData>
    <row r="1" ht="12.75">
      <c r="A1" s="2" t="s">
        <v>371</v>
      </c>
    </row>
    <row r="2" spans="1:2" ht="12.75">
      <c r="A2" s="2" t="s">
        <v>252</v>
      </c>
      <c r="B2" s="2"/>
    </row>
    <row r="3" spans="1:9" ht="12.75">
      <c r="A3" s="65" t="s">
        <v>69</v>
      </c>
      <c r="B3" s="65"/>
      <c r="C3" s="65" t="s">
        <v>72</v>
      </c>
      <c r="D3" s="65"/>
      <c r="E3" s="56" t="s">
        <v>76</v>
      </c>
      <c r="F3" s="65" t="s">
        <v>78</v>
      </c>
      <c r="G3" s="65"/>
      <c r="H3" s="65" t="s">
        <v>75</v>
      </c>
      <c r="I3" s="65"/>
    </row>
    <row r="4" spans="1:9" ht="12.75">
      <c r="A4" s="56" t="s">
        <v>70</v>
      </c>
      <c r="B4" s="56" t="s">
        <v>71</v>
      </c>
      <c r="C4" s="56" t="s">
        <v>73</v>
      </c>
      <c r="D4" s="56" t="s">
        <v>74</v>
      </c>
      <c r="E4" s="56" t="s">
        <v>77</v>
      </c>
      <c r="F4" s="56" t="s">
        <v>79</v>
      </c>
      <c r="G4" s="56" t="s">
        <v>80</v>
      </c>
      <c r="H4" s="56" t="s">
        <v>70</v>
      </c>
      <c r="I4" s="56" t="s">
        <v>71</v>
      </c>
    </row>
    <row r="5" spans="1:9" ht="12.75">
      <c r="A5" s="6">
        <v>80</v>
      </c>
      <c r="B5" s="58">
        <f>A5/3.28</f>
        <v>24.390243902439025</v>
      </c>
      <c r="C5" s="6">
        <v>669</v>
      </c>
      <c r="D5" s="58">
        <f>((C5-32)*5/9)+273.15</f>
        <v>627.0388888888889</v>
      </c>
      <c r="E5" s="60">
        <f>559129*1128.67/1317.77</f>
        <v>478893.98637850315</v>
      </c>
      <c r="F5" s="58">
        <f>IF(AND(E5&lt;&gt;"",H5&lt;&gt;""),E5/(0.25*PI()*POWER(H5,2))/60,"")</f>
        <v>60.132816685697485</v>
      </c>
      <c r="G5" s="58">
        <f>F5/3.28</f>
        <v>18.33317581881021</v>
      </c>
      <c r="H5" s="6">
        <v>13</v>
      </c>
      <c r="I5" s="59">
        <f>H5/3.28</f>
        <v>3.963414634146342</v>
      </c>
    </row>
    <row r="6" ht="12.75">
      <c r="A6" t="s">
        <v>14</v>
      </c>
    </row>
    <row r="7" ht="12.75">
      <c r="A7" s="106" t="s">
        <v>302</v>
      </c>
    </row>
    <row r="8" ht="12.75">
      <c r="A8" t="s">
        <v>264</v>
      </c>
    </row>
    <row r="9" ht="12.75">
      <c r="A9" t="s">
        <v>301</v>
      </c>
    </row>
    <row r="10" ht="12.75">
      <c r="A10" t="s">
        <v>125</v>
      </c>
    </row>
    <row r="12" ht="12.75">
      <c r="A12" s="2" t="s">
        <v>372</v>
      </c>
    </row>
    <row r="13" spans="1:2" ht="12.75">
      <c r="A13" s="2" t="s">
        <v>253</v>
      </c>
      <c r="B13" s="2"/>
    </row>
    <row r="14" spans="1:9" ht="12.75">
      <c r="A14" s="65" t="s">
        <v>69</v>
      </c>
      <c r="B14" s="65"/>
      <c r="C14" s="65" t="s">
        <v>72</v>
      </c>
      <c r="D14" s="65"/>
      <c r="E14" s="56" t="s">
        <v>76</v>
      </c>
      <c r="F14" s="65" t="s">
        <v>78</v>
      </c>
      <c r="G14" s="65"/>
      <c r="H14" s="65" t="s">
        <v>75</v>
      </c>
      <c r="I14" s="65"/>
    </row>
    <row r="15" spans="1:9" ht="12.75">
      <c r="A15" s="56" t="s">
        <v>70</v>
      </c>
      <c r="B15" s="56" t="s">
        <v>71</v>
      </c>
      <c r="C15" s="56" t="s">
        <v>73</v>
      </c>
      <c r="D15" s="56" t="s">
        <v>74</v>
      </c>
      <c r="E15" s="56" t="s">
        <v>77</v>
      </c>
      <c r="F15" s="56" t="s">
        <v>79</v>
      </c>
      <c r="G15" s="56" t="s">
        <v>80</v>
      </c>
      <c r="H15" s="56" t="s">
        <v>70</v>
      </c>
      <c r="I15" s="56" t="s">
        <v>71</v>
      </c>
    </row>
    <row r="16" spans="1:9" ht="12.75">
      <c r="A16" s="6">
        <v>80</v>
      </c>
      <c r="B16" s="58">
        <f>A16/3.28</f>
        <v>24.390243902439025</v>
      </c>
      <c r="C16" s="6">
        <f>C5</f>
        <v>669</v>
      </c>
      <c r="D16" s="58">
        <f>((C16-32)*5/9)+273.15</f>
        <v>627.0388888888889</v>
      </c>
      <c r="E16" s="60">
        <f>B48</f>
        <v>449841.08453820733</v>
      </c>
      <c r="F16" s="58">
        <f>IF(AND(E16&lt;&gt;"",H16&lt;&gt;""),E16/(0.25*PI()*POWER(H16,2))/60,"")</f>
        <v>56.48475914009851</v>
      </c>
      <c r="G16" s="58">
        <f>F16/3.28</f>
        <v>17.22096315246906</v>
      </c>
      <c r="H16" s="6">
        <v>13</v>
      </c>
      <c r="I16" s="59">
        <f>H16/3.28</f>
        <v>3.963414634146342</v>
      </c>
    </row>
    <row r="17" ht="12.75">
      <c r="A17" t="s">
        <v>14</v>
      </c>
    </row>
    <row r="18" ht="12.75">
      <c r="A18" s="106" t="str">
        <f>A7</f>
        <v>Exhaust temp from "Catalyst Design (C06-135-GE Rev 2-Non Calc).xls", case 115.</v>
      </c>
    </row>
    <row r="19" ht="12.75">
      <c r="A19" t="s">
        <v>136</v>
      </c>
    </row>
    <row r="20" ht="12.75">
      <c r="A20" t="s">
        <v>125</v>
      </c>
    </row>
    <row r="22" ht="12.75">
      <c r="A22" s="2" t="s">
        <v>373</v>
      </c>
    </row>
    <row r="23" spans="1:2" ht="12.75">
      <c r="A23" s="2" t="s">
        <v>254</v>
      </c>
      <c r="B23" s="2"/>
    </row>
    <row r="24" spans="1:9" ht="12.75">
      <c r="A24" s="65" t="s">
        <v>69</v>
      </c>
      <c r="B24" s="65"/>
      <c r="C24" s="65" t="s">
        <v>72</v>
      </c>
      <c r="D24" s="65"/>
      <c r="E24" s="56" t="s">
        <v>76</v>
      </c>
      <c r="F24" s="65" t="s">
        <v>78</v>
      </c>
      <c r="G24" s="65"/>
      <c r="H24" s="65" t="s">
        <v>75</v>
      </c>
      <c r="I24" s="65"/>
    </row>
    <row r="25" spans="1:9" ht="12.75">
      <c r="A25" s="56" t="s">
        <v>70</v>
      </c>
      <c r="B25" s="56" t="s">
        <v>71</v>
      </c>
      <c r="C25" s="56" t="s">
        <v>73</v>
      </c>
      <c r="D25" s="56" t="s">
        <v>74</v>
      </c>
      <c r="E25" s="56" t="s">
        <v>77</v>
      </c>
      <c r="F25" s="56" t="s">
        <v>79</v>
      </c>
      <c r="G25" s="56" t="s">
        <v>80</v>
      </c>
      <c r="H25" s="56" t="s">
        <v>70</v>
      </c>
      <c r="I25" s="56" t="s">
        <v>71</v>
      </c>
    </row>
    <row r="26" spans="1:9" ht="12.75">
      <c r="A26" s="6">
        <v>80</v>
      </c>
      <c r="B26" s="58">
        <f>A26/3.28</f>
        <v>24.390243902439025</v>
      </c>
      <c r="C26" s="6">
        <f>C5</f>
        <v>669</v>
      </c>
      <c r="D26" s="58">
        <f>((C26-32)*5/9)+273.15</f>
        <v>627.0388888888889</v>
      </c>
      <c r="E26" s="60">
        <f>E5*0.5</f>
        <v>239446.99318925157</v>
      </c>
      <c r="F26" s="58">
        <f>IF(AND(E26&lt;&gt;"",H26&lt;&gt;""),E26/(0.25*PI()*POWER(H26,2))/60,"")</f>
        <v>30.066408342848742</v>
      </c>
      <c r="G26" s="58">
        <f>F26/3.28</f>
        <v>9.166587909405106</v>
      </c>
      <c r="H26" s="6">
        <v>13</v>
      </c>
      <c r="I26" s="59">
        <f>H26/3.28</f>
        <v>3.963414634146342</v>
      </c>
    </row>
    <row r="27" ht="12.75">
      <c r="A27" t="s">
        <v>14</v>
      </c>
    </row>
    <row r="28" ht="12.75">
      <c r="A28" s="106" t="str">
        <f>A7</f>
        <v>Exhaust temp from "Catalyst Design (C06-135-GE Rev 2-Non Calc).xls", case 115.</v>
      </c>
    </row>
    <row r="29" ht="12.75">
      <c r="A29" t="s">
        <v>137</v>
      </c>
    </row>
    <row r="30" ht="12.75">
      <c r="A30" t="s">
        <v>125</v>
      </c>
    </row>
    <row r="32" ht="12.75">
      <c r="A32" s="2" t="s">
        <v>374</v>
      </c>
    </row>
    <row r="33" ht="12.75">
      <c r="A33" s="2" t="s">
        <v>130</v>
      </c>
    </row>
    <row r="34" spans="1:6" s="81" customFormat="1" ht="28.5">
      <c r="A34" s="1" t="s">
        <v>202</v>
      </c>
      <c r="B34" s="1" t="s">
        <v>132</v>
      </c>
      <c r="C34" s="98" t="s">
        <v>131</v>
      </c>
      <c r="D34" s="99"/>
      <c r="E34" s="99"/>
      <c r="F34" s="100"/>
    </row>
    <row r="35" spans="1:6" ht="12.75">
      <c r="A35" s="57">
        <v>0</v>
      </c>
      <c r="B35" s="57">
        <f>$E$5*A35</f>
        <v>0</v>
      </c>
      <c r="C35" s="29">
        <v>1</v>
      </c>
      <c r="D35" s="101"/>
      <c r="E35" s="101"/>
      <c r="F35" s="102"/>
    </row>
    <row r="36" spans="1:6" ht="12.75">
      <c r="A36" s="57">
        <v>0</v>
      </c>
      <c r="B36" s="57">
        <f aca="true" t="shared" si="0" ref="B36:B46">$E$5*A36</f>
        <v>0</v>
      </c>
      <c r="C36" s="29">
        <v>2</v>
      </c>
      <c r="D36" s="101"/>
      <c r="E36" s="101"/>
      <c r="F36" s="102"/>
    </row>
    <row r="37" spans="1:6" ht="12.75">
      <c r="A37" s="57">
        <v>0</v>
      </c>
      <c r="B37" s="57">
        <f t="shared" si="0"/>
        <v>0</v>
      </c>
      <c r="C37" s="29">
        <v>3</v>
      </c>
      <c r="D37" s="101"/>
      <c r="E37" s="101"/>
      <c r="F37" s="102"/>
    </row>
    <row r="38" spans="1:6" ht="12.75">
      <c r="A38" s="57">
        <v>0</v>
      </c>
      <c r="B38" s="57">
        <f t="shared" si="0"/>
        <v>0</v>
      </c>
      <c r="C38" s="29">
        <v>4</v>
      </c>
      <c r="D38" s="101"/>
      <c r="E38" s="101"/>
      <c r="F38" s="102"/>
    </row>
    <row r="39" spans="1:6" ht="12.75">
      <c r="A39" s="57">
        <v>0</v>
      </c>
      <c r="B39" s="57">
        <f t="shared" si="0"/>
        <v>0</v>
      </c>
      <c r="C39" s="29">
        <v>5</v>
      </c>
      <c r="D39" s="101"/>
      <c r="E39" s="101"/>
      <c r="F39" s="102"/>
    </row>
    <row r="40" spans="1:6" ht="12.75">
      <c r="A40" s="57">
        <v>0</v>
      </c>
      <c r="B40" s="57">
        <f t="shared" si="0"/>
        <v>0</v>
      </c>
      <c r="C40" s="29">
        <v>6</v>
      </c>
      <c r="D40" s="101"/>
      <c r="E40" s="101"/>
      <c r="F40" s="102"/>
    </row>
    <row r="41" spans="1:6" ht="12.75">
      <c r="A41" s="57">
        <v>0.28</v>
      </c>
      <c r="B41" s="57">
        <f t="shared" si="0"/>
        <v>134090.3161859809</v>
      </c>
      <c r="C41" s="29">
        <v>7</v>
      </c>
      <c r="D41" s="101"/>
      <c r="E41" s="101"/>
      <c r="F41" s="102"/>
    </row>
    <row r="42" spans="1:6" ht="12.75">
      <c r="A42" s="57">
        <v>0.5</v>
      </c>
      <c r="B42" s="57">
        <f t="shared" si="0"/>
        <v>239446.99318925157</v>
      </c>
      <c r="C42" s="29">
        <v>8</v>
      </c>
      <c r="D42" s="101"/>
      <c r="E42" s="101"/>
      <c r="F42" s="102"/>
    </row>
    <row r="43" spans="1:6" ht="12.75">
      <c r="A43" s="57">
        <v>0.86</v>
      </c>
      <c r="B43" s="57">
        <f t="shared" si="0"/>
        <v>411848.8282855127</v>
      </c>
      <c r="C43" s="29">
        <v>9</v>
      </c>
      <c r="D43" s="101"/>
      <c r="E43" s="101"/>
      <c r="F43" s="102"/>
    </row>
    <row r="44" spans="1:6" ht="12.75">
      <c r="A44" s="57">
        <v>0.86</v>
      </c>
      <c r="B44" s="57">
        <f t="shared" si="0"/>
        <v>411848.8282855127</v>
      </c>
      <c r="C44" s="29">
        <v>10</v>
      </c>
      <c r="D44" s="101"/>
      <c r="E44" s="101"/>
      <c r="F44" s="102"/>
    </row>
    <row r="45" spans="1:6" ht="12.75">
      <c r="A45" s="57">
        <v>0.86</v>
      </c>
      <c r="B45" s="57">
        <f t="shared" si="0"/>
        <v>411848.8282855127</v>
      </c>
      <c r="C45" s="29">
        <v>11</v>
      </c>
      <c r="D45" s="101"/>
      <c r="E45" s="101"/>
      <c r="F45" s="102"/>
    </row>
    <row r="46" spans="1:6" ht="12.75">
      <c r="A46" s="57">
        <v>1</v>
      </c>
      <c r="B46" s="57">
        <f t="shared" si="0"/>
        <v>478893.98637850315</v>
      </c>
      <c r="C46" s="29">
        <v>12</v>
      </c>
      <c r="D46" s="101"/>
      <c r="E46" s="101"/>
      <c r="F46" s="102"/>
    </row>
    <row r="47" spans="1:6" ht="12.75">
      <c r="A47" s="57">
        <v>1</v>
      </c>
      <c r="B47" s="57">
        <f>$E$5*A47*52</f>
        <v>24902487.291682165</v>
      </c>
      <c r="C47" s="103" t="s">
        <v>133</v>
      </c>
      <c r="D47" s="101"/>
      <c r="E47" s="101"/>
      <c r="F47" s="102"/>
    </row>
    <row r="48" spans="1:6" ht="12.75">
      <c r="A48" s="57"/>
      <c r="B48" s="57">
        <f>SUM(B35:B47)/60</f>
        <v>449841.08453820733</v>
      </c>
      <c r="C48" s="103" t="s">
        <v>134</v>
      </c>
      <c r="D48" s="101"/>
      <c r="E48" s="101"/>
      <c r="F48" s="102"/>
    </row>
    <row r="49" spans="1:6" ht="12.75">
      <c r="A49" s="57"/>
      <c r="B49" s="97">
        <f>B48/B46</f>
        <v>0.9393333333333335</v>
      </c>
      <c r="C49" s="103" t="s">
        <v>135</v>
      </c>
      <c r="D49" s="101"/>
      <c r="E49" s="101"/>
      <c r="F49" s="102"/>
    </row>
    <row r="50" ht="12.75">
      <c r="A50" t="s">
        <v>203</v>
      </c>
    </row>
  </sheetData>
  <sheetProtection/>
  <printOptions/>
  <pageMargins left="0.75" right="0.75" top="1" bottom="1" header="0.5" footer="0.5"/>
  <pageSetup horizontalDpi="600" verticalDpi="600" orientation="portrait" scale="93" r:id="rId1"/>
  <headerFooter alignWithMargins="0">
    <oddFooter>&amp;CC.2-&amp;P&amp;RSCE Mira Loma Peaker Project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75" zoomScalePageLayoutView="0" workbookViewId="0" topLeftCell="A3">
      <pane xSplit="1" topLeftCell="B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14.421875" style="0" customWidth="1"/>
    <col min="2" max="3" width="13.7109375" style="0" customWidth="1"/>
    <col min="4" max="4" width="25.00390625" style="0" customWidth="1"/>
    <col min="5" max="5" width="15.00390625" style="0" customWidth="1"/>
    <col min="6" max="6" width="19.8515625" style="0" customWidth="1"/>
    <col min="7" max="7" width="16.421875" style="0" customWidth="1"/>
    <col min="8" max="8" width="10.140625" style="0" bestFit="1" customWidth="1"/>
    <col min="12" max="12" width="9.8515625" style="0" bestFit="1" customWidth="1"/>
    <col min="13" max="13" width="9.421875" style="0" bestFit="1" customWidth="1"/>
    <col min="14" max="14" width="9.28125" style="0" bestFit="1" customWidth="1"/>
    <col min="15" max="15" width="12.57421875" style="0" bestFit="1" customWidth="1"/>
    <col min="16" max="16" width="9.8515625" style="0" bestFit="1" customWidth="1"/>
  </cols>
  <sheetData>
    <row r="1" ht="12.75">
      <c r="A1" s="2" t="s">
        <v>255</v>
      </c>
    </row>
    <row r="2" ht="12.75">
      <c r="A2" s="2" t="s">
        <v>58</v>
      </c>
    </row>
    <row r="3" spans="1:2" ht="12.75">
      <c r="A3" s="54">
        <v>645</v>
      </c>
      <c r="B3" t="s">
        <v>59</v>
      </c>
    </row>
    <row r="4" spans="1:3" ht="12.75">
      <c r="A4" s="55">
        <f>A3*1.341</f>
        <v>864.9449999999999</v>
      </c>
      <c r="B4" t="s">
        <v>60</v>
      </c>
      <c r="C4" t="s">
        <v>215</v>
      </c>
    </row>
    <row r="5" spans="1:2" ht="12.75">
      <c r="A5" s="55">
        <v>30</v>
      </c>
      <c r="B5" t="s">
        <v>204</v>
      </c>
    </row>
    <row r="6" spans="1:2" ht="12.75">
      <c r="A6" s="55">
        <v>14</v>
      </c>
      <c r="B6" t="s">
        <v>197</v>
      </c>
    </row>
    <row r="7" ht="12.75">
      <c r="A7" s="55"/>
    </row>
    <row r="8" ht="12.75">
      <c r="A8" s="142" t="s">
        <v>376</v>
      </c>
    </row>
    <row r="9" spans="1:12" ht="12.75">
      <c r="A9" s="2" t="s">
        <v>57</v>
      </c>
      <c r="L9" t="s">
        <v>208</v>
      </c>
    </row>
    <row r="10" spans="1:16" ht="54.75">
      <c r="A10" s="56" t="s">
        <v>4</v>
      </c>
      <c r="B10" s="1" t="s">
        <v>56</v>
      </c>
      <c r="C10" s="1" t="s">
        <v>66</v>
      </c>
      <c r="D10" s="1" t="s">
        <v>220</v>
      </c>
      <c r="E10" s="1" t="s">
        <v>221</v>
      </c>
      <c r="F10" s="1" t="s">
        <v>222</v>
      </c>
      <c r="G10" s="1" t="s">
        <v>225</v>
      </c>
      <c r="H10" s="1" t="s">
        <v>120</v>
      </c>
      <c r="L10" s="83" t="s">
        <v>207</v>
      </c>
      <c r="M10" s="83" t="s">
        <v>211</v>
      </c>
      <c r="N10" s="83" t="s">
        <v>212</v>
      </c>
      <c r="O10" s="83" t="s">
        <v>209</v>
      </c>
      <c r="P10" s="83" t="s">
        <v>210</v>
      </c>
    </row>
    <row r="11" spans="1:16" ht="12.75">
      <c r="A11" s="57" t="s">
        <v>43</v>
      </c>
      <c r="B11" s="6">
        <v>1.25</v>
      </c>
      <c r="C11" s="58">
        <f>B11*$A$4</f>
        <v>1081.1812499999999</v>
      </c>
      <c r="D11" s="59">
        <f>C11/453.6*$A$5/60</f>
        <v>1.1917782738095235</v>
      </c>
      <c r="E11" s="59">
        <f>D11*1</f>
        <v>1.1917782738095235</v>
      </c>
      <c r="F11" s="59">
        <f>E11*2/30</f>
        <v>0.0794518849206349</v>
      </c>
      <c r="G11" s="59">
        <f>D11*$A$6</f>
        <v>16.68489583333333</v>
      </c>
      <c r="H11" s="27">
        <f>D11*$A$6/2000</f>
        <v>0.008342447916666664</v>
      </c>
      <c r="L11" s="80">
        <f>D11*453.6/3600</f>
        <v>0.15016406249999997</v>
      </c>
      <c r="M11" s="80"/>
      <c r="N11" s="80"/>
      <c r="P11" s="8">
        <f>H11*2000/8760*453.6/3600</f>
        <v>0.00023998822773972598</v>
      </c>
    </row>
    <row r="12" spans="1:16" ht="12.75">
      <c r="A12" s="57" t="s">
        <v>44</v>
      </c>
      <c r="B12" s="6">
        <v>1.59</v>
      </c>
      <c r="C12" s="58">
        <f>B12*$A$4</f>
        <v>1375.26255</v>
      </c>
      <c r="D12" s="59">
        <f>C12/453.6*$A$5/60</f>
        <v>1.515941964285714</v>
      </c>
      <c r="E12" s="59">
        <f>D12*1</f>
        <v>1.515941964285714</v>
      </c>
      <c r="F12" s="59">
        <f>E12*2/30</f>
        <v>0.1010627976190476</v>
      </c>
      <c r="G12" s="59">
        <f>D12*$A$6</f>
        <v>21.223187499999995</v>
      </c>
      <c r="H12" s="27">
        <f>D12*$A$6/2000</f>
        <v>0.010611593749999997</v>
      </c>
      <c r="L12" s="80">
        <f>D12*453.6/3600</f>
        <v>0.19100868749999997</v>
      </c>
      <c r="M12" s="80"/>
      <c r="N12" s="80">
        <f>L12/8</f>
        <v>0.023876085937499996</v>
      </c>
      <c r="P12" s="8"/>
    </row>
    <row r="13" spans="1:8" ht="12.75">
      <c r="A13" s="57" t="s">
        <v>292</v>
      </c>
      <c r="B13" s="6">
        <v>0.45</v>
      </c>
      <c r="C13" s="58">
        <f>B13*$A$4</f>
        <v>389.22524999999996</v>
      </c>
      <c r="D13" s="59">
        <f>C13/453.6*$A$5/60</f>
        <v>0.4290401785714285</v>
      </c>
      <c r="E13" s="59">
        <f>D13*1</f>
        <v>0.4290401785714285</v>
      </c>
      <c r="F13" s="59">
        <f>E13*2/30</f>
        <v>0.028602678571428567</v>
      </c>
      <c r="G13" s="59">
        <f>D13*$A$6</f>
        <v>6.006562499999999</v>
      </c>
      <c r="H13" s="27">
        <f>D13*$A$6/2000</f>
        <v>0.00300328125</v>
      </c>
    </row>
    <row r="14" spans="1:8" ht="12.75">
      <c r="A14" s="61" t="s">
        <v>67</v>
      </c>
      <c r="B14" s="63"/>
      <c r="C14" s="64"/>
      <c r="D14" s="64"/>
      <c r="E14" s="64"/>
      <c r="F14" s="64"/>
      <c r="G14" s="64"/>
      <c r="H14" s="8"/>
    </row>
    <row r="15" spans="1:7" ht="12.75">
      <c r="A15" s="61" t="s">
        <v>68</v>
      </c>
      <c r="B15" s="63"/>
      <c r="C15" s="64"/>
      <c r="D15" s="64"/>
      <c r="E15" s="64"/>
      <c r="F15" s="64"/>
      <c r="G15" s="64"/>
    </row>
    <row r="16" spans="1:7" ht="12.75">
      <c r="A16" s="61" t="s">
        <v>224</v>
      </c>
      <c r="B16" s="63"/>
      <c r="C16" s="64"/>
      <c r="D16" s="64"/>
      <c r="E16" s="64"/>
      <c r="F16" s="64"/>
      <c r="G16" s="64"/>
    </row>
    <row r="17" spans="1:7" ht="12.75">
      <c r="A17" s="61" t="s">
        <v>223</v>
      </c>
      <c r="B17" s="63"/>
      <c r="C17" s="64"/>
      <c r="D17" s="64"/>
      <c r="E17" s="64"/>
      <c r="F17" s="64"/>
      <c r="G17" s="64"/>
    </row>
    <row r="19" ht="12.75">
      <c r="A19" s="2" t="s">
        <v>375</v>
      </c>
    </row>
    <row r="20" ht="12.75">
      <c r="A20" s="2" t="s">
        <v>63</v>
      </c>
    </row>
    <row r="21" spans="1:8" ht="54.75">
      <c r="A21" s="56" t="s">
        <v>4</v>
      </c>
      <c r="B21" s="1" t="s">
        <v>61</v>
      </c>
      <c r="C21" s="1" t="s">
        <v>62</v>
      </c>
      <c r="D21" s="1" t="s">
        <v>220</v>
      </c>
      <c r="E21" s="1" t="s">
        <v>122</v>
      </c>
      <c r="F21" s="1" t="s">
        <v>222</v>
      </c>
      <c r="G21" s="1" t="s">
        <v>225</v>
      </c>
      <c r="H21" s="1" t="s">
        <v>120</v>
      </c>
    </row>
    <row r="22" spans="1:16" ht="12.75">
      <c r="A22" s="57" t="s">
        <v>45</v>
      </c>
      <c r="B22" s="27">
        <v>0.000588</v>
      </c>
      <c r="C22" s="59">
        <f>'Supplemental Info'!$A$17</f>
        <v>6.43</v>
      </c>
      <c r="D22" s="27">
        <f>B22*C22*$A$5/60</f>
        <v>0.0018904199999999999</v>
      </c>
      <c r="E22" s="27">
        <f>D22*1</f>
        <v>0.0018904199999999999</v>
      </c>
      <c r="F22" s="27">
        <f>E22*2/30</f>
        <v>0.00012602799999999998</v>
      </c>
      <c r="G22" s="59">
        <f>D22*$A$6</f>
        <v>0.026465879999999997</v>
      </c>
      <c r="H22" s="27">
        <f>D22*$A$6/2000</f>
        <v>1.323294E-05</v>
      </c>
      <c r="L22" s="8">
        <f>D22*453.6/3600</f>
        <v>0.00023819291999999998</v>
      </c>
      <c r="M22" s="8">
        <f>L22/3</f>
        <v>7.939763999999999E-05</v>
      </c>
      <c r="N22" s="8"/>
      <c r="O22" s="8">
        <f>L22/24</f>
        <v>9.924704999999999E-06</v>
      </c>
      <c r="P22" s="8">
        <f>H22*2000/8760*453.6/3600</f>
        <v>3.8067361643835614E-07</v>
      </c>
    </row>
    <row r="23" spans="1:16" ht="12.75">
      <c r="A23" s="57" t="s">
        <v>46</v>
      </c>
      <c r="B23" s="27">
        <v>0.00991</v>
      </c>
      <c r="C23" s="59">
        <f>'Supplemental Info'!$A$17</f>
        <v>6.43</v>
      </c>
      <c r="D23" s="27">
        <f>B23*C23*$A$5/60</f>
        <v>0.03186065</v>
      </c>
      <c r="E23" s="27">
        <f>D23*1</f>
        <v>0.03186065</v>
      </c>
      <c r="F23" s="27">
        <f>E23*2/30</f>
        <v>0.002124043333333333</v>
      </c>
      <c r="G23" s="59">
        <f>D23*$A$6</f>
        <v>0.4460491</v>
      </c>
      <c r="H23" s="27">
        <f>D23*$A$6/2000</f>
        <v>0.00022302455</v>
      </c>
      <c r="L23" s="8">
        <f>D23*453.6/3600</f>
        <v>0.0040144418999999995</v>
      </c>
      <c r="M23" s="8"/>
      <c r="N23" s="8"/>
      <c r="O23" s="8">
        <f>L23/24</f>
        <v>0.0001672684125</v>
      </c>
      <c r="P23" s="8">
        <f>H23*2000/8760*453.6/3600</f>
        <v>6.415774726027397E-06</v>
      </c>
    </row>
    <row r="24" spans="1:7" ht="12.75">
      <c r="A24" s="61" t="s">
        <v>67</v>
      </c>
      <c r="B24" s="63"/>
      <c r="C24" s="64"/>
      <c r="D24" s="64"/>
      <c r="E24" s="64"/>
      <c r="F24" s="64"/>
      <c r="G24" s="64"/>
    </row>
    <row r="25" spans="1:7" ht="12.75">
      <c r="A25" s="61" t="s">
        <v>68</v>
      </c>
      <c r="B25" s="63"/>
      <c r="C25" s="64"/>
      <c r="D25" s="64"/>
      <c r="E25" s="64"/>
      <c r="F25" s="64"/>
      <c r="G25" s="64"/>
    </row>
    <row r="26" spans="1:7" ht="12.75">
      <c r="A26" s="61" t="s">
        <v>224</v>
      </c>
      <c r="B26" s="63"/>
      <c r="C26" s="64"/>
      <c r="D26" s="64"/>
      <c r="E26" s="64"/>
      <c r="F26" s="64"/>
      <c r="G26" s="64"/>
    </row>
    <row r="27" spans="1:7" ht="12.75">
      <c r="A27" s="61" t="s">
        <v>223</v>
      </c>
      <c r="B27" s="63"/>
      <c r="C27" s="64"/>
      <c r="D27" s="64"/>
      <c r="E27" s="64"/>
      <c r="F27" s="64"/>
      <c r="G27" s="64"/>
    </row>
    <row r="28" ht="12.75">
      <c r="A28" t="s">
        <v>64</v>
      </c>
    </row>
    <row r="29" ht="12.75">
      <c r="A29" t="s">
        <v>65</v>
      </c>
    </row>
  </sheetData>
  <sheetProtection/>
  <printOptions/>
  <pageMargins left="0.75" right="0.75" top="1" bottom="1" header="0.5" footer="0.5"/>
  <pageSetup horizontalDpi="600" verticalDpi="600" orientation="landscape" scale="96" r:id="rId1"/>
  <headerFooter alignWithMargins="0">
    <oddFooter>&amp;CC.2-&amp;P&amp;RSCE Mira Loma Peaker Project</oddFooter>
  </headerFooter>
  <colBreaks count="1" manualBreakCount="1">
    <brk id="8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75" zoomScalePageLayoutView="0" workbookViewId="0" topLeftCell="A4">
      <pane xSplit="1" topLeftCell="B1" activePane="topRight" state="frozen"/>
      <selection pane="topLeft" activeCell="A1" sqref="A1"/>
      <selection pane="topRight" activeCell="F19" sqref="F19"/>
    </sheetView>
  </sheetViews>
  <sheetFormatPr defaultColWidth="9.140625" defaultRowHeight="12.75"/>
  <cols>
    <col min="1" max="1" width="12.00390625" style="0" customWidth="1"/>
    <col min="2" max="3" width="20.57421875" style="0" customWidth="1"/>
    <col min="4" max="4" width="21.28125" style="0" customWidth="1"/>
    <col min="5" max="5" width="21.7109375" style="0" customWidth="1"/>
    <col min="6" max="6" width="20.7109375" style="0" customWidth="1"/>
    <col min="7" max="11" width="20.421875" style="0" customWidth="1"/>
    <col min="12" max="12" width="14.7109375" style="0" customWidth="1"/>
    <col min="13" max="13" width="15.00390625" style="0" customWidth="1"/>
    <col min="14" max="17" width="17.421875" style="0" customWidth="1"/>
    <col min="18" max="19" width="11.7109375" style="0" customWidth="1"/>
    <col min="20" max="20" width="11.57421875" style="0" customWidth="1"/>
    <col min="21" max="21" width="11.28125" style="0" customWidth="1"/>
  </cols>
  <sheetData>
    <row r="1" ht="12.75">
      <c r="A1" s="2" t="s">
        <v>377</v>
      </c>
    </row>
    <row r="2" spans="1:14" ht="12.75">
      <c r="A2" s="2" t="s">
        <v>256</v>
      </c>
      <c r="N2" t="s">
        <v>208</v>
      </c>
    </row>
    <row r="3" spans="1:21" ht="54.75">
      <c r="A3" s="1" t="s">
        <v>4</v>
      </c>
      <c r="B3" s="1" t="s">
        <v>226</v>
      </c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239</v>
      </c>
      <c r="I3" s="108"/>
      <c r="J3" s="83" t="s">
        <v>121</v>
      </c>
      <c r="K3" s="83" t="s">
        <v>234</v>
      </c>
      <c r="L3" s="46" t="s">
        <v>233</v>
      </c>
      <c r="M3" s="46" t="s">
        <v>231</v>
      </c>
      <c r="N3" s="83" t="s">
        <v>209</v>
      </c>
      <c r="O3" s="46"/>
      <c r="P3" s="46"/>
      <c r="Q3" s="69"/>
      <c r="R3" s="69"/>
      <c r="S3" s="46"/>
      <c r="T3" s="46"/>
      <c r="U3" s="69"/>
    </row>
    <row r="4" spans="1:21" ht="12.75">
      <c r="A4" s="57" t="s">
        <v>43</v>
      </c>
      <c r="B4" s="59">
        <f>'LM6000 Criteria Hourly'!B41</f>
        <v>103.21199999999999</v>
      </c>
      <c r="C4" s="59">
        <f>'LM6000 Criteria Hourly'!D4</f>
        <v>4.2</v>
      </c>
      <c r="D4" s="59">
        <f aca="true" t="shared" si="0" ref="D4:E8">B4*$J$28</f>
        <v>1135.3319999999999</v>
      </c>
      <c r="E4" s="59">
        <f t="shared" si="0"/>
        <v>46.2</v>
      </c>
      <c r="F4" s="59">
        <f>E4*($J$28/24*30)/30</f>
        <v>21.175</v>
      </c>
      <c r="G4" s="59">
        <f>'LM6000 Criteria Pollutant PTE'!G14*2000</f>
        <v>7800</v>
      </c>
      <c r="I4" s="107"/>
      <c r="J4" s="111">
        <f>MIN((24*(0.998*M4)/L4),24)</f>
        <v>13.06904761904762</v>
      </c>
      <c r="K4" s="86">
        <f>C4*J4</f>
        <v>54.89000000000001</v>
      </c>
      <c r="L4" s="50">
        <f>C4*24</f>
        <v>100.80000000000001</v>
      </c>
      <c r="M4" s="48">
        <v>55</v>
      </c>
      <c r="N4" s="48"/>
      <c r="O4" s="48"/>
      <c r="P4" s="48"/>
      <c r="Q4" s="73"/>
      <c r="R4" s="73"/>
      <c r="S4" s="49"/>
      <c r="T4" s="48"/>
      <c r="U4" s="52"/>
    </row>
    <row r="5" spans="1:21" ht="12.75">
      <c r="A5" s="57" t="s">
        <v>44</v>
      </c>
      <c r="B5" s="59">
        <f>'LM6000 Criteria Hourly'!B42</f>
        <v>63.1</v>
      </c>
      <c r="C5" s="59">
        <f>'LM6000 Criteria Hourly'!D5</f>
        <v>6.2</v>
      </c>
      <c r="D5" s="59">
        <f t="shared" si="0"/>
        <v>694.1</v>
      </c>
      <c r="E5" s="59">
        <f t="shared" si="0"/>
        <v>68.2</v>
      </c>
      <c r="F5" s="59">
        <f>E5*($J$28/24*30)/30</f>
        <v>31.258333333333333</v>
      </c>
      <c r="G5" s="59">
        <f>'LM6000 Criteria Pollutant PTE'!G15*2000</f>
        <v>10988.571428571428</v>
      </c>
      <c r="I5" s="107"/>
      <c r="J5" s="111">
        <f>MIN((24*(0.998*M5)/L5),24)</f>
        <v>24</v>
      </c>
      <c r="K5" s="86">
        <f>C5*J5</f>
        <v>148.8</v>
      </c>
      <c r="L5" s="50">
        <f>C5*24</f>
        <v>148.8</v>
      </c>
      <c r="M5" s="48">
        <v>550</v>
      </c>
      <c r="N5" s="48"/>
      <c r="O5" s="48"/>
      <c r="P5" s="48"/>
      <c r="Q5" s="73"/>
      <c r="R5" s="73"/>
      <c r="S5" s="49"/>
      <c r="T5" s="48"/>
      <c r="U5" s="72"/>
    </row>
    <row r="6" spans="1:21" ht="12.75">
      <c r="A6" s="57" t="s">
        <v>46</v>
      </c>
      <c r="B6" s="59">
        <f>'LM6000 Criteria Hourly'!B43</f>
        <v>4.51492</v>
      </c>
      <c r="C6" s="59">
        <f>'LM6000 Criteria Hourly'!D6</f>
        <v>4.51492</v>
      </c>
      <c r="D6" s="59">
        <f t="shared" si="0"/>
        <v>49.66412</v>
      </c>
      <c r="E6" s="59">
        <f t="shared" si="0"/>
        <v>49.66412</v>
      </c>
      <c r="F6" s="59">
        <f>E6*($J$28/24*30)/30</f>
        <v>22.762721666666664</v>
      </c>
      <c r="G6" s="59">
        <f>'LM6000 Criteria Pollutant PTE'!G16*2000</f>
        <v>7649.564457142857</v>
      </c>
      <c r="I6" s="107"/>
      <c r="J6" s="111">
        <f>MIN((24*(0.998*M6)/L6),24)</f>
        <v>24</v>
      </c>
      <c r="K6" s="86">
        <f>C6*J6</f>
        <v>108.35808</v>
      </c>
      <c r="L6" s="50">
        <f>C6*24</f>
        <v>108.35808</v>
      </c>
      <c r="M6" s="48">
        <v>150</v>
      </c>
      <c r="N6" s="48">
        <f>E6/24*453.6/3600</f>
        <v>0.26073662999999997</v>
      </c>
      <c r="O6" s="48"/>
      <c r="P6" s="48"/>
      <c r="Q6" s="50"/>
      <c r="R6" s="50"/>
      <c r="S6" s="49"/>
      <c r="T6" s="48"/>
      <c r="U6" s="72"/>
    </row>
    <row r="7" spans="1:21" ht="12.75">
      <c r="A7" s="74" t="s">
        <v>216</v>
      </c>
      <c r="B7" s="59">
        <f>'LM6000 Criteria Hourly'!B44</f>
        <v>1.91904047976012</v>
      </c>
      <c r="C7" s="59">
        <f>'LM6000 Criteria Hourly'!D7</f>
        <v>1.28</v>
      </c>
      <c r="D7" s="59">
        <f t="shared" si="0"/>
        <v>21.10944527736132</v>
      </c>
      <c r="E7" s="59">
        <f t="shared" si="0"/>
        <v>14.08</v>
      </c>
      <c r="F7" s="59">
        <f>E7*($J$28/24*30)/30</f>
        <v>6.453333333333333</v>
      </c>
      <c r="G7" s="59">
        <f>'LM6000 Criteria Pollutant PTE'!G17*2000</f>
        <v>2184.022685799957</v>
      </c>
      <c r="I7" s="107"/>
      <c r="J7" s="111">
        <f>MIN((24*(0.998*M7)/L7),24)</f>
        <v>24</v>
      </c>
      <c r="K7" s="86">
        <f>C7*J7</f>
        <v>30.72</v>
      </c>
      <c r="L7" s="50">
        <f>C7*24</f>
        <v>30.72</v>
      </c>
      <c r="M7" s="71">
        <v>55</v>
      </c>
      <c r="N7" s="71"/>
      <c r="O7" s="71"/>
      <c r="P7" s="71"/>
      <c r="Q7" s="73"/>
      <c r="R7" s="73"/>
      <c r="S7" s="49"/>
      <c r="T7" s="48"/>
      <c r="U7" s="72"/>
    </row>
    <row r="8" spans="1:21" ht="12.75">
      <c r="A8" s="57" t="s">
        <v>45</v>
      </c>
      <c r="B8" s="59">
        <f>'LM6000 Criteria Hourly'!B45</f>
        <v>0.25745999999999997</v>
      </c>
      <c r="C8" s="59">
        <f>'LM6000 Criteria Hourly'!D8</f>
        <v>0.25745999999999997</v>
      </c>
      <c r="D8" s="59">
        <f t="shared" si="0"/>
        <v>2.83206</v>
      </c>
      <c r="E8" s="59">
        <f t="shared" si="0"/>
        <v>2.83206</v>
      </c>
      <c r="F8" s="59">
        <f>E8*($J$28/24*30)/30</f>
        <v>1.2980275</v>
      </c>
      <c r="G8" s="59">
        <f>'LM6000 Criteria Pollutant PTE'!G18*2000</f>
        <v>436.2107999999999</v>
      </c>
      <c r="I8" s="107"/>
      <c r="J8" s="111">
        <f>MIN((24*(0.998*M8)/L8),24)</f>
        <v>24</v>
      </c>
      <c r="K8" s="86">
        <f>C8*J8</f>
        <v>6.179039999999999</v>
      </c>
      <c r="L8" s="50">
        <f>C8*24</f>
        <v>6.179039999999999</v>
      </c>
      <c r="M8" s="48">
        <v>150</v>
      </c>
      <c r="N8" s="113">
        <f>E8/24*453.6/3600</f>
        <v>0.014868315</v>
      </c>
      <c r="O8" s="48"/>
      <c r="P8" s="48"/>
      <c r="Q8" s="50"/>
      <c r="R8" s="50"/>
      <c r="S8" s="49"/>
      <c r="T8" s="48"/>
      <c r="U8" s="72"/>
    </row>
    <row r="9" ht="12.75">
      <c r="A9" s="105" t="s">
        <v>235</v>
      </c>
    </row>
    <row r="10" ht="12.75">
      <c r="A10" s="61" t="s">
        <v>236</v>
      </c>
    </row>
    <row r="11" spans="1:11" ht="12.75">
      <c r="A11" s="117" t="str">
        <f>"(3) MDU calculated using MHU and "&amp;$J$28&amp;" hr/day operation."</f>
        <v>(3) MDU calculated using MHU and 11 hr/day operation.</v>
      </c>
      <c r="J11" s="51">
        <f>ROUND(MIN(J4:J8),0)</f>
        <v>13</v>
      </c>
      <c r="K11" t="s">
        <v>237</v>
      </c>
    </row>
    <row r="12" spans="1:10" ht="12.75">
      <c r="A12" s="117" t="str">
        <f>"(4) MDC calculated using MHC and "&amp;$J$28&amp;" hr/day operation."</f>
        <v>(4) MDC calculated using MHC and 11 hr/day operation.</v>
      </c>
      <c r="J12" t="s">
        <v>240</v>
      </c>
    </row>
    <row r="13" ht="12.75">
      <c r="A13" s="61" t="str">
        <f>"(5) 30-DA calculated from MDC and "&amp;$J$28&amp;" hr/day operation for 30 days/month."</f>
        <v>(5) 30-DA calculated from MDC and 11 hr/day operation for 30 days/month.</v>
      </c>
    </row>
    <row r="14" ht="12.75">
      <c r="A14" s="61" t="s">
        <v>238</v>
      </c>
    </row>
    <row r="16" ht="12.75">
      <c r="A16" s="2" t="s">
        <v>378</v>
      </c>
    </row>
    <row r="17" ht="12.75">
      <c r="A17" s="2" t="s">
        <v>277</v>
      </c>
    </row>
    <row r="18" spans="1:21" ht="54.75">
      <c r="A18" s="1" t="s">
        <v>4</v>
      </c>
      <c r="B18" s="1" t="s">
        <v>226</v>
      </c>
      <c r="C18" s="1" t="s">
        <v>268</v>
      </c>
      <c r="D18" s="1" t="s">
        <v>269</v>
      </c>
      <c r="E18" s="1" t="s">
        <v>270</v>
      </c>
      <c r="F18" s="1" t="s">
        <v>271</v>
      </c>
      <c r="G18" s="1" t="s">
        <v>272</v>
      </c>
      <c r="H18" s="1" t="s">
        <v>241</v>
      </c>
      <c r="I18" s="108"/>
      <c r="J18" s="83" t="s">
        <v>121</v>
      </c>
      <c r="K18" s="83" t="s">
        <v>234</v>
      </c>
      <c r="L18" s="46" t="s">
        <v>233</v>
      </c>
      <c r="M18" s="46" t="s">
        <v>231</v>
      </c>
      <c r="N18" s="46"/>
      <c r="O18" s="46"/>
      <c r="P18" s="46"/>
      <c r="Q18" s="69"/>
      <c r="R18" s="69"/>
      <c r="S18" s="46"/>
      <c r="T18" s="46"/>
      <c r="U18" s="69"/>
    </row>
    <row r="19" spans="1:21" ht="12.75">
      <c r="A19" s="57" t="s">
        <v>43</v>
      </c>
      <c r="B19" s="59">
        <f>B4</f>
        <v>103.21199999999999</v>
      </c>
      <c r="C19" s="59">
        <f>'LM6000 Criteria Hourly'!D15</f>
        <v>7.66</v>
      </c>
      <c r="D19" s="59">
        <f>'LM6000 Criteria Hourly'!D28</f>
        <v>6.44</v>
      </c>
      <c r="E19" s="59">
        <f>B19*$J$28</f>
        <v>1135.3319999999999</v>
      </c>
      <c r="F19" s="59">
        <f>(C19*1)+(D19*1)+(C4*($J$28-2))</f>
        <v>51.900000000000006</v>
      </c>
      <c r="G19" s="59">
        <f>F19*($J$28/24*30)/30</f>
        <v>23.787500000000005</v>
      </c>
      <c r="H19" s="59">
        <f>G4</f>
        <v>7800</v>
      </c>
      <c r="I19" s="107"/>
      <c r="J19" s="111">
        <f>MIN((24*(0.998*M19)/L19),24)</f>
        <v>12.369577464788733</v>
      </c>
      <c r="K19" s="86">
        <f>C19*J19</f>
        <v>94.7509633802817</v>
      </c>
      <c r="L19" s="50">
        <f>(C19*1)+(D19*1)+(C4*22)</f>
        <v>106.5</v>
      </c>
      <c r="M19" s="48">
        <v>55</v>
      </c>
      <c r="N19" s="48"/>
      <c r="O19" s="48"/>
      <c r="P19" s="48"/>
      <c r="Q19" s="73"/>
      <c r="R19" s="73"/>
      <c r="S19" s="49"/>
      <c r="T19" s="48"/>
      <c r="U19" s="52"/>
    </row>
    <row r="20" spans="1:21" ht="12.75">
      <c r="A20" s="57" t="s">
        <v>44</v>
      </c>
      <c r="B20" s="59">
        <f>B5</f>
        <v>63.1</v>
      </c>
      <c r="C20" s="59">
        <f>'LM6000 Criteria Hourly'!D16</f>
        <v>8.66</v>
      </c>
      <c r="D20" s="59">
        <f>'LM6000 Criteria Hourly'!D29</f>
        <v>7.773333333333333</v>
      </c>
      <c r="E20" s="59">
        <f>B20*$J$28</f>
        <v>694.1</v>
      </c>
      <c r="F20" s="59">
        <f>(C20*1)+(D20*1)+(C5*($J$28-2))</f>
        <v>72.23333333333333</v>
      </c>
      <c r="G20" s="59">
        <f>F20*($J$28/24*30)/30</f>
        <v>33.106944444444444</v>
      </c>
      <c r="H20" s="59">
        <f>G5</f>
        <v>10988.571428571428</v>
      </c>
      <c r="I20" s="107"/>
      <c r="J20" s="111">
        <f>MIN((24*(0.998*M20)/L20),24)</f>
        <v>24</v>
      </c>
      <c r="K20" s="86">
        <f>C20*J20</f>
        <v>207.84</v>
      </c>
      <c r="L20" s="50">
        <f>(C20*1)+(D20*1)+(C5*22)</f>
        <v>152.83333333333334</v>
      </c>
      <c r="M20" s="48">
        <v>550</v>
      </c>
      <c r="N20" s="48"/>
      <c r="O20" s="48"/>
      <c r="P20" s="48"/>
      <c r="Q20" s="73"/>
      <c r="R20" s="73"/>
      <c r="S20" s="49"/>
      <c r="T20" s="48"/>
      <c r="U20" s="72"/>
    </row>
    <row r="21" spans="1:21" ht="12.75">
      <c r="A21" s="57" t="s">
        <v>46</v>
      </c>
      <c r="B21" s="59">
        <f>B6</f>
        <v>4.51492</v>
      </c>
      <c r="C21" s="59">
        <f>'LM6000 Criteria Hourly'!D17</f>
        <v>4.51492</v>
      </c>
      <c r="D21" s="59">
        <f>'LM6000 Criteria Hourly'!D30</f>
        <v>4.51492</v>
      </c>
      <c r="E21" s="59">
        <f>B21*$J$28</f>
        <v>49.66412</v>
      </c>
      <c r="F21" s="59">
        <f>(C21*1)+(D21*1)+(C6*($J$28-2))</f>
        <v>49.664120000000004</v>
      </c>
      <c r="G21" s="59">
        <f>F21*($J$28/24*30)/30</f>
        <v>22.762721666666668</v>
      </c>
      <c r="H21" s="59">
        <f>G6</f>
        <v>7649.564457142857</v>
      </c>
      <c r="I21" s="107"/>
      <c r="J21" s="111">
        <f>MIN((24*(0.998*M21)/L21),24)</f>
        <v>24</v>
      </c>
      <c r="K21" s="86">
        <f>C21*J21</f>
        <v>108.35808</v>
      </c>
      <c r="L21" s="50">
        <f>(C21*1)+(D21*1)+(C6*22)</f>
        <v>108.35808</v>
      </c>
      <c r="M21" s="48">
        <v>150</v>
      </c>
      <c r="N21" s="48"/>
      <c r="O21" s="48"/>
      <c r="P21" s="48"/>
      <c r="Q21" s="50"/>
      <c r="R21" s="50"/>
      <c r="S21" s="49"/>
      <c r="T21" s="48"/>
      <c r="U21" s="72"/>
    </row>
    <row r="22" spans="1:21" ht="12.75">
      <c r="A22" s="74" t="s">
        <v>216</v>
      </c>
      <c r="B22" s="59">
        <f>B7</f>
        <v>1.91904047976012</v>
      </c>
      <c r="C22" s="59">
        <f>'LM6000 Criteria Hourly'!D18</f>
        <v>1.3492293853073463</v>
      </c>
      <c r="D22" s="59">
        <f>'LM6000 Criteria Hourly'!D31</f>
        <v>1.3385787106446776</v>
      </c>
      <c r="E22" s="59">
        <f>B22*$J$28</f>
        <v>21.10944527736132</v>
      </c>
      <c r="F22" s="59">
        <f>(C22*1)+(D22*1)+(C7*($J$28-2))</f>
        <v>14.207808095952023</v>
      </c>
      <c r="G22" s="59">
        <f>F22*($J$28/24*30)/30</f>
        <v>6.511912043978011</v>
      </c>
      <c r="H22" s="59">
        <f>G7</f>
        <v>2184.022685799957</v>
      </c>
      <c r="I22" s="107"/>
      <c r="J22" s="111">
        <f>MIN((24*(0.998*M22)/L22),24)</f>
        <v>24</v>
      </c>
      <c r="K22" s="86">
        <f>C22*J22</f>
        <v>32.38150524737631</v>
      </c>
      <c r="L22" s="50">
        <f>(C22*1)+(D22*1)+(C7*22)</f>
        <v>30.847808095952026</v>
      </c>
      <c r="M22" s="71">
        <v>55</v>
      </c>
      <c r="N22" s="71"/>
      <c r="O22" s="71"/>
      <c r="P22" s="71"/>
      <c r="Q22" s="73"/>
      <c r="R22" s="73"/>
      <c r="S22" s="49"/>
      <c r="T22" s="48"/>
      <c r="U22" s="72"/>
    </row>
    <row r="23" spans="1:21" ht="12.75">
      <c r="A23" s="57" t="s">
        <v>45</v>
      </c>
      <c r="B23" s="59">
        <f>B8</f>
        <v>0.25745999999999997</v>
      </c>
      <c r="C23" s="59">
        <f>'LM6000 Criteria Hourly'!D19</f>
        <v>0.25745999999999997</v>
      </c>
      <c r="D23" s="59">
        <f>'LM6000 Criteria Hourly'!D32</f>
        <v>0.25746</v>
      </c>
      <c r="E23" s="59">
        <f>B23*$J$28</f>
        <v>2.83206</v>
      </c>
      <c r="F23" s="59">
        <f>(C23*1)+(D23*1)+(C8*($J$28-2))</f>
        <v>2.83206</v>
      </c>
      <c r="G23" s="59">
        <f>F23*($J$28/24*30)/30</f>
        <v>1.2980275</v>
      </c>
      <c r="H23" s="59">
        <f>G8</f>
        <v>436.2107999999999</v>
      </c>
      <c r="I23" s="107"/>
      <c r="J23" s="111">
        <f>MIN((24*(0.998*M23)/L23),24)</f>
        <v>24</v>
      </c>
      <c r="K23" s="86">
        <f>C23*J23</f>
        <v>6.179039999999999</v>
      </c>
      <c r="L23" s="50">
        <f>(C23*1)+(D23*1)+(C8*22)</f>
        <v>6.17904</v>
      </c>
      <c r="M23" s="48">
        <v>150</v>
      </c>
      <c r="N23" s="48"/>
      <c r="O23" s="48"/>
      <c r="P23" s="48"/>
      <c r="Q23" s="50"/>
      <c r="R23" s="50"/>
      <c r="S23" s="49"/>
      <c r="T23" s="48"/>
      <c r="U23" s="72"/>
    </row>
    <row r="24" ht="12.75">
      <c r="A24" s="105" t="s">
        <v>235</v>
      </c>
    </row>
    <row r="25" ht="12.75">
      <c r="A25" s="61" t="s">
        <v>274</v>
      </c>
    </row>
    <row r="26" ht="12.75">
      <c r="A26" s="61" t="s">
        <v>275</v>
      </c>
    </row>
    <row r="27" spans="1:11" ht="12.75">
      <c r="A27" s="117" t="str">
        <f>"(4) MDU calculated using MHU and "&amp;$J$28&amp;" hr/day operation."</f>
        <v>(4) MDU calculated using MHU and 11 hr/day operation.</v>
      </c>
      <c r="J27" s="112" t="str">
        <f>LEFT(J19,2)</f>
        <v>12</v>
      </c>
      <c r="K27" t="s">
        <v>237</v>
      </c>
    </row>
    <row r="28" spans="1:11" ht="12.75">
      <c r="A28" s="117" t="str">
        <f>"(5) MDC calculated as the sum of 1 startup hour, 1 shutdown hour, and "&amp;($J$28-2)&amp;" hours at normal operations."</f>
        <v>(5) MDC calculated as the sum of 1 startup hour, 1 shutdown hour, and 9 hours at normal operations.</v>
      </c>
      <c r="J28" s="48">
        <v>11</v>
      </c>
      <c r="K28" s="118" t="s">
        <v>273</v>
      </c>
    </row>
    <row r="29" ht="12.75">
      <c r="A29" s="61" t="str">
        <f>"(6) 30-DA calculated from MDC and "&amp;$J$28&amp;" hr/day operation for 30 days/month."</f>
        <v>(6) 30-DA calculated from MDC and 11 hr/day operation for 30 days/month.</v>
      </c>
    </row>
    <row r="30" ht="12.75">
      <c r="A30" s="61" t="s">
        <v>242</v>
      </c>
    </row>
    <row r="31" ht="12.75">
      <c r="A31" s="5" t="s">
        <v>232</v>
      </c>
    </row>
  </sheetData>
  <sheetProtection/>
  <printOptions/>
  <pageMargins left="0.75" right="0.75" top="1" bottom="1" header="0.5" footer="0.5"/>
  <pageSetup horizontalDpi="600" verticalDpi="600" orientation="landscape" scale="66" r:id="rId1"/>
  <headerFooter alignWithMargins="0">
    <oddFooter>&amp;CSCE Mira Loma Peaker Project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60" zoomScaleNormal="75" zoomScalePageLayoutView="0" workbookViewId="0" topLeftCell="A18">
      <pane xSplit="1" topLeftCell="B1" activePane="topRight" state="frozen"/>
      <selection pane="topLeft" activeCell="A1" sqref="A1"/>
      <selection pane="topRight" activeCell="D18" sqref="D18"/>
    </sheetView>
  </sheetViews>
  <sheetFormatPr defaultColWidth="9.140625" defaultRowHeight="12.75"/>
  <cols>
    <col min="1" max="1" width="12.00390625" style="0" customWidth="1"/>
    <col min="2" max="2" width="20.57421875" style="0" customWidth="1"/>
    <col min="3" max="7" width="17.421875" style="0" customWidth="1"/>
    <col min="8" max="13" width="11.7109375" style="0" customWidth="1"/>
    <col min="14" max="14" width="11.57421875" style="0" customWidth="1"/>
    <col min="15" max="15" width="11.28125" style="0" customWidth="1"/>
  </cols>
  <sheetData>
    <row r="1" ht="12.75">
      <c r="A1" s="2" t="s">
        <v>379</v>
      </c>
    </row>
    <row r="2" spans="1:9" ht="12.75">
      <c r="A2" s="2" t="s">
        <v>265</v>
      </c>
      <c r="I2" t="s">
        <v>208</v>
      </c>
    </row>
    <row r="3" spans="1:15" ht="39">
      <c r="A3" s="1" t="s">
        <v>4</v>
      </c>
      <c r="B3" s="1" t="s">
        <v>101</v>
      </c>
      <c r="C3" s="1" t="s">
        <v>102</v>
      </c>
      <c r="D3" s="1" t="s">
        <v>103</v>
      </c>
      <c r="E3" s="1" t="s">
        <v>104</v>
      </c>
      <c r="F3" s="46"/>
      <c r="G3" s="69"/>
      <c r="H3" s="69"/>
      <c r="I3" s="83" t="s">
        <v>207</v>
      </c>
      <c r="J3" s="83" t="s">
        <v>211</v>
      </c>
      <c r="K3" s="83" t="s">
        <v>212</v>
      </c>
      <c r="L3" s="83"/>
      <c r="M3" s="46"/>
      <c r="N3" s="46"/>
      <c r="O3" s="69"/>
    </row>
    <row r="4" spans="1:15" ht="12.75">
      <c r="A4" s="57" t="s">
        <v>43</v>
      </c>
      <c r="B4" s="59" t="s">
        <v>108</v>
      </c>
      <c r="C4" s="59" t="s">
        <v>108</v>
      </c>
      <c r="D4" s="59">
        <v>4.2</v>
      </c>
      <c r="E4" s="59" t="s">
        <v>105</v>
      </c>
      <c r="F4" s="48"/>
      <c r="G4" s="73"/>
      <c r="H4" s="73"/>
      <c r="I4" s="104">
        <f>D4*453.6/3600</f>
        <v>0.5292</v>
      </c>
      <c r="J4" s="104"/>
      <c r="K4" s="104"/>
      <c r="L4" s="70"/>
      <c r="M4" s="49"/>
      <c r="N4" s="48"/>
      <c r="O4" s="52"/>
    </row>
    <row r="5" spans="1:15" ht="12.75">
      <c r="A5" s="57" t="s">
        <v>44</v>
      </c>
      <c r="B5" s="59" t="s">
        <v>108</v>
      </c>
      <c r="C5" s="59" t="s">
        <v>108</v>
      </c>
      <c r="D5" s="59">
        <v>6.2</v>
      </c>
      <c r="E5" s="59" t="s">
        <v>105</v>
      </c>
      <c r="F5" s="48"/>
      <c r="G5" s="73"/>
      <c r="H5" s="73"/>
      <c r="I5" s="104">
        <f>D5*453.6/3600</f>
        <v>0.7812</v>
      </c>
      <c r="J5" s="104"/>
      <c r="K5" s="104">
        <f>I5</f>
        <v>0.7812</v>
      </c>
      <c r="L5" s="71"/>
      <c r="M5" s="49"/>
      <c r="N5" s="48"/>
      <c r="O5" s="72"/>
    </row>
    <row r="6" spans="1:15" ht="15">
      <c r="A6" s="57" t="s">
        <v>46</v>
      </c>
      <c r="B6" s="59" t="s">
        <v>108</v>
      </c>
      <c r="C6" s="59" t="s">
        <v>108</v>
      </c>
      <c r="D6" s="59">
        <f>4+(2*D8)</f>
        <v>4.51492</v>
      </c>
      <c r="E6" s="59" t="s">
        <v>293</v>
      </c>
      <c r="F6" s="48"/>
      <c r="G6" s="50"/>
      <c r="H6" s="50"/>
      <c r="I6" s="104"/>
      <c r="J6" s="104"/>
      <c r="K6" s="104"/>
      <c r="L6" s="71"/>
      <c r="M6" s="49"/>
      <c r="N6" s="48"/>
      <c r="O6" s="72"/>
    </row>
    <row r="7" spans="1:15" ht="12.75">
      <c r="A7" s="74" t="s">
        <v>216</v>
      </c>
      <c r="B7" s="59" t="s">
        <v>108</v>
      </c>
      <c r="C7" s="59" t="s">
        <v>108</v>
      </c>
      <c r="D7" s="75">
        <v>1.28</v>
      </c>
      <c r="E7" s="59" t="s">
        <v>105</v>
      </c>
      <c r="F7" s="71"/>
      <c r="G7" s="73"/>
      <c r="H7" s="73"/>
      <c r="I7" s="104"/>
      <c r="J7" s="48"/>
      <c r="K7" s="48"/>
      <c r="L7" s="70"/>
      <c r="M7" s="49"/>
      <c r="N7" s="48"/>
      <c r="O7" s="72"/>
    </row>
    <row r="8" spans="1:15" ht="15">
      <c r="A8" s="57" t="s">
        <v>107</v>
      </c>
      <c r="B8" s="62">
        <v>0.0006</v>
      </c>
      <c r="C8" s="6" t="s">
        <v>109</v>
      </c>
      <c r="D8" s="59">
        <f>'Supplemental Info'!$A$3*'LM6000 Criteria Hourly'!B8</f>
        <v>0.25745999999999997</v>
      </c>
      <c r="E8" s="59" t="s">
        <v>106</v>
      </c>
      <c r="F8" s="48"/>
      <c r="G8" s="50"/>
      <c r="H8" s="50"/>
      <c r="I8" s="104">
        <f>D8*453.6/3600</f>
        <v>0.03243996</v>
      </c>
      <c r="J8" s="104">
        <f>I8</f>
        <v>0.03243996</v>
      </c>
      <c r="K8" s="104"/>
      <c r="L8" s="70"/>
      <c r="M8" s="49"/>
      <c r="N8" s="48"/>
      <c r="O8" s="72"/>
    </row>
    <row r="9" spans="1:14" ht="12.75">
      <c r="A9" t="s">
        <v>129</v>
      </c>
      <c r="M9" s="52"/>
      <c r="N9" s="47"/>
    </row>
    <row r="10" spans="1:14" ht="12.75">
      <c r="A10" t="s">
        <v>294</v>
      </c>
      <c r="M10" s="52"/>
      <c r="N10" s="47"/>
    </row>
    <row r="12" ht="12.75">
      <c r="A12" s="2" t="s">
        <v>380</v>
      </c>
    </row>
    <row r="13" ht="12.75">
      <c r="A13" s="2" t="s">
        <v>266</v>
      </c>
    </row>
    <row r="14" spans="1:11" ht="42">
      <c r="A14" s="1" t="s">
        <v>4</v>
      </c>
      <c r="B14" s="1" t="s">
        <v>113</v>
      </c>
      <c r="C14" s="1" t="s">
        <v>110</v>
      </c>
      <c r="D14" s="1" t="s">
        <v>114</v>
      </c>
      <c r="E14" s="46"/>
      <c r="I14" s="83" t="s">
        <v>207</v>
      </c>
      <c r="J14" s="83" t="s">
        <v>211</v>
      </c>
      <c r="K14" s="83" t="s">
        <v>212</v>
      </c>
    </row>
    <row r="15" spans="1:11" ht="12.75">
      <c r="A15" s="57" t="s">
        <v>43</v>
      </c>
      <c r="B15" s="59">
        <v>4.3</v>
      </c>
      <c r="C15" s="60">
        <v>12</v>
      </c>
      <c r="D15" s="59">
        <f>B15+(D4/60*(60-C15))</f>
        <v>7.66</v>
      </c>
      <c r="E15" s="50"/>
      <c r="I15" s="104">
        <f>D15*453.6/3600</f>
        <v>0.96516</v>
      </c>
      <c r="J15" s="104"/>
      <c r="K15" s="104"/>
    </row>
    <row r="16" spans="1:11" ht="12.75">
      <c r="A16" s="57" t="s">
        <v>44</v>
      </c>
      <c r="B16" s="59">
        <v>3.7</v>
      </c>
      <c r="C16" s="60">
        <v>12</v>
      </c>
      <c r="D16" s="59">
        <f>B16+(D5/60*(60-C16))</f>
        <v>8.66</v>
      </c>
      <c r="E16" s="50"/>
      <c r="I16" s="104">
        <f>D16*453.6/3600</f>
        <v>1.0911600000000001</v>
      </c>
      <c r="J16" s="104"/>
      <c r="K16" s="104">
        <f>((I16*1)+(I5*7))/8</f>
        <v>0.819945</v>
      </c>
    </row>
    <row r="17" spans="1:11" ht="12.75">
      <c r="A17" s="57" t="s">
        <v>46</v>
      </c>
      <c r="B17" s="59">
        <f>D6*12/60</f>
        <v>0.902984</v>
      </c>
      <c r="C17" s="60">
        <v>12</v>
      </c>
      <c r="D17" s="59">
        <f>B17+(D6/60*(60-C17))</f>
        <v>4.51492</v>
      </c>
      <c r="E17" s="50"/>
      <c r="I17" s="104"/>
      <c r="J17" s="104"/>
      <c r="K17" s="104"/>
    </row>
    <row r="18" spans="1:11" ht="12.75">
      <c r="A18" s="74" t="s">
        <v>216</v>
      </c>
      <c r="B18" s="59">
        <f>((B44/60)*6.5)+(D7/60*(12-6.5))</f>
        <v>0.3252293853073463</v>
      </c>
      <c r="C18" s="60">
        <v>12</v>
      </c>
      <c r="D18" s="59">
        <f>B18+(D7/60*(60-C18))</f>
        <v>1.3492293853073463</v>
      </c>
      <c r="E18" s="50"/>
      <c r="I18" s="104"/>
      <c r="J18" s="104"/>
      <c r="K18" s="104"/>
    </row>
    <row r="19" spans="1:11" ht="12.75">
      <c r="A19" s="57" t="s">
        <v>45</v>
      </c>
      <c r="B19" s="59">
        <f>D8*12/60</f>
        <v>0.05149199999999999</v>
      </c>
      <c r="C19" s="60">
        <v>12</v>
      </c>
      <c r="D19" s="59">
        <f>B19+(D8/60*(60-C19))</f>
        <v>0.25745999999999997</v>
      </c>
      <c r="E19" s="50"/>
      <c r="I19" s="104">
        <f>D19*453.6/3600</f>
        <v>0.03243996</v>
      </c>
      <c r="J19" s="104">
        <f>I19/3</f>
        <v>0.01081332</v>
      </c>
      <c r="K19" s="104"/>
    </row>
    <row r="20" spans="1:5" ht="12.75">
      <c r="A20" t="s">
        <v>387</v>
      </c>
      <c r="B20" s="50"/>
      <c r="C20" s="51"/>
      <c r="D20" s="50"/>
      <c r="E20" s="50"/>
    </row>
    <row r="21" spans="1:5" ht="12.75">
      <c r="A21" t="s">
        <v>217</v>
      </c>
      <c r="B21" s="50"/>
      <c r="C21" s="51"/>
      <c r="D21" s="50"/>
      <c r="E21" s="50"/>
    </row>
    <row r="22" spans="1:5" ht="12.75">
      <c r="A22" t="s">
        <v>205</v>
      </c>
      <c r="B22" s="50"/>
      <c r="C22" s="51"/>
      <c r="D22" s="50"/>
      <c r="E22" s="50"/>
    </row>
    <row r="23" ht="12.75">
      <c r="A23" t="s">
        <v>115</v>
      </c>
    </row>
    <row r="25" ht="12.75">
      <c r="A25" s="2" t="s">
        <v>381</v>
      </c>
    </row>
    <row r="26" ht="12.75">
      <c r="A26" s="2" t="s">
        <v>257</v>
      </c>
    </row>
    <row r="27" spans="1:5" ht="42">
      <c r="A27" s="1" t="s">
        <v>4</v>
      </c>
      <c r="B27" s="1" t="s">
        <v>118</v>
      </c>
      <c r="C27" s="1" t="s">
        <v>219</v>
      </c>
      <c r="D27" s="1" t="s">
        <v>114</v>
      </c>
      <c r="E27" s="46"/>
    </row>
    <row r="28" spans="1:5" ht="12.75">
      <c r="A28" s="57" t="s">
        <v>43</v>
      </c>
      <c r="B28" s="59">
        <v>2.8</v>
      </c>
      <c r="C28" s="60">
        <v>8</v>
      </c>
      <c r="D28" s="59">
        <f>B28+(D4/60*(60-C28))</f>
        <v>6.44</v>
      </c>
      <c r="E28" s="50"/>
    </row>
    <row r="29" spans="1:5" ht="12.75">
      <c r="A29" s="57" t="s">
        <v>44</v>
      </c>
      <c r="B29" s="59">
        <v>2.4</v>
      </c>
      <c r="C29" s="60">
        <v>8</v>
      </c>
      <c r="D29" s="59">
        <f>B29+(D5/60*(60-C29))</f>
        <v>7.773333333333333</v>
      </c>
      <c r="E29" s="50"/>
    </row>
    <row r="30" spans="1:5" ht="12.75">
      <c r="A30" s="57" t="s">
        <v>46</v>
      </c>
      <c r="B30" s="59">
        <f>D6*8/60</f>
        <v>0.6019893333333334</v>
      </c>
      <c r="C30" s="60">
        <v>8</v>
      </c>
      <c r="D30" s="59">
        <f>B30+(D6/60*(60-C30))</f>
        <v>4.51492</v>
      </c>
      <c r="E30" s="50"/>
    </row>
    <row r="31" spans="1:5" ht="12.75">
      <c r="A31" s="74" t="s">
        <v>216</v>
      </c>
      <c r="B31" s="59">
        <f>((B44/60)*(C31-2.5)+(D7/60*2.5))</f>
        <v>0.2292453773113443</v>
      </c>
      <c r="C31" s="60">
        <v>8</v>
      </c>
      <c r="D31" s="59">
        <f>B31+(D7/60*(60-C31))</f>
        <v>1.3385787106446776</v>
      </c>
      <c r="E31" s="50"/>
    </row>
    <row r="32" spans="1:5" ht="12.75">
      <c r="A32" s="57" t="s">
        <v>45</v>
      </c>
      <c r="B32" s="59">
        <f>D8*8/60</f>
        <v>0.034328</v>
      </c>
      <c r="C32" s="60">
        <v>8</v>
      </c>
      <c r="D32" s="59">
        <f>B32+(D8/60*(60-C32))</f>
        <v>0.25746</v>
      </c>
      <c r="E32" s="50"/>
    </row>
    <row r="33" spans="1:5" ht="12.75">
      <c r="A33" t="s">
        <v>388</v>
      </c>
      <c r="B33" s="50"/>
      <c r="C33" s="51"/>
      <c r="D33" s="50"/>
      <c r="E33" s="50"/>
    </row>
    <row r="34" spans="1:5" ht="12.75">
      <c r="A34" t="s">
        <v>217</v>
      </c>
      <c r="B34" s="50"/>
      <c r="C34" s="51"/>
      <c r="D34" s="50"/>
      <c r="E34" s="50"/>
    </row>
    <row r="35" spans="1:5" ht="12.75">
      <c r="A35" t="s">
        <v>205</v>
      </c>
      <c r="B35" s="50"/>
      <c r="C35" s="51"/>
      <c r="D35" s="50"/>
      <c r="E35" s="50"/>
    </row>
    <row r="36" ht="12.75">
      <c r="A36" t="s">
        <v>119</v>
      </c>
    </row>
    <row r="38" ht="12.75">
      <c r="A38" s="2" t="s">
        <v>382</v>
      </c>
    </row>
    <row r="39" ht="12.75">
      <c r="A39" s="2" t="s">
        <v>258</v>
      </c>
    </row>
    <row r="40" spans="1:11" ht="54.75">
      <c r="A40" s="1" t="s">
        <v>4</v>
      </c>
      <c r="B40" s="1" t="s">
        <v>117</v>
      </c>
      <c r="C40" s="1" t="s">
        <v>99</v>
      </c>
      <c r="D40" s="1" t="s">
        <v>116</v>
      </c>
      <c r="E40" s="1" t="s">
        <v>111</v>
      </c>
      <c r="F40" s="1" t="s">
        <v>112</v>
      </c>
      <c r="I40" s="83" t="s">
        <v>207</v>
      </c>
      <c r="J40" s="83" t="s">
        <v>211</v>
      </c>
      <c r="K40" s="83" t="s">
        <v>212</v>
      </c>
    </row>
    <row r="41" spans="1:11" ht="12.75">
      <c r="A41" s="57" t="s">
        <v>43</v>
      </c>
      <c r="B41" s="59">
        <f>D41*61/25</f>
        <v>103.21199999999999</v>
      </c>
      <c r="C41" s="60">
        <v>5</v>
      </c>
      <c r="D41" s="59">
        <v>42.3</v>
      </c>
      <c r="E41" s="60">
        <v>20</v>
      </c>
      <c r="F41" s="59">
        <f>(B41*C41)+(D41*E41)</f>
        <v>1362.06</v>
      </c>
      <c r="I41" s="104">
        <f>B41*453.6/3600</f>
        <v>13.004712</v>
      </c>
      <c r="J41" s="104"/>
      <c r="K41" s="104"/>
    </row>
    <row r="42" spans="1:11" ht="12.75">
      <c r="A42" s="57" t="s">
        <v>44</v>
      </c>
      <c r="B42" s="59">
        <v>63.1</v>
      </c>
      <c r="C42" s="60">
        <v>5</v>
      </c>
      <c r="D42" s="59">
        <f>B42</f>
        <v>63.1</v>
      </c>
      <c r="E42" s="60">
        <v>20</v>
      </c>
      <c r="F42" s="59">
        <f>(B42*C42)+(D42*E42)</f>
        <v>1577.5</v>
      </c>
      <c r="I42" s="104">
        <f>B42*453.6/3600</f>
        <v>7.9506000000000006</v>
      </c>
      <c r="J42" s="104"/>
      <c r="K42" s="104">
        <f>I42</f>
        <v>7.9506000000000006</v>
      </c>
    </row>
    <row r="43" spans="1:11" ht="12.75">
      <c r="A43" s="57" t="s">
        <v>46</v>
      </c>
      <c r="B43" s="59">
        <f>D6</f>
        <v>4.51492</v>
      </c>
      <c r="C43" s="60">
        <v>5</v>
      </c>
      <c r="D43" s="59">
        <f>D6</f>
        <v>4.51492</v>
      </c>
      <c r="E43" s="60">
        <v>20</v>
      </c>
      <c r="F43" s="59">
        <f>(B43*C43)+(D43*E43)</f>
        <v>112.873</v>
      </c>
      <c r="I43" s="104"/>
      <c r="J43" s="104"/>
      <c r="K43" s="104"/>
    </row>
    <row r="44" spans="1:11" ht="12.75">
      <c r="A44" s="74" t="s">
        <v>216</v>
      </c>
      <c r="B44" s="59">
        <f>(D7/(1-0.333))</f>
        <v>1.91904047976012</v>
      </c>
      <c r="C44" s="60">
        <v>5</v>
      </c>
      <c r="D44" s="59">
        <f>B44</f>
        <v>1.91904047976012</v>
      </c>
      <c r="E44" s="60">
        <v>20</v>
      </c>
      <c r="F44" s="59">
        <f>(B44*C44)+(D44*E44)</f>
        <v>47.976011994003</v>
      </c>
      <c r="I44" s="104"/>
      <c r="J44" s="104"/>
      <c r="K44" s="104"/>
    </row>
    <row r="45" spans="1:11" ht="12.75">
      <c r="A45" s="57" t="s">
        <v>45</v>
      </c>
      <c r="B45" s="59">
        <f>D8</f>
        <v>0.25745999999999997</v>
      </c>
      <c r="C45" s="60">
        <v>5</v>
      </c>
      <c r="D45" s="59">
        <f>D8</f>
        <v>0.25745999999999997</v>
      </c>
      <c r="E45" s="60">
        <v>20</v>
      </c>
      <c r="F45" s="59">
        <f>(B45*C45)+(D45*E45)</f>
        <v>6.4365</v>
      </c>
      <c r="I45" s="104">
        <f>B45*453.6/3600</f>
        <v>0.03243996</v>
      </c>
      <c r="J45" s="104">
        <f>I45</f>
        <v>0.03243996</v>
      </c>
      <c r="K45" s="104"/>
    </row>
    <row r="46" spans="1:6" ht="12.75">
      <c r="A46" t="s">
        <v>300</v>
      </c>
      <c r="B46" s="50"/>
      <c r="C46" s="51"/>
      <c r="D46" s="50"/>
      <c r="E46" s="51"/>
      <c r="F46" s="50"/>
    </row>
    <row r="47" spans="1:6" ht="12.75">
      <c r="A47" t="s">
        <v>303</v>
      </c>
      <c r="B47" s="50"/>
      <c r="C47" s="51"/>
      <c r="D47" s="50"/>
      <c r="E47" s="51"/>
      <c r="F47" s="50"/>
    </row>
    <row r="48" spans="1:6" ht="12.75">
      <c r="A48" t="s">
        <v>304</v>
      </c>
      <c r="B48" s="50"/>
      <c r="C48" s="51"/>
      <c r="D48" s="50"/>
      <c r="E48" s="51"/>
      <c r="F48" s="50"/>
    </row>
    <row r="49" ht="12.75">
      <c r="A49" t="s">
        <v>305</v>
      </c>
    </row>
    <row r="50" ht="12.75">
      <c r="A50" t="s">
        <v>206</v>
      </c>
    </row>
    <row r="51" ht="12.75">
      <c r="A51" t="s">
        <v>306</v>
      </c>
    </row>
    <row r="52" ht="12.75">
      <c r="A52" t="s">
        <v>218</v>
      </c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Footer>&amp;CC.2-&amp;P&amp;RSCE Mira Loma Peaker Project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60" zoomScaleNormal="70" zoomScalePageLayoutView="0" workbookViewId="0" topLeftCell="A2">
      <pane xSplit="1" topLeftCell="C1" activePane="topRight" state="frozen"/>
      <selection pane="topLeft" activeCell="A1" sqref="A1"/>
      <selection pane="topRight" activeCell="G14" sqref="G14:G18"/>
    </sheetView>
  </sheetViews>
  <sheetFormatPr defaultColWidth="9.140625" defaultRowHeight="12.75"/>
  <cols>
    <col min="1" max="1" width="12.00390625" style="0" customWidth="1"/>
    <col min="2" max="6" width="17.421875" style="0" customWidth="1"/>
    <col min="7" max="8" width="11.7109375" style="0" customWidth="1"/>
    <col min="9" max="12" width="12.57421875" style="0" customWidth="1"/>
    <col min="13" max="13" width="14.00390625" style="0" customWidth="1"/>
    <col min="14" max="14" width="11.28125" style="0" customWidth="1"/>
    <col min="15" max="15" width="11.7109375" style="0" customWidth="1"/>
    <col min="16" max="16" width="11.57421875" style="0" customWidth="1"/>
    <col min="18" max="18" width="12.140625" style="0" customWidth="1"/>
  </cols>
  <sheetData>
    <row r="1" ht="12.75">
      <c r="A1" s="2" t="s">
        <v>383</v>
      </c>
    </row>
    <row r="2" ht="12.75">
      <c r="A2" s="2" t="s">
        <v>259</v>
      </c>
    </row>
    <row r="3" spans="1:16" ht="66">
      <c r="A3" s="1" t="s">
        <v>4</v>
      </c>
      <c r="B3" s="1" t="s">
        <v>97</v>
      </c>
      <c r="C3" s="1" t="s">
        <v>99</v>
      </c>
      <c r="D3" s="1" t="s">
        <v>98</v>
      </c>
      <c r="E3" s="1" t="s">
        <v>100</v>
      </c>
      <c r="F3" s="76" t="s">
        <v>39</v>
      </c>
      <c r="G3" s="76" t="s">
        <v>40</v>
      </c>
      <c r="H3" s="1" t="s">
        <v>41</v>
      </c>
      <c r="I3" s="1" t="s">
        <v>42</v>
      </c>
      <c r="J3" s="76" t="s">
        <v>138</v>
      </c>
      <c r="K3" s="76" t="s">
        <v>120</v>
      </c>
      <c r="L3" s="83"/>
      <c r="M3" s="83" t="s">
        <v>121</v>
      </c>
      <c r="N3" s="83" t="s">
        <v>120</v>
      </c>
      <c r="O3" s="46" t="s">
        <v>48</v>
      </c>
      <c r="P3" s="46" t="s">
        <v>47</v>
      </c>
    </row>
    <row r="4" spans="1:16" ht="12.75">
      <c r="A4" s="57" t="s">
        <v>43</v>
      </c>
      <c r="B4" s="59">
        <f>'LM6000 Criteria Hourly'!B41</f>
        <v>103.21199999999999</v>
      </c>
      <c r="C4" s="6">
        <v>5</v>
      </c>
      <c r="D4" s="59">
        <f>'LM6000 Criteria Hourly'!D41</f>
        <v>42.3</v>
      </c>
      <c r="E4" s="6">
        <v>20</v>
      </c>
      <c r="F4" s="75">
        <f>'LM6000 Criteria Hourly'!D15</f>
        <v>7.66</v>
      </c>
      <c r="G4" s="75">
        <f>'LM6000 Criteria Hourly'!D28</f>
        <v>6.44</v>
      </c>
      <c r="H4" s="6">
        <f>120/2</f>
        <v>60</v>
      </c>
      <c r="I4" s="59">
        <f>'LM6000 Criteria Hourly'!D4</f>
        <v>4.2</v>
      </c>
      <c r="J4" s="60">
        <f>MIN($M$4:$M$8)</f>
        <v>1331.4142857142858</v>
      </c>
      <c r="K4" s="58">
        <f>((B4*C4)+(D4*E4)+(F4*H4)+(G4*H4)+(I4*J4))/2000</f>
        <v>3.9</v>
      </c>
      <c r="L4" s="64"/>
      <c r="M4" s="84">
        <f>MIN(((3.9*2000)-(O4*2000))/I4,8760)</f>
        <v>1331.4142857142858</v>
      </c>
      <c r="N4" s="86">
        <f>((B4*C4)+(D4*E4)+(F4*H4)+(G4*H4)+(I4*M4))/2000</f>
        <v>3.9</v>
      </c>
      <c r="O4" s="49">
        <f>((B4*C4)+(D4*E4)+(F4*H4)+(G4*H4))/2000</f>
        <v>1.10403</v>
      </c>
      <c r="P4" s="48">
        <v>4</v>
      </c>
    </row>
    <row r="5" spans="1:16" ht="12.75">
      <c r="A5" s="57" t="s">
        <v>44</v>
      </c>
      <c r="B5" s="59">
        <f>'LM6000 Criteria Hourly'!B42</f>
        <v>63.1</v>
      </c>
      <c r="C5" s="6">
        <v>5</v>
      </c>
      <c r="D5" s="59">
        <f>'LM6000 Criteria Hourly'!D42</f>
        <v>63.1</v>
      </c>
      <c r="E5" s="6">
        <v>20</v>
      </c>
      <c r="F5" s="75">
        <f>'LM6000 Criteria Hourly'!D16</f>
        <v>8.66</v>
      </c>
      <c r="G5" s="75">
        <f>'LM6000 Criteria Hourly'!D29</f>
        <v>7.773333333333333</v>
      </c>
      <c r="H5" s="6">
        <f>120/2</f>
        <v>60</v>
      </c>
      <c r="I5" s="59">
        <f>'LM6000 Criteria Hourly'!D5</f>
        <v>6.2</v>
      </c>
      <c r="J5" s="60">
        <f>MIN($M$4:$M$8)</f>
        <v>1331.4142857142858</v>
      </c>
      <c r="K5" s="58">
        <f>((B5*C5)+(D5*E5)+(F5*H5)+(G5*H5)+(I5*J5))/2000</f>
        <v>5.409134285714286</v>
      </c>
      <c r="L5" s="64"/>
      <c r="M5" s="84">
        <f>MIN(((28.9*2000)-(O5*2000))/I5,8760)</f>
        <v>8760</v>
      </c>
      <c r="N5" s="86">
        <f>((B5*C5)+(D5*E5)+(F5*H5)+(G5*H5)+(I5*M5))/2000</f>
        <v>28.43775</v>
      </c>
      <c r="O5" s="49">
        <f>((B5*C5)+(D5*E5)+(F5*H5)+(G5*H5))/2000</f>
        <v>1.28175</v>
      </c>
      <c r="P5" s="48">
        <v>29</v>
      </c>
    </row>
    <row r="6" spans="1:16" ht="12.75">
      <c r="A6" s="57" t="s">
        <v>46</v>
      </c>
      <c r="B6" s="59">
        <f>'LM6000 Criteria Hourly'!B43</f>
        <v>4.51492</v>
      </c>
      <c r="C6" s="6">
        <v>5</v>
      </c>
      <c r="D6" s="59">
        <f>'LM6000 Criteria Hourly'!D43</f>
        <v>4.51492</v>
      </c>
      <c r="E6" s="6">
        <v>20</v>
      </c>
      <c r="F6" s="75">
        <f>'LM6000 Criteria Hourly'!D17</f>
        <v>4.51492</v>
      </c>
      <c r="G6" s="75">
        <f>'LM6000 Criteria Hourly'!D30</f>
        <v>4.51492</v>
      </c>
      <c r="H6" s="6">
        <f>120/2</f>
        <v>60</v>
      </c>
      <c r="I6" s="59">
        <f>'LM6000 Criteria Hourly'!D6</f>
        <v>4.51492</v>
      </c>
      <c r="J6" s="60">
        <f>MIN($M$4:$M$8)</f>
        <v>1331.4142857142858</v>
      </c>
      <c r="K6" s="58">
        <f>((B6*C6)+(D6*E6)+(F6*H6)+(G6*H6)+(I6*J6))/2000</f>
        <v>3.332946193428572</v>
      </c>
      <c r="L6" s="64"/>
      <c r="M6" s="85">
        <f>MIN(((3.9*2000)-(O6*2000))/I6,8760)</f>
        <v>1582.6053617782818</v>
      </c>
      <c r="N6" s="86">
        <f>((B6*C6)+(D6*E6)+(F6*H6)+(G6*H6)+(I6*M6))/2000</f>
        <v>3.9</v>
      </c>
      <c r="O6" s="49">
        <f>((B6*C6)+(D6*E6)+(F6*H6)+(G6*H6))/2000</f>
        <v>0.32733169999999995</v>
      </c>
      <c r="P6" s="48">
        <v>4</v>
      </c>
    </row>
    <row r="7" spans="1:16" ht="12.75">
      <c r="A7" s="74" t="s">
        <v>216</v>
      </c>
      <c r="B7" s="75">
        <f>'LM6000 Criteria Hourly'!B44</f>
        <v>1.91904047976012</v>
      </c>
      <c r="C7" s="77">
        <v>5</v>
      </c>
      <c r="D7" s="59">
        <f>'LM6000 Criteria Hourly'!D44</f>
        <v>1.91904047976012</v>
      </c>
      <c r="E7" s="77">
        <v>20</v>
      </c>
      <c r="F7" s="75">
        <f>'LM6000 Criteria Hourly'!D18</f>
        <v>1.3492293853073463</v>
      </c>
      <c r="G7" s="75">
        <f>'LM6000 Criteria Hourly'!D31</f>
        <v>1.3385787106446776</v>
      </c>
      <c r="H7" s="6">
        <f>120/2</f>
        <v>60</v>
      </c>
      <c r="I7" s="59">
        <f>'LM6000 Criteria Hourly'!D7</f>
        <v>1.28</v>
      </c>
      <c r="J7" s="60">
        <f>MIN($M$4:$M$8)</f>
        <v>1331.4142857142858</v>
      </c>
      <c r="K7" s="58">
        <f>((B7*C7)+(D7*E7)+(F7*H7)+(G7*H7)+(I7*J7))/2000</f>
        <v>0.9567273917327052</v>
      </c>
      <c r="L7" s="64"/>
      <c r="M7" s="84">
        <f>MIN(((3.9*2000)-(O7*2000))/I7,8760)</f>
        <v>5930.277736131934</v>
      </c>
      <c r="N7" s="86">
        <f>((B7*C7)+(D7*E7)+(F7*H7)+(G7*H7)+(I7*M7))/2000</f>
        <v>3.9</v>
      </c>
      <c r="O7" s="50">
        <f>((B7*C7)+(D7*E7)+(F7*H7)+(G7*H7))/2000</f>
        <v>0.10462224887556222</v>
      </c>
      <c r="P7" s="48">
        <v>4</v>
      </c>
    </row>
    <row r="8" spans="1:16" ht="12.75">
      <c r="A8" s="57" t="s">
        <v>45</v>
      </c>
      <c r="B8" s="59">
        <f>'LM6000 Criteria Hourly'!B45</f>
        <v>0.25745999999999997</v>
      </c>
      <c r="C8" s="6">
        <v>5</v>
      </c>
      <c r="D8" s="59">
        <f>'LM6000 Criteria Hourly'!D45</f>
        <v>0.25745999999999997</v>
      </c>
      <c r="E8" s="6">
        <v>20</v>
      </c>
      <c r="F8" s="75">
        <f>'LM6000 Criteria Hourly'!D19</f>
        <v>0.25745999999999997</v>
      </c>
      <c r="G8" s="75">
        <f>'LM6000 Criteria Hourly'!D32</f>
        <v>0.25746</v>
      </c>
      <c r="H8" s="6">
        <f>120/2</f>
        <v>60</v>
      </c>
      <c r="I8" s="59">
        <f>'LM6000 Criteria Hourly'!D8</f>
        <v>0.25745999999999997</v>
      </c>
      <c r="J8" s="60">
        <f>MIN($M$4:$M$8)</f>
        <v>1331.4142857142858</v>
      </c>
      <c r="K8" s="58">
        <f>((B8*C8)+(D8*E8)+(F8*H8)+(G8*H8)+(I8*J8))/2000</f>
        <v>0.190058811</v>
      </c>
      <c r="L8" s="64"/>
      <c r="M8" s="84">
        <f>MIN(((3.9*2000)-(O8*2000))/I8,8760)</f>
        <v>8760</v>
      </c>
      <c r="N8" s="86">
        <f>((B8*C8)+(D8*E8)+(F8*H8)+(G8*H8)+(I8*M8))/2000</f>
        <v>1.14634065</v>
      </c>
      <c r="O8" s="50">
        <f>((B8*C8)+(D8*E8)+(F8*H8)+(G8*H8))/2000</f>
        <v>0.018665849999999998</v>
      </c>
      <c r="P8" s="48">
        <v>4</v>
      </c>
    </row>
    <row r="9" spans="1:16" ht="12.75">
      <c r="A9" t="s">
        <v>50</v>
      </c>
      <c r="O9" s="52"/>
      <c r="P9" s="47"/>
    </row>
    <row r="11" ht="12.75">
      <c r="A11" s="2" t="s">
        <v>384</v>
      </c>
    </row>
    <row r="12" ht="12.75">
      <c r="A12" s="2" t="s">
        <v>260</v>
      </c>
    </row>
    <row r="13" spans="1:18" ht="66">
      <c r="A13" s="1" t="s">
        <v>4</v>
      </c>
      <c r="B13" s="1" t="s">
        <v>39</v>
      </c>
      <c r="C13" s="76" t="s">
        <v>40</v>
      </c>
      <c r="D13" s="1" t="s">
        <v>41</v>
      </c>
      <c r="E13" s="1" t="s">
        <v>42</v>
      </c>
      <c r="F13" s="76" t="s">
        <v>138</v>
      </c>
      <c r="G13" s="76" t="s">
        <v>120</v>
      </c>
      <c r="M13" s="83" t="s">
        <v>121</v>
      </c>
      <c r="N13" s="83" t="s">
        <v>120</v>
      </c>
      <c r="O13" s="46" t="s">
        <v>48</v>
      </c>
      <c r="P13" s="46" t="s">
        <v>47</v>
      </c>
      <c r="R13" s="46" t="s">
        <v>208</v>
      </c>
    </row>
    <row r="14" spans="1:18" ht="12.75">
      <c r="A14" s="57" t="s">
        <v>43</v>
      </c>
      <c r="B14" s="75">
        <f>'LM6000 Criteria Hourly'!D15</f>
        <v>7.66</v>
      </c>
      <c r="C14" s="75">
        <f>'LM6000 Criteria Hourly'!D28</f>
        <v>6.44</v>
      </c>
      <c r="D14" s="6">
        <v>120</v>
      </c>
      <c r="E14" s="78">
        <f>'LM6000 Criteria Hourly'!D4</f>
        <v>4.2</v>
      </c>
      <c r="F14" s="60">
        <f>MIN($M$14:$M$18)</f>
        <v>1454.2857142857142</v>
      </c>
      <c r="G14" s="58">
        <f>((B14*D14)+(C14*D14)+(E14*F14))/2000</f>
        <v>3.9</v>
      </c>
      <c r="M14" s="51">
        <f>MIN(((3.9*2000)-(O14*2000))/E14,8760)</f>
        <v>1454.2857142857142</v>
      </c>
      <c r="N14">
        <f>((B14*D14)+(C14*D14)+(E14*M14))/2000</f>
        <v>3.9</v>
      </c>
      <c r="O14" s="49">
        <f>((B14*D14)+(C14*D14))/2000</f>
        <v>0.846</v>
      </c>
      <c r="P14" s="48">
        <v>4</v>
      </c>
      <c r="R14" s="80">
        <f>G14*2000/8760*453.6/3600</f>
        <v>0.1121917808219178</v>
      </c>
    </row>
    <row r="15" spans="1:18" ht="12.75">
      <c r="A15" s="57" t="s">
        <v>44</v>
      </c>
      <c r="B15" s="75">
        <f>'LM6000 Criteria Hourly'!D16</f>
        <v>8.66</v>
      </c>
      <c r="C15" s="75">
        <f>'LM6000 Criteria Hourly'!D29</f>
        <v>7.773333333333333</v>
      </c>
      <c r="D15" s="6">
        <v>120</v>
      </c>
      <c r="E15" s="78">
        <f>'LM6000 Criteria Hourly'!D5</f>
        <v>6.2</v>
      </c>
      <c r="F15" s="60">
        <f>MIN($M$14:$M$18)</f>
        <v>1454.2857142857142</v>
      </c>
      <c r="G15" s="58">
        <f>((B15*D15)+(C15*D15)+(E15*F15))/2000</f>
        <v>5.494285714285714</v>
      </c>
      <c r="M15" s="51">
        <f>MIN(((28.9*2000)-(O15*2000))/E15,8760)</f>
        <v>8760</v>
      </c>
      <c r="N15" s="79">
        <f>((B15*D15)+(C15*D15)+(E15*M15))/2000</f>
        <v>28.142</v>
      </c>
      <c r="O15" s="49">
        <f>((B15*D15)+(C15*D15))/2000</f>
        <v>0.986</v>
      </c>
      <c r="P15" s="48">
        <v>29</v>
      </c>
      <c r="R15" s="80"/>
    </row>
    <row r="16" spans="1:18" ht="12.75">
      <c r="A16" s="57" t="s">
        <v>46</v>
      </c>
      <c r="B16" s="75">
        <f>'LM6000 Criteria Hourly'!D17</f>
        <v>4.51492</v>
      </c>
      <c r="C16" s="75">
        <f>'LM6000 Criteria Hourly'!D30</f>
        <v>4.51492</v>
      </c>
      <c r="D16" s="6">
        <v>120</v>
      </c>
      <c r="E16" s="78">
        <f>'LM6000 Criteria Hourly'!D6</f>
        <v>4.51492</v>
      </c>
      <c r="F16" s="60">
        <f>MIN($M$14:$M$18)</f>
        <v>1454.2857142857142</v>
      </c>
      <c r="G16" s="58">
        <f>((B16*D16)+(C16*D16)+(E16*F16))/2000</f>
        <v>3.8247822285714284</v>
      </c>
      <c r="M16" s="51">
        <f>MIN(((3.9*2000)-(O16*2000))/E16,8760)</f>
        <v>1487.6053617782818</v>
      </c>
      <c r="N16" s="79">
        <f>((B16*D16)+(C16*D16)+(E16*M16))/2000</f>
        <v>3.9</v>
      </c>
      <c r="O16" s="49">
        <f>((B16*D16)+(C16*D16))/2000</f>
        <v>0.5417904</v>
      </c>
      <c r="P16" s="48">
        <v>4</v>
      </c>
      <c r="R16" s="80">
        <f>G16*2000/8760*453.6/3600</f>
        <v>0.11002798191780822</v>
      </c>
    </row>
    <row r="17" spans="1:18" ht="12.75">
      <c r="A17" s="74" t="s">
        <v>216</v>
      </c>
      <c r="B17" s="75">
        <f>'LM6000 Criteria Hourly'!D18</f>
        <v>1.3492293853073463</v>
      </c>
      <c r="C17" s="75">
        <f>'LM6000 Criteria Hourly'!D31</f>
        <v>1.3385787106446776</v>
      </c>
      <c r="D17" s="6">
        <v>120</v>
      </c>
      <c r="E17" s="78">
        <f>'LM6000 Criteria Hourly'!D7</f>
        <v>1.28</v>
      </c>
      <c r="F17" s="60">
        <f>MIN($M$14:$M$18)</f>
        <v>1454.2857142857142</v>
      </c>
      <c r="G17" s="58">
        <f>((B17*D17)+(C17*D17)+(E17*F17))/2000</f>
        <v>1.0920113428999785</v>
      </c>
      <c r="M17" s="51">
        <f>MIN(((3.9*2000)-(O17*2000))/E17,8760)</f>
        <v>5841.767991004498</v>
      </c>
      <c r="N17" s="79">
        <f>((B17*D17)+(C17*D17)+(E17*M17))/2000</f>
        <v>3.9</v>
      </c>
      <c r="O17" s="49">
        <f>((B17*D17)+(C17*D17))/2000</f>
        <v>0.16126848575712144</v>
      </c>
      <c r="P17" s="48">
        <v>4</v>
      </c>
      <c r="R17" s="80"/>
    </row>
    <row r="18" spans="1:18" ht="12.75">
      <c r="A18" s="57" t="s">
        <v>45</v>
      </c>
      <c r="B18" s="75">
        <f>'LM6000 Criteria Hourly'!D19</f>
        <v>0.25745999999999997</v>
      </c>
      <c r="C18" s="75">
        <f>'LM6000 Criteria Hourly'!D32</f>
        <v>0.25746</v>
      </c>
      <c r="D18" s="6">
        <v>120</v>
      </c>
      <c r="E18" s="78">
        <f>'LM6000 Criteria Hourly'!D8</f>
        <v>0.25745999999999997</v>
      </c>
      <c r="F18" s="60">
        <f>MIN($M$14:$M$18)</f>
        <v>1454.2857142857142</v>
      </c>
      <c r="G18" s="58">
        <f>((B18*D18)+(C18*D18)+(E18*F18))/2000</f>
        <v>0.21810539999999995</v>
      </c>
      <c r="M18" s="51">
        <f>MIN(((3.9*2000)-(O18*2000))/E18,8760)</f>
        <v>8760</v>
      </c>
      <c r="N18" s="79">
        <f>((B18*D18)+(C18*D18)+(E18*M18))/2000</f>
        <v>1.1585699999999997</v>
      </c>
      <c r="O18" s="50">
        <f>((B18*D18)+(C18*D18))/2000</f>
        <v>0.030895199999999998</v>
      </c>
      <c r="P18" s="48">
        <v>4</v>
      </c>
      <c r="R18" s="80">
        <f>G18*2000/8760*453.6/3600</f>
        <v>0.006274264931506848</v>
      </c>
    </row>
    <row r="19" ht="12.75">
      <c r="A19" t="s">
        <v>49</v>
      </c>
    </row>
  </sheetData>
  <sheetProtection/>
  <printOptions/>
  <pageMargins left="0.75" right="0.75" top="1" bottom="1" header="0.5" footer="0.5"/>
  <pageSetup horizontalDpi="600" verticalDpi="600" orientation="landscape" scale="67" r:id="rId1"/>
  <headerFooter alignWithMargins="0">
    <oddFooter>&amp;CC.2-&amp;P&amp;RSCE Mira Loma Peaker Project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Catef Table</dc:title>
  <dc:subject/>
  <dc:creator>Howard Balentine</dc:creator>
  <cp:keywords/>
  <dc:description/>
  <cp:lastModifiedBy>dsasaki</cp:lastModifiedBy>
  <cp:lastPrinted>2006-12-19T23:24:39Z</cp:lastPrinted>
  <dcterms:created xsi:type="dcterms:W3CDTF">2002-10-24T18:01:01Z</dcterms:created>
  <dcterms:modified xsi:type="dcterms:W3CDTF">2014-08-06T19:35:10Z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