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20" yWindow="240" windowWidth="12120" windowHeight="9120" firstSheet="2" activeTab="2"/>
  </bookViews>
  <sheets>
    <sheet name="Site 1 (3)" sheetId="1" state="hidden" r:id="rId1"/>
    <sheet name="Site 1 (2)" sheetId="2" state="hidden" r:id="rId2"/>
    <sheet name="Mira Loma" sheetId="3" r:id="rId3"/>
    <sheet name="NOx Mitigation" sheetId="4" r:id="rId4"/>
    <sheet name="Const. Equip. EFs" sheetId="5" r:id="rId5"/>
    <sheet name="2007" sheetId="6" r:id="rId6"/>
    <sheet name="Vehicle EFs" sheetId="7" r:id="rId7"/>
    <sheet name="Fug. PM10 EFs" sheetId="8" r:id="rId8"/>
    <sheet name="Cumulative" sheetId="9" r:id="rId9"/>
    <sheet name="Fuel" sheetId="10" r:id="rId10"/>
  </sheets>
  <definedNames>
    <definedName name="_Regression_Out" hidden="1">#REF!</definedName>
    <definedName name="_Regression_X" hidden="1">#REF!</definedName>
    <definedName name="_Regression_Y" hidden="1">#REF!</definedName>
    <definedName name="abc" localSheetId="8" hidden="1">{#N/A,#N/A,TRUE,"VII - Seperator"}</definedName>
    <definedName name="abc" localSheetId="9" hidden="1">{#N/A,#N/A,TRUE,"VII - Seperator"}</definedName>
    <definedName name="abc" localSheetId="7" hidden="1">{#N/A,#N/A,TRUE,"VII - Seperator"}</definedName>
    <definedName name="abc" localSheetId="2" hidden="1">{#N/A,#N/A,TRUE,"VII - Seperator"}</definedName>
    <definedName name="abc" localSheetId="3" hidden="1">{#N/A,#N/A,TRUE,"VII - Seperator"}</definedName>
    <definedName name="abc" localSheetId="1" hidden="1">{#N/A,#N/A,TRUE,"VII - Seperator"}</definedName>
    <definedName name="abc" localSheetId="0" hidden="1">{#N/A,#N/A,TRUE,"VII - Seperator"}</definedName>
    <definedName name="abc" localSheetId="6" hidden="1">{#N/A,#N/A,TRUE,"VII - Seperator"}</definedName>
    <definedName name="abc" hidden="1">{#N/A,#N/A,TRUE,"VII - Seperator"}</definedName>
    <definedName name="abcdef" localSheetId="8" hidden="1">{#N/A,#N/A,TRUE,"VIII - FUGITIVE"}</definedName>
    <definedName name="abcdef" localSheetId="9" hidden="1">{#N/A,#N/A,TRUE,"VIII - FUGITIVE"}</definedName>
    <definedName name="abcdef" localSheetId="7" hidden="1">{#N/A,#N/A,TRUE,"VIII - FUGITIVE"}</definedName>
    <definedName name="abcdef" localSheetId="2" hidden="1">{#N/A,#N/A,TRUE,"VIII - FUGITIVE"}</definedName>
    <definedName name="abcdef" localSheetId="3" hidden="1">{#N/A,#N/A,TRUE,"VIII - FUGITIVE"}</definedName>
    <definedName name="abcdef" localSheetId="1" hidden="1">{#N/A,#N/A,TRUE,"VIII - FUGITIVE"}</definedName>
    <definedName name="abcdef" localSheetId="0" hidden="1">{#N/A,#N/A,TRUE,"VIII - FUGITIVE"}</definedName>
    <definedName name="abcdef" localSheetId="6" hidden="1">{#N/A,#N/A,TRUE,"VIII - FUGITIVE"}</definedName>
    <definedName name="abcdef" hidden="1">{#N/A,#N/A,TRUE,"VIII - FUGITIVE"}</definedName>
    <definedName name="dddddddddddddddd" localSheetId="8" hidden="1">{#N/A,#N/A,TRUE,"IX - Fitfact"}</definedName>
    <definedName name="dddddddddddddddd" localSheetId="9" hidden="1">{#N/A,#N/A,TRUE,"IX - Fitfact"}</definedName>
    <definedName name="dddddddddddddddd" localSheetId="7" hidden="1">{#N/A,#N/A,TRUE,"IX - Fitfact"}</definedName>
    <definedName name="dddddddddddddddd" localSheetId="2" hidden="1">{#N/A,#N/A,TRUE,"IX - Fitfact"}</definedName>
    <definedName name="dddddddddddddddd" localSheetId="3" hidden="1">{#N/A,#N/A,TRUE,"IX - Fitfact"}</definedName>
    <definedName name="dddddddddddddddd" localSheetId="1" hidden="1">{#N/A,#N/A,TRUE,"IX - Fitfact"}</definedName>
    <definedName name="dddddddddddddddd" localSheetId="0" hidden="1">{#N/A,#N/A,TRUE,"IX - Fitfact"}</definedName>
    <definedName name="dddddddddddddddd" localSheetId="6" hidden="1">{#N/A,#N/A,TRUE,"IX - Fitfact"}</definedName>
    <definedName name="dddddddddddddddd" hidden="1">{#N/A,#N/A,TRUE,"IX - Fitfact"}</definedName>
    <definedName name="def" localSheetId="8" hidden="1">{#N/A,#N/A,TRUE,"VI - Marine Load Loss";#N/A,#N/A,TRUE,"VI - Crane ICE"}</definedName>
    <definedName name="def" localSheetId="9" hidden="1">{#N/A,#N/A,TRUE,"VI - Marine Load Loss";#N/A,#N/A,TRUE,"VI - Crane ICE"}</definedName>
    <definedName name="def" localSheetId="7" hidden="1">{#N/A,#N/A,TRUE,"VI - Marine Load Loss";#N/A,#N/A,TRUE,"VI - Crane ICE"}</definedName>
    <definedName name="def" localSheetId="2" hidden="1">{#N/A,#N/A,TRUE,"VI - Marine Load Loss";#N/A,#N/A,TRUE,"VI - Crane ICE"}</definedName>
    <definedName name="def" localSheetId="3" hidden="1">{#N/A,#N/A,TRUE,"VI - Marine Load Loss";#N/A,#N/A,TRUE,"VI - Crane ICE"}</definedName>
    <definedName name="def" localSheetId="1" hidden="1">{#N/A,#N/A,TRUE,"VI - Marine Load Loss";#N/A,#N/A,TRUE,"VI - Crane ICE"}</definedName>
    <definedName name="def" localSheetId="0" hidden="1">{#N/A,#N/A,TRUE,"VI - Marine Load Loss";#N/A,#N/A,TRUE,"VI - Crane ICE"}</definedName>
    <definedName name="def" localSheetId="6" hidden="1">{#N/A,#N/A,TRUE,"VI - Marine Load Loss";#N/A,#N/A,TRUE,"VI - Crane ICE"}</definedName>
    <definedName name="def" hidden="1">{#N/A,#N/A,TRUE,"VI - Marine Load Loss";#N/A,#N/A,TRUE,"VI - Crane ICE"}</definedName>
    <definedName name="ghi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9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hijk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9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iiiiiiiiiii" localSheetId="8" hidden="1">{#N/A,#N/A,TRUE,"X - Fitfact EX"}</definedName>
    <definedName name="iiiiiiiiiii" localSheetId="9" hidden="1">{#N/A,#N/A,TRUE,"X - Fitfact EX"}</definedName>
    <definedName name="iiiiiiiiiii" localSheetId="7" hidden="1">{#N/A,#N/A,TRUE,"X - Fitfact EX"}</definedName>
    <definedName name="iiiiiiiiiii" localSheetId="2" hidden="1">{#N/A,#N/A,TRUE,"X - Fitfact EX"}</definedName>
    <definedName name="iiiiiiiiiii" localSheetId="3" hidden="1">{#N/A,#N/A,TRUE,"X - Fitfact EX"}</definedName>
    <definedName name="iiiiiiiiiii" localSheetId="1" hidden="1">{#N/A,#N/A,TRUE,"X - Fitfact EX"}</definedName>
    <definedName name="iiiiiiiiiii" localSheetId="0" hidden="1">{#N/A,#N/A,TRUE,"X - Fitfact EX"}</definedName>
    <definedName name="iiiiiiiiiii" localSheetId="6" hidden="1">{#N/A,#N/A,TRUE,"X - Fitfact EX"}</definedName>
    <definedName name="iiiiiiiiiii" hidden="1">{#N/A,#N/A,TRUE,"X - Fitfact EX"}</definedName>
    <definedName name="kk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9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lmno" localSheetId="8" hidden="1">{#N/A,#N/A,TRUE,"V - Loading Input";#N/A,#N/A,TRUE,"V - Tanker Fugitives";#N/A,#N/A,TRUE,"V - Truck Loading";#N/A,#N/A,TRUE,"V - Pumpback";#N/A,#N/A,TRUE,"V - TruckFuel"}</definedName>
    <definedName name="lmno" localSheetId="9" hidden="1">{#N/A,#N/A,TRUE,"V - Loading Input";#N/A,#N/A,TRUE,"V - Tanker Fugitives";#N/A,#N/A,TRUE,"V - Truck Loading";#N/A,#N/A,TRUE,"V - Pumpback";#N/A,#N/A,TRUE,"V - TruckFuel"}</definedName>
    <definedName name="lmno" localSheetId="7" hidden="1">{#N/A,#N/A,TRUE,"V - Loading Input";#N/A,#N/A,TRUE,"V - Tanker Fugitives";#N/A,#N/A,TRUE,"V - Truck Loading";#N/A,#N/A,TRUE,"V - Pumpback";#N/A,#N/A,TRUE,"V - TruckFuel"}</definedName>
    <definedName name="lmno" localSheetId="2" hidden="1">{#N/A,#N/A,TRUE,"V - Loading Input";#N/A,#N/A,TRUE,"V - Tanker Fugitives";#N/A,#N/A,TRUE,"V - Truck Loading";#N/A,#N/A,TRUE,"V - Pumpback";#N/A,#N/A,TRUE,"V - TruckFuel"}</definedName>
    <definedName name="lmno" localSheetId="3" hidden="1">{#N/A,#N/A,TRUE,"V - Loading Input";#N/A,#N/A,TRUE,"V - Tanker Fugitives";#N/A,#N/A,TRUE,"V - Truck Loading";#N/A,#N/A,TRUE,"V - Pumpback";#N/A,#N/A,TRUE,"V - TruckFuel"}</definedName>
    <definedName name="lmno" localSheetId="1" hidden="1">{#N/A,#N/A,TRUE,"V - Loading Input";#N/A,#N/A,TRUE,"V - Tanker Fugitives";#N/A,#N/A,TRUE,"V - Truck Loading";#N/A,#N/A,TRUE,"V - Pumpback";#N/A,#N/A,TRUE,"V - TruckFuel"}</definedName>
    <definedName name="lmno" localSheetId="0" hidden="1">{#N/A,#N/A,TRUE,"V - Loading Input";#N/A,#N/A,TRUE,"V - Tanker Fugitives";#N/A,#N/A,TRUE,"V - Truck Loading";#N/A,#N/A,TRUE,"V - Pumpback";#N/A,#N/A,TRUE,"V - TruckFuel"}</definedName>
    <definedName name="lmno" localSheetId="6" hidden="1">{#N/A,#N/A,TRUE,"V - Loading Input";#N/A,#N/A,TRUE,"V - Tanker Fugitives";#N/A,#N/A,TRUE,"V - Truck Loading";#N/A,#N/A,TRUE,"V - Pumpback";#N/A,#N/A,TRUE,"V - TruckFuel"}</definedName>
    <definedName name="lmno" hidden="1">{#N/A,#N/A,TRUE,"V - Loading Input";#N/A,#N/A,TRUE,"V - Tanker Fugitives";#N/A,#N/A,TRUE,"V - Truck Loading";#N/A,#N/A,TRUE,"V - Pumpback";#N/A,#N/A,TRUE,"V - TruckFuel"}</definedName>
    <definedName name="ppppppppppppp" localSheetId="8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9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7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2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3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1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0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6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_xlnm.Print_Titles" localSheetId="5">'2007'!$5:$8</definedName>
    <definedName name="_xlnm.Print_Titles" localSheetId="4">'Const. Equip. EFs'!$2:$4</definedName>
    <definedName name="qqqqqqqqq" localSheetId="8" hidden="1">{#N/A,#N/A,TRUE,"I - Cover";#N/A,#N/A,TRUE,"I - Instructions";#N/A,#N/A,TRUE,"I - Linked Spreadsheet-Overview"}</definedName>
    <definedName name="qqqqqqqqq" localSheetId="9" hidden="1">{#N/A,#N/A,TRUE,"I - Cover";#N/A,#N/A,TRUE,"I - Instructions";#N/A,#N/A,TRUE,"I - Linked Spreadsheet-Overview"}</definedName>
    <definedName name="qqqqqqqqq" localSheetId="7" hidden="1">{#N/A,#N/A,TRUE,"I - Cover";#N/A,#N/A,TRUE,"I - Instructions";#N/A,#N/A,TRUE,"I - Linked Spreadsheet-Overview"}</definedName>
    <definedName name="qqqqqqqqq" localSheetId="2" hidden="1">{#N/A,#N/A,TRUE,"I - Cover";#N/A,#N/A,TRUE,"I - Instructions";#N/A,#N/A,TRUE,"I - Linked Spreadsheet-Overview"}</definedName>
    <definedName name="qqqqqqqqq" localSheetId="3" hidden="1">{#N/A,#N/A,TRUE,"I - Cover";#N/A,#N/A,TRUE,"I - Instructions";#N/A,#N/A,TRUE,"I - Linked Spreadsheet-Overview"}</definedName>
    <definedName name="qqqqqqqqq" localSheetId="1" hidden="1">{#N/A,#N/A,TRUE,"I - Cover";#N/A,#N/A,TRUE,"I - Instructions";#N/A,#N/A,TRUE,"I - Linked Spreadsheet-Overview"}</definedName>
    <definedName name="qqqqqqqqq" localSheetId="0" hidden="1">{#N/A,#N/A,TRUE,"I - Cover";#N/A,#N/A,TRUE,"I - Instructions";#N/A,#N/A,TRUE,"I - Linked Spreadsheet-Overview"}</definedName>
    <definedName name="qqqqqqqqq" localSheetId="6" hidden="1">{#N/A,#N/A,TRUE,"I - Cover";#N/A,#N/A,TRUE,"I - Instructions";#N/A,#N/A,TRUE,"I - Linked Spreadsheet-Overview"}</definedName>
    <definedName name="qqqqqqqqq" hidden="1">{#N/A,#N/A,TRUE,"I - Cover";#N/A,#N/A,TRUE,"I - Instructions";#N/A,#N/A,TRUE,"I - Linked Spreadsheet-Overview"}</definedName>
    <definedName name="qqqqqqqqqqqq" localSheetId="8" hidden="1">{#N/A,#N/A,TRUE,"Input Volume";#N/A,#N/A,TRUE,"EFR Roof Fitting";#N/A,#N/A,TRUE,"EFR Withdrawl";#N/A,#N/A,TRUE,"EFR Calcs";#N/A,#N/A,TRUE,"VFR_Calcs"}</definedName>
    <definedName name="qqqqqqqqqqqq" localSheetId="9" hidden="1">{#N/A,#N/A,TRUE,"Input Volume";#N/A,#N/A,TRUE,"EFR Roof Fitting";#N/A,#N/A,TRUE,"EFR Withdrawl";#N/A,#N/A,TRUE,"EFR Calcs";#N/A,#N/A,TRUE,"VFR_Calcs"}</definedName>
    <definedName name="qqqqqqqqqqqq" localSheetId="7" hidden="1">{#N/A,#N/A,TRUE,"Input Volume";#N/A,#N/A,TRUE,"EFR Roof Fitting";#N/A,#N/A,TRUE,"EFR Withdrawl";#N/A,#N/A,TRUE,"EFR Calcs";#N/A,#N/A,TRUE,"VFR_Calcs"}</definedName>
    <definedName name="qqqqqqqqqqqq" localSheetId="2" hidden="1">{#N/A,#N/A,TRUE,"Input Volume";#N/A,#N/A,TRUE,"EFR Roof Fitting";#N/A,#N/A,TRUE,"EFR Withdrawl";#N/A,#N/A,TRUE,"EFR Calcs";#N/A,#N/A,TRUE,"VFR_Calcs"}</definedName>
    <definedName name="qqqqqqqqqqqq" localSheetId="3" hidden="1">{#N/A,#N/A,TRUE,"Input Volume";#N/A,#N/A,TRUE,"EFR Roof Fitting";#N/A,#N/A,TRUE,"EFR Withdrawl";#N/A,#N/A,TRUE,"EFR Calcs";#N/A,#N/A,TRUE,"VFR_Calcs"}</definedName>
    <definedName name="qqqqqqqqqqqq" localSheetId="1" hidden="1">{#N/A,#N/A,TRUE,"Input Volume";#N/A,#N/A,TRUE,"EFR Roof Fitting";#N/A,#N/A,TRUE,"EFR Withdrawl";#N/A,#N/A,TRUE,"EFR Calcs";#N/A,#N/A,TRUE,"VFR_Calcs"}</definedName>
    <definedName name="qqqqqqqqqqqq" localSheetId="0" hidden="1">{#N/A,#N/A,TRUE,"Input Volume";#N/A,#N/A,TRUE,"EFR Roof Fitting";#N/A,#N/A,TRUE,"EFR Withdrawl";#N/A,#N/A,TRUE,"EFR Calcs";#N/A,#N/A,TRUE,"VFR_Calcs"}</definedName>
    <definedName name="qqqqqqqqqqqq" localSheetId="6" hidden="1">{#N/A,#N/A,TRUE,"Input Volume";#N/A,#N/A,TRUE,"EFR Roof Fitting";#N/A,#N/A,TRUE,"EFR Withdrawl";#N/A,#N/A,TRUE,"EFR Calcs";#N/A,#N/A,TRUE,"VFR_Calcs"}</definedName>
    <definedName name="qqqqqqqqqqqq" hidden="1">{#N/A,#N/A,TRUE,"Input Volume";#N/A,#N/A,TRUE,"EFR Roof Fitting";#N/A,#N/A,TRUE,"EFR Withdrawl";#N/A,#N/A,TRUE,"EFR Calcs";#N/A,#N/A,TRUE,"VFR_Calcs"}</definedName>
    <definedName name="qqqqqqqqqqqqqqqqqqqqqqqqqqqqqqqq" localSheetId="8" hidden="1">{#N/A,#N/A,TRUE,"VII - Seperator"}</definedName>
    <definedName name="qqqqqqqqqqqqqqqqqqqqqqqqqqqqqqqq" localSheetId="9" hidden="1">{#N/A,#N/A,TRUE,"VII - Seperator"}</definedName>
    <definedName name="qqqqqqqqqqqqqqqqqqqqqqqqqqqqqqqq" localSheetId="7" hidden="1">{#N/A,#N/A,TRUE,"VII - Seperator"}</definedName>
    <definedName name="qqqqqqqqqqqqqqqqqqqqqqqqqqqqqqqq" localSheetId="2" hidden="1">{#N/A,#N/A,TRUE,"VII - Seperator"}</definedName>
    <definedName name="qqqqqqqqqqqqqqqqqqqqqqqqqqqqqqqq" localSheetId="3" hidden="1">{#N/A,#N/A,TRUE,"VII - Seperator"}</definedName>
    <definedName name="qqqqqqqqqqqqqqqqqqqqqqqqqqqqqqqq" localSheetId="1" hidden="1">{#N/A,#N/A,TRUE,"VII - Seperator"}</definedName>
    <definedName name="qqqqqqqqqqqqqqqqqqqqqqqqqqqqqqqq" localSheetId="0" hidden="1">{#N/A,#N/A,TRUE,"VII - Seperator"}</definedName>
    <definedName name="qqqqqqqqqqqqqqqqqqqqqqqqqqqqqqqq" localSheetId="6" hidden="1">{#N/A,#N/A,TRUE,"VII - Seperator"}</definedName>
    <definedName name="qqqqqqqqqqqqqqqqqqqqqqqqqqqqqqqq" hidden="1">{#N/A,#N/A,TRUE,"VII - Seperator"}</definedName>
    <definedName name="wrn.AQMD._.East._.Hynes." localSheetId="8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9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7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2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3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1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0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6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Check." localSheetId="8" hidden="1">{#N/A,#N/A,TRUE,"Input Volume";#N/A,#N/A,TRUE,"EFR Roof Fitting";#N/A,#N/A,TRUE,"EFR Withdrawl";#N/A,#N/A,TRUE,"EFR Calcs";#N/A,#N/A,TRUE,"VFR_Calcs"}</definedName>
    <definedName name="wrn.Check." localSheetId="9" hidden="1">{#N/A,#N/A,TRUE,"Input Volume";#N/A,#N/A,TRUE,"EFR Roof Fitting";#N/A,#N/A,TRUE,"EFR Withdrawl";#N/A,#N/A,TRUE,"EFR Calcs";#N/A,#N/A,TRUE,"VFR_Calcs"}</definedName>
    <definedName name="wrn.Check." localSheetId="7" hidden="1">{#N/A,#N/A,TRUE,"Input Volume";#N/A,#N/A,TRUE,"EFR Roof Fitting";#N/A,#N/A,TRUE,"EFR Withdrawl";#N/A,#N/A,TRUE,"EFR Calcs";#N/A,#N/A,TRUE,"VFR_Calcs"}</definedName>
    <definedName name="wrn.Check." localSheetId="2" hidden="1">{#N/A,#N/A,TRUE,"Input Volume";#N/A,#N/A,TRUE,"EFR Roof Fitting";#N/A,#N/A,TRUE,"EFR Withdrawl";#N/A,#N/A,TRUE,"EFR Calcs";#N/A,#N/A,TRUE,"VFR_Calcs"}</definedName>
    <definedName name="wrn.Check." localSheetId="3" hidden="1">{#N/A,#N/A,TRUE,"Input Volume";#N/A,#N/A,TRUE,"EFR Roof Fitting";#N/A,#N/A,TRUE,"EFR Withdrawl";#N/A,#N/A,TRUE,"EFR Calcs";#N/A,#N/A,TRUE,"VFR_Calcs"}</definedName>
    <definedName name="wrn.Check." localSheetId="1" hidden="1">{#N/A,#N/A,TRUE,"Input Volume";#N/A,#N/A,TRUE,"EFR Roof Fitting";#N/A,#N/A,TRUE,"EFR Withdrawl";#N/A,#N/A,TRUE,"EFR Calcs";#N/A,#N/A,TRUE,"VFR_Calcs"}</definedName>
    <definedName name="wrn.Check." localSheetId="0" hidden="1">{#N/A,#N/A,TRUE,"Input Volume";#N/A,#N/A,TRUE,"EFR Roof Fitting";#N/A,#N/A,TRUE,"EFR Withdrawl";#N/A,#N/A,TRUE,"EFR Calcs";#N/A,#N/A,TRUE,"VFR_Calcs"}</definedName>
    <definedName name="wrn.Check." localSheetId="6" hidden="1">{#N/A,#N/A,TRUE,"Input Volume";#N/A,#N/A,TRUE,"EFR Roof Fitting";#N/A,#N/A,TRUE,"EFR Withdrawl";#N/A,#N/A,TRUE,"EFR Calcs";#N/A,#N/A,TRUE,"VFR_Calcs"}</definedName>
    <definedName name="wrn.Check." hidden="1">{#N/A,#N/A,TRUE,"Input Volume";#N/A,#N/A,TRUE,"EFR Roof Fitting";#N/A,#N/A,TRUE,"EFR Withdrawl";#N/A,#N/A,TRUE,"EFR Calcs";#N/A,#N/A,TRUE,"VFR_Calcs"}</definedName>
    <definedName name="wrn.cover.xls." localSheetId="8" hidden="1">{#N/A,#N/A,TRUE,"I - Cover";#N/A,#N/A,TRUE,"I - Instructions";#N/A,#N/A,TRUE,"I - Linked Spreadsheet-Overview"}</definedName>
    <definedName name="wrn.cover.xls." localSheetId="9" hidden="1">{#N/A,#N/A,TRUE,"I - Cover";#N/A,#N/A,TRUE,"I - Instructions";#N/A,#N/A,TRUE,"I - Linked Spreadsheet-Overview"}</definedName>
    <definedName name="wrn.cover.xls." localSheetId="7" hidden="1">{#N/A,#N/A,TRUE,"I - Cover";#N/A,#N/A,TRUE,"I - Instructions";#N/A,#N/A,TRUE,"I - Linked Spreadsheet-Overview"}</definedName>
    <definedName name="wrn.cover.xls." localSheetId="2" hidden="1">{#N/A,#N/A,TRUE,"I - Cover";#N/A,#N/A,TRUE,"I - Instructions";#N/A,#N/A,TRUE,"I - Linked Spreadsheet-Overview"}</definedName>
    <definedName name="wrn.cover.xls." localSheetId="3" hidden="1">{#N/A,#N/A,TRUE,"I - Cover";#N/A,#N/A,TRUE,"I - Instructions";#N/A,#N/A,TRUE,"I - Linked Spreadsheet-Overview"}</definedName>
    <definedName name="wrn.cover.xls." localSheetId="1" hidden="1">{#N/A,#N/A,TRUE,"I - Cover";#N/A,#N/A,TRUE,"I - Instructions";#N/A,#N/A,TRUE,"I - Linked Spreadsheet-Overview"}</definedName>
    <definedName name="wrn.cover.xls." localSheetId="0" hidden="1">{#N/A,#N/A,TRUE,"I - Cover";#N/A,#N/A,TRUE,"I - Instructions";#N/A,#N/A,TRUE,"I - Linked Spreadsheet-Overview"}</definedName>
    <definedName name="wrn.cover.xls." localSheetId="6" hidden="1">{#N/A,#N/A,TRUE,"I - Cover";#N/A,#N/A,TRUE,"I - Instructions";#N/A,#N/A,TRUE,"I - Linked Spreadsheet-Overview"}</definedName>
    <definedName name="wrn.cover.xls." hidden="1">{#N/A,#N/A,TRUE,"I - Cover";#N/A,#N/A,TRUE,"I - Instructions";#N/A,#N/A,TRUE,"I - Linked Spreadsheet-Overview"}</definedName>
    <definedName name="wrn.fitfacex.xls." localSheetId="8" hidden="1">{#N/A,#N/A,TRUE,"X - Fitfact EX"}</definedName>
    <definedName name="wrn.fitfacex.xls." localSheetId="9" hidden="1">{#N/A,#N/A,TRUE,"X - Fitfact EX"}</definedName>
    <definedName name="wrn.fitfacex.xls." localSheetId="7" hidden="1">{#N/A,#N/A,TRUE,"X - Fitfact EX"}</definedName>
    <definedName name="wrn.fitfacex.xls." localSheetId="2" hidden="1">{#N/A,#N/A,TRUE,"X - Fitfact EX"}</definedName>
    <definedName name="wrn.fitfacex.xls." localSheetId="3" hidden="1">{#N/A,#N/A,TRUE,"X - Fitfact EX"}</definedName>
    <definedName name="wrn.fitfacex.xls." localSheetId="1" hidden="1">{#N/A,#N/A,TRUE,"X - Fitfact EX"}</definedName>
    <definedName name="wrn.fitfacex.xls." localSheetId="0" hidden="1">{#N/A,#N/A,TRUE,"X - Fitfact EX"}</definedName>
    <definedName name="wrn.fitfacex.xls." localSheetId="6" hidden="1">{#N/A,#N/A,TRUE,"X - Fitfact EX"}</definedName>
    <definedName name="wrn.fitfacex.xls." hidden="1">{#N/A,#N/A,TRUE,"X - Fitfact EX"}</definedName>
    <definedName name="wrn.fitfact.xls." localSheetId="8" hidden="1">{#N/A,#N/A,TRUE,"IX - Fitfact"}</definedName>
    <definedName name="wrn.fitfact.xls." localSheetId="9" hidden="1">{#N/A,#N/A,TRUE,"IX - Fitfact"}</definedName>
    <definedName name="wrn.fitfact.xls." localSheetId="7" hidden="1">{#N/A,#N/A,TRUE,"IX - Fitfact"}</definedName>
    <definedName name="wrn.fitfact.xls." localSheetId="2" hidden="1">{#N/A,#N/A,TRUE,"IX - Fitfact"}</definedName>
    <definedName name="wrn.fitfact.xls." localSheetId="3" hidden="1">{#N/A,#N/A,TRUE,"IX - Fitfact"}</definedName>
    <definedName name="wrn.fitfact.xls." localSheetId="1" hidden="1">{#N/A,#N/A,TRUE,"IX - Fitfact"}</definedName>
    <definedName name="wrn.fitfact.xls." localSheetId="0" hidden="1">{#N/A,#N/A,TRUE,"IX - Fitfact"}</definedName>
    <definedName name="wrn.fitfact.xls." localSheetId="6" hidden="1">{#N/A,#N/A,TRUE,"IX - Fitfact"}</definedName>
    <definedName name="wrn.fitfact.xls." hidden="1">{#N/A,#N/A,TRUE,"IX - Fitfact"}</definedName>
    <definedName name="wrn.fugitive.xls." localSheetId="8" hidden="1">{#N/A,#N/A,TRUE,"VIII - FUGITIVE"}</definedName>
    <definedName name="wrn.fugitive.xls." localSheetId="9" hidden="1">{#N/A,#N/A,TRUE,"VIII - FUGITIVE"}</definedName>
    <definedName name="wrn.fugitive.xls." localSheetId="7" hidden="1">{#N/A,#N/A,TRUE,"VIII - FUGITIVE"}</definedName>
    <definedName name="wrn.fugitive.xls." localSheetId="2" hidden="1">{#N/A,#N/A,TRUE,"VIII - FUGITIVE"}</definedName>
    <definedName name="wrn.fugitive.xls." localSheetId="3" hidden="1">{#N/A,#N/A,TRUE,"VIII - FUGITIVE"}</definedName>
    <definedName name="wrn.fugitive.xls." localSheetId="1" hidden="1">{#N/A,#N/A,TRUE,"VIII - FUGITIVE"}</definedName>
    <definedName name="wrn.fugitive.xls." localSheetId="0" hidden="1">{#N/A,#N/A,TRUE,"VIII - FUGITIVE"}</definedName>
    <definedName name="wrn.fugitive.xls." localSheetId="6" hidden="1">{#N/A,#N/A,TRUE,"VIII - FUGITIVE"}</definedName>
    <definedName name="wrn.fugitive.xls." hidden="1">{#N/A,#N/A,TRUE,"VIII - FUGITIVE"}</definedName>
    <definedName name="wrn.haps.xls.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9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loading.xls." localSheetId="8" hidden="1">{#N/A,#N/A,TRUE,"V - Loading Input";#N/A,#N/A,TRUE,"V - Tanker Fugitives";#N/A,#N/A,TRUE,"V - Truck Loading";#N/A,#N/A,TRUE,"V - Pumpback";#N/A,#N/A,TRUE,"V - TruckFuel"}</definedName>
    <definedName name="wrn.loading.xls." localSheetId="9" hidden="1">{#N/A,#N/A,TRUE,"V - Loading Input";#N/A,#N/A,TRUE,"V - Tanker Fugitives";#N/A,#N/A,TRUE,"V - Truck Loading";#N/A,#N/A,TRUE,"V - Pumpback";#N/A,#N/A,TRUE,"V - TruckFuel"}</definedName>
    <definedName name="wrn.loading.xls." localSheetId="7" hidden="1">{#N/A,#N/A,TRUE,"V - Loading Input";#N/A,#N/A,TRUE,"V - Tanker Fugitives";#N/A,#N/A,TRUE,"V - Truck Loading";#N/A,#N/A,TRUE,"V - Pumpback";#N/A,#N/A,TRUE,"V - TruckFuel"}</definedName>
    <definedName name="wrn.loading.xls." localSheetId="2" hidden="1">{#N/A,#N/A,TRUE,"V - Loading Input";#N/A,#N/A,TRUE,"V - Tanker Fugitives";#N/A,#N/A,TRUE,"V - Truck Loading";#N/A,#N/A,TRUE,"V - Pumpback";#N/A,#N/A,TRUE,"V - TruckFuel"}</definedName>
    <definedName name="wrn.loading.xls." localSheetId="3" hidden="1">{#N/A,#N/A,TRUE,"V - Loading Input";#N/A,#N/A,TRUE,"V - Tanker Fugitives";#N/A,#N/A,TRUE,"V - Truck Loading";#N/A,#N/A,TRUE,"V - Pumpback";#N/A,#N/A,TRUE,"V - TruckFuel"}</definedName>
    <definedName name="wrn.loading.xls." localSheetId="1" hidden="1">{#N/A,#N/A,TRUE,"V - Loading Input";#N/A,#N/A,TRUE,"V - Tanker Fugitives";#N/A,#N/A,TRUE,"V - Truck Loading";#N/A,#N/A,TRUE,"V - Pumpback";#N/A,#N/A,TRUE,"V - TruckFuel"}</definedName>
    <definedName name="wrn.loading.xls." localSheetId="0" hidden="1">{#N/A,#N/A,TRUE,"V - Loading Input";#N/A,#N/A,TRUE,"V - Tanker Fugitives";#N/A,#N/A,TRUE,"V - Truck Loading";#N/A,#N/A,TRUE,"V - Pumpback";#N/A,#N/A,TRUE,"V - TruckFuel"}</definedName>
    <definedName name="wrn.loading.xls." localSheetId="6" hidden="1">{#N/A,#N/A,TRUE,"V - Loading Input";#N/A,#N/A,TRUE,"V - Tanker Fugitives";#N/A,#N/A,TRUE,"V - Truck Loading";#N/A,#N/A,TRUE,"V - Pumpback";#N/A,#N/A,TRUE,"V - TruckFuel"}</definedName>
    <definedName name="wrn.loading.xls." hidden="1">{#N/A,#N/A,TRUE,"V - Loading Input";#N/A,#N/A,TRUE,"V - Tanker Fugitives";#N/A,#N/A,TRUE,"V - Truck Loading";#N/A,#N/A,TRUE,"V - Pumpback";#N/A,#N/A,TRUE,"V - TruckFuel"}</definedName>
    <definedName name="wrn.oilwater.xls." localSheetId="8" hidden="1">{#N/A,#N/A,TRUE,"VII - Seperator"}</definedName>
    <definedName name="wrn.oilwater.xls." localSheetId="9" hidden="1">{#N/A,#N/A,TRUE,"VII - Seperator"}</definedName>
    <definedName name="wrn.oilwater.xls." localSheetId="7" hidden="1">{#N/A,#N/A,TRUE,"VII - Seperator"}</definedName>
    <definedName name="wrn.oilwater.xls." localSheetId="2" hidden="1">{#N/A,#N/A,TRUE,"VII - Seperator"}</definedName>
    <definedName name="wrn.oilwater.xls." localSheetId="3" hidden="1">{#N/A,#N/A,TRUE,"VII - Seperator"}</definedName>
    <definedName name="wrn.oilwater.xls." localSheetId="1" hidden="1">{#N/A,#N/A,TRUE,"VII - Seperator"}</definedName>
    <definedName name="wrn.oilwater.xls." localSheetId="0" hidden="1">{#N/A,#N/A,TRUE,"VII - Seperator"}</definedName>
    <definedName name="wrn.oilwater.xls." localSheetId="6" hidden="1">{#N/A,#N/A,TRUE,"VII - Seperator"}</definedName>
    <definedName name="wrn.oilwater.xls." hidden="1">{#N/A,#N/A,TRUE,"VII - Seperator"}</definedName>
    <definedName name="wrn.shipload.xls." localSheetId="8" hidden="1">{#N/A,#N/A,TRUE,"VI - Marine Load Loss";#N/A,#N/A,TRUE,"VI - Crane ICE"}</definedName>
    <definedName name="wrn.shipload.xls." localSheetId="9" hidden="1">{#N/A,#N/A,TRUE,"VI - Marine Load Loss";#N/A,#N/A,TRUE,"VI - Crane ICE"}</definedName>
    <definedName name="wrn.shipload.xls." localSheetId="7" hidden="1">{#N/A,#N/A,TRUE,"VI - Marine Load Loss";#N/A,#N/A,TRUE,"VI - Crane ICE"}</definedName>
    <definedName name="wrn.shipload.xls." localSheetId="2" hidden="1">{#N/A,#N/A,TRUE,"VI - Marine Load Loss";#N/A,#N/A,TRUE,"VI - Crane ICE"}</definedName>
    <definedName name="wrn.shipload.xls." localSheetId="3" hidden="1">{#N/A,#N/A,TRUE,"VI - Marine Load Loss";#N/A,#N/A,TRUE,"VI - Crane ICE"}</definedName>
    <definedName name="wrn.shipload.xls." localSheetId="1" hidden="1">{#N/A,#N/A,TRUE,"VI - Marine Load Loss";#N/A,#N/A,TRUE,"VI - Crane ICE"}</definedName>
    <definedName name="wrn.shipload.xls." localSheetId="0" hidden="1">{#N/A,#N/A,TRUE,"VI - Marine Load Loss";#N/A,#N/A,TRUE,"VI - Crane ICE"}</definedName>
    <definedName name="wrn.shipload.xls." localSheetId="6" hidden="1">{#N/A,#N/A,TRUE,"VI - Marine Load Loss";#N/A,#N/A,TRUE,"VI - Crane ICE"}</definedName>
    <definedName name="wrn.shipload.xls." hidden="1">{#N/A,#N/A,TRUE,"VI - Marine Load Loss";#N/A,#N/A,TRUE,"VI - Crane ICE"}</definedName>
    <definedName name="wrn.tanks.xls.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9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othaps.xls.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9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RI.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9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AQMD" localSheetId="8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9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7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2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3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1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0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6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Check" localSheetId="8" hidden="1">{#N/A,#N/A,TRUE,"Input Volume";#N/A,#N/A,TRUE,"EFR Roof Fitting";#N/A,#N/A,TRUE,"EFR Withdrawl";#N/A,#N/A,TRUE,"EFR Calcs";#N/A,#N/A,TRUE,"VFR_Calcs"}</definedName>
    <definedName name="wrn1.Check" localSheetId="9" hidden="1">{#N/A,#N/A,TRUE,"Input Volume";#N/A,#N/A,TRUE,"EFR Roof Fitting";#N/A,#N/A,TRUE,"EFR Withdrawl";#N/A,#N/A,TRUE,"EFR Calcs";#N/A,#N/A,TRUE,"VFR_Calcs"}</definedName>
    <definedName name="wrn1.Check" localSheetId="7" hidden="1">{#N/A,#N/A,TRUE,"Input Volume";#N/A,#N/A,TRUE,"EFR Roof Fitting";#N/A,#N/A,TRUE,"EFR Withdrawl";#N/A,#N/A,TRUE,"EFR Calcs";#N/A,#N/A,TRUE,"VFR_Calcs"}</definedName>
    <definedName name="wrn1.Check" localSheetId="2" hidden="1">{#N/A,#N/A,TRUE,"Input Volume";#N/A,#N/A,TRUE,"EFR Roof Fitting";#N/A,#N/A,TRUE,"EFR Withdrawl";#N/A,#N/A,TRUE,"EFR Calcs";#N/A,#N/A,TRUE,"VFR_Calcs"}</definedName>
    <definedName name="wrn1.Check" localSheetId="3" hidden="1">{#N/A,#N/A,TRUE,"Input Volume";#N/A,#N/A,TRUE,"EFR Roof Fitting";#N/A,#N/A,TRUE,"EFR Withdrawl";#N/A,#N/A,TRUE,"EFR Calcs";#N/A,#N/A,TRUE,"VFR_Calcs"}</definedName>
    <definedName name="wrn1.Check" localSheetId="1" hidden="1">{#N/A,#N/A,TRUE,"Input Volume";#N/A,#N/A,TRUE,"EFR Roof Fitting";#N/A,#N/A,TRUE,"EFR Withdrawl";#N/A,#N/A,TRUE,"EFR Calcs";#N/A,#N/A,TRUE,"VFR_Calcs"}</definedName>
    <definedName name="wrn1.Check" localSheetId="0" hidden="1">{#N/A,#N/A,TRUE,"Input Volume";#N/A,#N/A,TRUE,"EFR Roof Fitting";#N/A,#N/A,TRUE,"EFR Withdrawl";#N/A,#N/A,TRUE,"EFR Calcs";#N/A,#N/A,TRUE,"VFR_Calcs"}</definedName>
    <definedName name="wrn1.Check" localSheetId="6" hidden="1">{#N/A,#N/A,TRUE,"Input Volume";#N/A,#N/A,TRUE,"EFR Roof Fitting";#N/A,#N/A,TRUE,"EFR Withdrawl";#N/A,#N/A,TRUE,"EFR Calcs";#N/A,#N/A,TRUE,"VFR_Calcs"}</definedName>
    <definedName name="wrn1.Check" hidden="1">{#N/A,#N/A,TRUE,"Input Volume";#N/A,#N/A,TRUE,"EFR Roof Fitting";#N/A,#N/A,TRUE,"EFR Withdrawl";#N/A,#N/A,TRUE,"EFR Calcs";#N/A,#N/A,TRUE,"VFR_Calcs"}</definedName>
    <definedName name="wrn1.cover.xls" localSheetId="8" hidden="1">{#N/A,#N/A,TRUE,"I - Cover";#N/A,#N/A,TRUE,"I - Instructions";#N/A,#N/A,TRUE,"I - Linked Spreadsheet-Overview"}</definedName>
    <definedName name="wrn1.cover.xls" localSheetId="9" hidden="1">{#N/A,#N/A,TRUE,"I - Cover";#N/A,#N/A,TRUE,"I - Instructions";#N/A,#N/A,TRUE,"I - Linked Spreadsheet-Overview"}</definedName>
    <definedName name="wrn1.cover.xls" localSheetId="7" hidden="1">{#N/A,#N/A,TRUE,"I - Cover";#N/A,#N/A,TRUE,"I - Instructions";#N/A,#N/A,TRUE,"I - Linked Spreadsheet-Overview"}</definedName>
    <definedName name="wrn1.cover.xls" localSheetId="2" hidden="1">{#N/A,#N/A,TRUE,"I - Cover";#N/A,#N/A,TRUE,"I - Instructions";#N/A,#N/A,TRUE,"I - Linked Spreadsheet-Overview"}</definedName>
    <definedName name="wrn1.cover.xls" localSheetId="3" hidden="1">{#N/A,#N/A,TRUE,"I - Cover";#N/A,#N/A,TRUE,"I - Instructions";#N/A,#N/A,TRUE,"I - Linked Spreadsheet-Overview"}</definedName>
    <definedName name="wrn1.cover.xls" localSheetId="1" hidden="1">{#N/A,#N/A,TRUE,"I - Cover";#N/A,#N/A,TRUE,"I - Instructions";#N/A,#N/A,TRUE,"I - Linked Spreadsheet-Overview"}</definedName>
    <definedName name="wrn1.cover.xls" localSheetId="0" hidden="1">{#N/A,#N/A,TRUE,"I - Cover";#N/A,#N/A,TRUE,"I - Instructions";#N/A,#N/A,TRUE,"I - Linked Spreadsheet-Overview"}</definedName>
    <definedName name="wrn1.cover.xls" localSheetId="6" hidden="1">{#N/A,#N/A,TRUE,"I - Cover";#N/A,#N/A,TRUE,"I - Instructions";#N/A,#N/A,TRUE,"I - Linked Spreadsheet-Overview"}</definedName>
    <definedName name="wrn1.cover.xls" hidden="1">{#N/A,#N/A,TRUE,"I - Cover";#N/A,#N/A,TRUE,"I - Instructions";#N/A,#N/A,TRUE,"I - Linked Spreadsheet-Overview"}</definedName>
    <definedName name="wrn1.fitfacex.xls" localSheetId="8" hidden="1">{#N/A,#N/A,TRUE,"X - Fitfact EX"}</definedName>
    <definedName name="wrn1.fitfacex.xls" localSheetId="9" hidden="1">{#N/A,#N/A,TRUE,"X - Fitfact EX"}</definedName>
    <definedName name="wrn1.fitfacex.xls" localSheetId="7" hidden="1">{#N/A,#N/A,TRUE,"X - Fitfact EX"}</definedName>
    <definedName name="wrn1.fitfacex.xls" localSheetId="2" hidden="1">{#N/A,#N/A,TRUE,"X - Fitfact EX"}</definedName>
    <definedName name="wrn1.fitfacex.xls" localSheetId="3" hidden="1">{#N/A,#N/A,TRUE,"X - Fitfact EX"}</definedName>
    <definedName name="wrn1.fitfacex.xls" localSheetId="1" hidden="1">{#N/A,#N/A,TRUE,"X - Fitfact EX"}</definedName>
    <definedName name="wrn1.fitfacex.xls" localSheetId="0" hidden="1">{#N/A,#N/A,TRUE,"X - Fitfact EX"}</definedName>
    <definedName name="wrn1.fitfacex.xls" localSheetId="6" hidden="1">{#N/A,#N/A,TRUE,"X - Fitfact EX"}</definedName>
    <definedName name="wrn1.fitfacex.xls" hidden="1">{#N/A,#N/A,TRUE,"X - Fitfact EX"}</definedName>
    <definedName name="wrn1.fitfact.xls" localSheetId="8" hidden="1">{#N/A,#N/A,TRUE,"IX - Fitfact"}</definedName>
    <definedName name="wrn1.fitfact.xls" localSheetId="9" hidden="1">{#N/A,#N/A,TRUE,"IX - Fitfact"}</definedName>
    <definedName name="wrn1.fitfact.xls" localSheetId="7" hidden="1">{#N/A,#N/A,TRUE,"IX - Fitfact"}</definedName>
    <definedName name="wrn1.fitfact.xls" localSheetId="2" hidden="1">{#N/A,#N/A,TRUE,"IX - Fitfact"}</definedName>
    <definedName name="wrn1.fitfact.xls" localSheetId="3" hidden="1">{#N/A,#N/A,TRUE,"IX - Fitfact"}</definedName>
    <definedName name="wrn1.fitfact.xls" localSheetId="1" hidden="1">{#N/A,#N/A,TRUE,"IX - Fitfact"}</definedName>
    <definedName name="wrn1.fitfact.xls" localSheetId="0" hidden="1">{#N/A,#N/A,TRUE,"IX - Fitfact"}</definedName>
    <definedName name="wrn1.fitfact.xls" localSheetId="6" hidden="1">{#N/A,#N/A,TRUE,"IX - Fitfact"}</definedName>
    <definedName name="wrn1.fitfact.xls" hidden="1">{#N/A,#N/A,TRUE,"IX - Fitfact"}</definedName>
    <definedName name="wrn1.fugitive.xls" localSheetId="8" hidden="1">{#N/A,#N/A,TRUE,"VIII - FUGITIVE"}</definedName>
    <definedName name="wrn1.fugitive.xls" localSheetId="9" hidden="1">{#N/A,#N/A,TRUE,"VIII - FUGITIVE"}</definedName>
    <definedName name="wrn1.fugitive.xls" localSheetId="7" hidden="1">{#N/A,#N/A,TRUE,"VIII - FUGITIVE"}</definedName>
    <definedName name="wrn1.fugitive.xls" localSheetId="2" hidden="1">{#N/A,#N/A,TRUE,"VIII - FUGITIVE"}</definedName>
    <definedName name="wrn1.fugitive.xls" localSheetId="3" hidden="1">{#N/A,#N/A,TRUE,"VIII - FUGITIVE"}</definedName>
    <definedName name="wrn1.fugitive.xls" localSheetId="1" hidden="1">{#N/A,#N/A,TRUE,"VIII - FUGITIVE"}</definedName>
    <definedName name="wrn1.fugitive.xls" localSheetId="0" hidden="1">{#N/A,#N/A,TRUE,"VIII - FUGITIVE"}</definedName>
    <definedName name="wrn1.fugitive.xls" localSheetId="6" hidden="1">{#N/A,#N/A,TRUE,"VIII - FUGITIVE"}</definedName>
    <definedName name="wrn1.fugitive.xls" hidden="1">{#N/A,#N/A,TRUE,"VIII - FUGITIVE"}</definedName>
    <definedName name="wrn1.haps.xls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9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loading.xls" localSheetId="8" hidden="1">{#N/A,#N/A,TRUE,"V - Loading Input";#N/A,#N/A,TRUE,"V - Tanker Fugitives";#N/A,#N/A,TRUE,"V - Truck Loading";#N/A,#N/A,TRUE,"V - Pumpback";#N/A,#N/A,TRUE,"V - TruckFuel"}</definedName>
    <definedName name="wrn1.loading.xls" localSheetId="9" hidden="1">{#N/A,#N/A,TRUE,"V - Loading Input";#N/A,#N/A,TRUE,"V - Tanker Fugitives";#N/A,#N/A,TRUE,"V - Truck Loading";#N/A,#N/A,TRUE,"V - Pumpback";#N/A,#N/A,TRUE,"V - TruckFuel"}</definedName>
    <definedName name="wrn1.loading.xls" localSheetId="7" hidden="1">{#N/A,#N/A,TRUE,"V - Loading Input";#N/A,#N/A,TRUE,"V - Tanker Fugitives";#N/A,#N/A,TRUE,"V - Truck Loading";#N/A,#N/A,TRUE,"V - Pumpback";#N/A,#N/A,TRUE,"V - TruckFuel"}</definedName>
    <definedName name="wrn1.loading.xls" localSheetId="2" hidden="1">{#N/A,#N/A,TRUE,"V - Loading Input";#N/A,#N/A,TRUE,"V - Tanker Fugitives";#N/A,#N/A,TRUE,"V - Truck Loading";#N/A,#N/A,TRUE,"V - Pumpback";#N/A,#N/A,TRUE,"V - TruckFuel"}</definedName>
    <definedName name="wrn1.loading.xls" localSheetId="3" hidden="1">{#N/A,#N/A,TRUE,"V - Loading Input";#N/A,#N/A,TRUE,"V - Tanker Fugitives";#N/A,#N/A,TRUE,"V - Truck Loading";#N/A,#N/A,TRUE,"V - Pumpback";#N/A,#N/A,TRUE,"V - TruckFuel"}</definedName>
    <definedName name="wrn1.loading.xls" localSheetId="1" hidden="1">{#N/A,#N/A,TRUE,"V - Loading Input";#N/A,#N/A,TRUE,"V - Tanker Fugitives";#N/A,#N/A,TRUE,"V - Truck Loading";#N/A,#N/A,TRUE,"V - Pumpback";#N/A,#N/A,TRUE,"V - TruckFuel"}</definedName>
    <definedName name="wrn1.loading.xls" localSheetId="0" hidden="1">{#N/A,#N/A,TRUE,"V - Loading Input";#N/A,#N/A,TRUE,"V - Tanker Fugitives";#N/A,#N/A,TRUE,"V - Truck Loading";#N/A,#N/A,TRUE,"V - Pumpback";#N/A,#N/A,TRUE,"V - TruckFuel"}</definedName>
    <definedName name="wrn1.loading.xls" localSheetId="6" hidden="1">{#N/A,#N/A,TRUE,"V - Loading Input";#N/A,#N/A,TRUE,"V - Tanker Fugitives";#N/A,#N/A,TRUE,"V - Truck Loading";#N/A,#N/A,TRUE,"V - Pumpback";#N/A,#N/A,TRUE,"V - TruckFuel"}</definedName>
    <definedName name="wrn1.loading.xls" hidden="1">{#N/A,#N/A,TRUE,"V - Loading Input";#N/A,#N/A,TRUE,"V - Tanker Fugitives";#N/A,#N/A,TRUE,"V - Truck Loading";#N/A,#N/A,TRUE,"V - Pumpback";#N/A,#N/A,TRUE,"V - TruckFuel"}</definedName>
    <definedName name="wrn1.oilwater.xls" localSheetId="8" hidden="1">{#N/A,#N/A,TRUE,"VII - Seperator"}</definedName>
    <definedName name="wrn1.oilwater.xls" localSheetId="9" hidden="1">{#N/A,#N/A,TRUE,"VII - Seperator"}</definedName>
    <definedName name="wrn1.oilwater.xls" localSheetId="7" hidden="1">{#N/A,#N/A,TRUE,"VII - Seperator"}</definedName>
    <definedName name="wrn1.oilwater.xls" localSheetId="2" hidden="1">{#N/A,#N/A,TRUE,"VII - Seperator"}</definedName>
    <definedName name="wrn1.oilwater.xls" localSheetId="3" hidden="1">{#N/A,#N/A,TRUE,"VII - Seperator"}</definedName>
    <definedName name="wrn1.oilwater.xls" localSheetId="1" hidden="1">{#N/A,#N/A,TRUE,"VII - Seperator"}</definedName>
    <definedName name="wrn1.oilwater.xls" localSheetId="0" hidden="1">{#N/A,#N/A,TRUE,"VII - Seperator"}</definedName>
    <definedName name="wrn1.oilwater.xls" localSheetId="6" hidden="1">{#N/A,#N/A,TRUE,"VII - Seperator"}</definedName>
    <definedName name="wrn1.oilwater.xls" hidden="1">{#N/A,#N/A,TRUE,"VII - Seperator"}</definedName>
    <definedName name="wrn1.shipload.xls" localSheetId="8" hidden="1">{#N/A,#N/A,TRUE,"VI - Marine Load Loss";#N/A,#N/A,TRUE,"VI - Crane ICE"}</definedName>
    <definedName name="wrn1.shipload.xls" localSheetId="9" hidden="1">{#N/A,#N/A,TRUE,"VI - Marine Load Loss";#N/A,#N/A,TRUE,"VI - Crane ICE"}</definedName>
    <definedName name="wrn1.shipload.xls" localSheetId="7" hidden="1">{#N/A,#N/A,TRUE,"VI - Marine Load Loss";#N/A,#N/A,TRUE,"VI - Crane ICE"}</definedName>
    <definedName name="wrn1.shipload.xls" localSheetId="2" hidden="1">{#N/A,#N/A,TRUE,"VI - Marine Load Loss";#N/A,#N/A,TRUE,"VI - Crane ICE"}</definedName>
    <definedName name="wrn1.shipload.xls" localSheetId="3" hidden="1">{#N/A,#N/A,TRUE,"VI - Marine Load Loss";#N/A,#N/A,TRUE,"VI - Crane ICE"}</definedName>
    <definedName name="wrn1.shipload.xls" localSheetId="1" hidden="1">{#N/A,#N/A,TRUE,"VI - Marine Load Loss";#N/A,#N/A,TRUE,"VI - Crane ICE"}</definedName>
    <definedName name="wrn1.shipload.xls" localSheetId="0" hidden="1">{#N/A,#N/A,TRUE,"VI - Marine Load Loss";#N/A,#N/A,TRUE,"VI - Crane ICE"}</definedName>
    <definedName name="wrn1.shipload.xls" localSheetId="6" hidden="1">{#N/A,#N/A,TRUE,"VI - Marine Load Loss";#N/A,#N/A,TRUE,"VI - Crane ICE"}</definedName>
    <definedName name="wrn1.shipload.xls" hidden="1">{#N/A,#N/A,TRUE,"VI - Marine Load Loss";#N/A,#N/A,TRUE,"VI - Crane ICE"}</definedName>
    <definedName name="wrn1.tanks.xls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9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othaps.xls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9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RI.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9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XXX" localSheetId="8" hidden="1">{#N/A,#N/A,TRUE,"IX - Fitfact"}</definedName>
    <definedName name="XXX" localSheetId="9" hidden="1">{#N/A,#N/A,TRUE,"IX - Fitfact"}</definedName>
    <definedName name="XXX" localSheetId="7" hidden="1">{#N/A,#N/A,TRUE,"IX - Fitfact"}</definedName>
    <definedName name="XXX" localSheetId="2" hidden="1">{#N/A,#N/A,TRUE,"IX - Fitfact"}</definedName>
    <definedName name="XXX" localSheetId="3" hidden="1">{#N/A,#N/A,TRUE,"IX - Fitfact"}</definedName>
    <definedName name="XXX" localSheetId="1" hidden="1">{#N/A,#N/A,TRUE,"IX - Fitfact"}</definedName>
    <definedName name="XXX" localSheetId="0" hidden="1">{#N/A,#N/A,TRUE,"IX - Fitfact"}</definedName>
    <definedName name="XXX" localSheetId="6" hidden="1">{#N/A,#N/A,TRUE,"IX - Fitfact"}</definedName>
    <definedName name="XXX" hidden="1">{#N/A,#N/A,TRUE,"IX - Fitfact"}</definedName>
    <definedName name="YYY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9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ZZZ" localSheetId="8" hidden="1">{#N/A,#N/A,TRUE,"V - Loading Input";#N/A,#N/A,TRUE,"V - Tanker Fugitives";#N/A,#N/A,TRUE,"V - Truck Loading";#N/A,#N/A,TRUE,"V - Pumpback";#N/A,#N/A,TRUE,"V - TruckFuel"}</definedName>
    <definedName name="ZZZ" localSheetId="9" hidden="1">{#N/A,#N/A,TRUE,"V - Loading Input";#N/A,#N/A,TRUE,"V - Tanker Fugitives";#N/A,#N/A,TRUE,"V - Truck Loading";#N/A,#N/A,TRUE,"V - Pumpback";#N/A,#N/A,TRUE,"V - TruckFuel"}</definedName>
    <definedName name="ZZZ" localSheetId="7" hidden="1">{#N/A,#N/A,TRUE,"V - Loading Input";#N/A,#N/A,TRUE,"V - Tanker Fugitives";#N/A,#N/A,TRUE,"V - Truck Loading";#N/A,#N/A,TRUE,"V - Pumpback";#N/A,#N/A,TRUE,"V - TruckFuel"}</definedName>
    <definedName name="ZZZ" localSheetId="2" hidden="1">{#N/A,#N/A,TRUE,"V - Loading Input";#N/A,#N/A,TRUE,"V - Tanker Fugitives";#N/A,#N/A,TRUE,"V - Truck Loading";#N/A,#N/A,TRUE,"V - Pumpback";#N/A,#N/A,TRUE,"V - TruckFuel"}</definedName>
    <definedName name="ZZZ" localSheetId="3" hidden="1">{#N/A,#N/A,TRUE,"V - Loading Input";#N/A,#N/A,TRUE,"V - Tanker Fugitives";#N/A,#N/A,TRUE,"V - Truck Loading";#N/A,#N/A,TRUE,"V - Pumpback";#N/A,#N/A,TRUE,"V - TruckFuel"}</definedName>
    <definedName name="ZZZ" localSheetId="1" hidden="1">{#N/A,#N/A,TRUE,"V - Loading Input";#N/A,#N/A,TRUE,"V - Tanker Fugitives";#N/A,#N/A,TRUE,"V - Truck Loading";#N/A,#N/A,TRUE,"V - Pumpback";#N/A,#N/A,TRUE,"V - TruckFuel"}</definedName>
    <definedName name="ZZZ" localSheetId="0" hidden="1">{#N/A,#N/A,TRUE,"V - Loading Input";#N/A,#N/A,TRUE,"V - Tanker Fugitives";#N/A,#N/A,TRUE,"V - Truck Loading";#N/A,#N/A,TRUE,"V - Pumpback";#N/A,#N/A,TRUE,"V - TruckFuel"}</definedName>
    <definedName name="ZZZ" localSheetId="6" hidden="1">{#N/A,#N/A,TRUE,"V - Loading Input";#N/A,#N/A,TRUE,"V - Tanker Fugitives";#N/A,#N/A,TRUE,"V - Truck Loading";#N/A,#N/A,TRUE,"V - Pumpback";#N/A,#N/A,TRUE,"V - TruckFuel"}</definedName>
    <definedName name="ZZZ" hidden="1">{#N/A,#N/A,TRUE,"V - Loading Input";#N/A,#N/A,TRUE,"V - Tanker Fugitives";#N/A,#N/A,TRUE,"V - Truck Loading";#N/A,#N/A,TRUE,"V - Pumpback";#N/A,#N/A,TRUE,"V - TruckFuel"}</definedName>
    <definedName name="zzzzzzzzzzzzzzzzzzzzz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9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</definedNames>
  <calcPr fullCalcOnLoad="1"/>
</workbook>
</file>

<file path=xl/sharedStrings.xml><?xml version="1.0" encoding="utf-8"?>
<sst xmlns="http://schemas.openxmlformats.org/spreadsheetml/2006/main" count="1013" uniqueCount="345">
  <si>
    <t>Construction Equipment Exhaust Emission Factors</t>
  </si>
  <si>
    <t>Equipment Type</t>
  </si>
  <si>
    <t>Fuel</t>
  </si>
  <si>
    <t>Horsepower</t>
  </si>
  <si>
    <t>ARB Off-Road Model Category</t>
  </si>
  <si>
    <t>D</t>
  </si>
  <si>
    <t>Excavators</t>
  </si>
  <si>
    <t>Tractors/Loaders/Backhoes</t>
  </si>
  <si>
    <t>Cranes</t>
  </si>
  <si>
    <t>Generator Sets</t>
  </si>
  <si>
    <t>G</t>
  </si>
  <si>
    <t>Other Construction Equipment</t>
  </si>
  <si>
    <t>Rubber Tired Loaders</t>
  </si>
  <si>
    <t>Skid Steer Loaders</t>
  </si>
  <si>
    <t>Cement and Mortar Mixers</t>
  </si>
  <si>
    <t>Plate Compactors</t>
  </si>
  <si>
    <t>Rollers</t>
  </si>
  <si>
    <t>Welders</t>
  </si>
  <si>
    <t>Off-Highway Trucks</t>
  </si>
  <si>
    <t>Emissions [pounds per day] = Emission factor [pounds per hour] x Number pieces of equipment x Operating time for each piece [hours per day]</t>
  </si>
  <si>
    <t>CO</t>
  </si>
  <si>
    <t>NOx</t>
  </si>
  <si>
    <t>PM10</t>
  </si>
  <si>
    <t>SOx</t>
  </si>
  <si>
    <t>VOC</t>
  </si>
  <si>
    <t>Bore/Drill Rigs</t>
  </si>
  <si>
    <t>Concrete/Industrial Saws</t>
  </si>
  <si>
    <t>Crawler Tractors</t>
  </si>
  <si>
    <t>Crushing/Proc. Equipment</t>
  </si>
  <si>
    <t>Graders</t>
  </si>
  <si>
    <t>Off-Highway Tractors</t>
  </si>
  <si>
    <t>Pavers</t>
  </si>
  <si>
    <t>Paving Equipment</t>
  </si>
  <si>
    <t>Rough Terrain Forklifts</t>
  </si>
  <si>
    <t>Rubber Tired Dozers</t>
  </si>
  <si>
    <t>Scrapers</t>
  </si>
  <si>
    <t>Signal Boards</t>
  </si>
  <si>
    <t>Surfacing Equipment</t>
  </si>
  <si>
    <t>Trenchers</t>
  </si>
  <si>
    <t xml:space="preserve">   from its Off-road Model.  The composite off-road emission factors were derived based on the equipment category</t>
  </si>
  <si>
    <t xml:space="preserve">   (tractor, dozer, scraper, etc.), and average equipment age and horsepower rating within horsepower ranges for</t>
  </si>
  <si>
    <t>Emissions (lb/day)</t>
  </si>
  <si>
    <t>Total</t>
  </si>
  <si>
    <t>Note:  Totals may not match sum of individual values because of rounding.</t>
  </si>
  <si>
    <t>Pollutant</t>
  </si>
  <si>
    <t>Vehicle Type</t>
  </si>
  <si>
    <t>On-Site Pickup Truck</t>
  </si>
  <si>
    <t>Off-Site Construction Worker Commute</t>
  </si>
  <si>
    <t>Passenger Vehicles
(pounds/mile)</t>
  </si>
  <si>
    <t>Delivery Trucks
(pounds/mile)</t>
  </si>
  <si>
    <t>Source:  SCAQMD CEQA Analysis Guidance Handbook Web Site,</t>
  </si>
  <si>
    <t xml:space="preserve">               http://www.aqmd.gov/ceqa/hdbk.html</t>
  </si>
  <si>
    <t xml:space="preserve">Note:  The emission factors were compiled by running the California Air Resources Board's EMFAC2002 </t>
  </si>
  <si>
    <t>(version 2.2) Burden Model.  A weighted average of vehicle types was used to calculate emission factors</t>
  </si>
  <si>
    <t>for passenger vehicles, and emission factors for heavy heavy-duty diesel trucks were used for delivery trucks.</t>
  </si>
  <si>
    <t>All the emission factors account for the emissions from start, running and idling exhaust.  In addition, the VOC</t>
  </si>
  <si>
    <t>emission factors take into account diurnal, hot soak, running and resting emissions, and PM10 emission factors</t>
  </si>
  <si>
    <t>take into account tire and brake wear.</t>
  </si>
  <si>
    <t>Exhaust Emission Factors</t>
  </si>
  <si>
    <t>CO
(lb/mi)</t>
  </si>
  <si>
    <t>VOC
(lb/mi)</t>
  </si>
  <si>
    <t>PM10
(lb/mi)</t>
  </si>
  <si>
    <t>Emissions [pounds/day] = Emission factor [pounds/mile] x Vehicle miles traveled [miles/day]</t>
  </si>
  <si>
    <t>Motor Vehicle Entrained Paved Road PM10 Emission Factors</t>
  </si>
  <si>
    <t>Road Type</t>
  </si>
  <si>
    <t>Local</t>
  </si>
  <si>
    <t>Collector</t>
  </si>
  <si>
    <t xml:space="preserve">    Methodology 7.9, Entrained Paved Road Dust (1997)</t>
  </si>
  <si>
    <r>
      <t>b</t>
    </r>
    <r>
      <rPr>
        <sz val="8"/>
        <rFont val="Arial"/>
        <family val="2"/>
      </rPr>
      <t xml:space="preserve">  From ARB Emission Inventory Methodology 7.9, Entrained Paved Road Dust (1997)</t>
    </r>
  </si>
  <si>
    <t xml:space="preserve">   from ARB Emission Inventory Methodology 7.9, Entrained Paved Road Dust (1997)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</si>
  <si>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</si>
  <si>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</si>
  <si>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On-Road Average
Vehicle Weight
(tons)</t>
    </r>
    <r>
      <rPr>
        <b/>
        <vertAlign val="superscript"/>
        <sz val="10"/>
        <rFont val="Arial"/>
        <family val="2"/>
      </rPr>
      <t>a</t>
    </r>
  </si>
  <si>
    <r>
      <t>Silt Loading
(g/m2)</t>
    </r>
    <r>
      <rPr>
        <b/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</si>
  <si>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(Weight/3)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</si>
  <si>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t>Total On-Site</t>
  </si>
  <si>
    <t>CO-Total</t>
  </si>
  <si>
    <t>VOC-Total</t>
  </si>
  <si>
    <t>NOx-Total</t>
  </si>
  <si>
    <t>SOx-Total</t>
  </si>
  <si>
    <t>Fugitive Dust PM10 Emission Factors</t>
  </si>
  <si>
    <t>Soil Dropping During Excavation</t>
  </si>
  <si>
    <t>Reference:  AP-42, Equation (1), Section 13.2.4, January 1995</t>
  </si>
  <si>
    <t>Parameter</t>
  </si>
  <si>
    <t>Value</t>
  </si>
  <si>
    <t>Basis</t>
  </si>
  <si>
    <t>Mean Wind Speed</t>
  </si>
  <si>
    <t>SCAQMD 1993 CEQA Air Quality Handbook, Default</t>
  </si>
  <si>
    <t>Moisture</t>
  </si>
  <si>
    <t>"Open Fugitive Dust PM10 Control Strategies Study," Midwest Research Institute, October 12, 1990.</t>
  </si>
  <si>
    <t>Number Drops</t>
  </si>
  <si>
    <t>Assumption</t>
  </si>
  <si>
    <t>Soil Density</t>
  </si>
  <si>
    <t>Table 2.46, Handbook of Solid Waste Management</t>
  </si>
  <si>
    <t>lb/cu. yd</t>
  </si>
  <si>
    <t>Reduction from Watering Twice/Day</t>
  </si>
  <si>
    <t xml:space="preserve">  to comply with SCAQMD Rule 403</t>
  </si>
  <si>
    <t>Emissions [pounds per day] = Controlled emission factor [pounds per cubic yard] x Volume soil handled [cubic yards per day]</t>
  </si>
  <si>
    <t>Storage Pile Wind Erosion</t>
  </si>
  <si>
    <t>Emission Factor [lb/day-acre] = 0.85 x (silt content [%] / 1.5) x (365 / 235) x (percentage of time unobstructed wind exceeds 12 mph / 15)</t>
  </si>
  <si>
    <t>Reference:  Fugitive Dust Background Document and Technical Information Document for Best Available Control Measures,</t>
  </si>
  <si>
    <t xml:space="preserve">                  EPA, September 1992</t>
  </si>
  <si>
    <t>Silt Content</t>
  </si>
  <si>
    <t>SCAQMD 1993 CEQA Air Quality Handbook, Overburden</t>
  </si>
  <si>
    <t>Pct. time wind &gt; 12 mph</t>
  </si>
  <si>
    <t>lb/day-acre</t>
  </si>
  <si>
    <t>Emissions [pounds per day] = Controlled emission factor [pounds per acre-day] x Storage pile surface area [acres]</t>
  </si>
  <si>
    <r>
      <t>Emission Factor [lb/cu. yd] = 0.0011 x (mean wind speed [mi/hr] / 5)</t>
    </r>
    <r>
      <rPr>
        <vertAlign val="superscript"/>
        <sz val="10"/>
        <rFont val="Arial"/>
        <family val="2"/>
      </rPr>
      <t>1.3</t>
    </r>
    <r>
      <rPr>
        <sz val="10"/>
        <rFont val="Arial"/>
        <family val="0"/>
      </rPr>
      <t xml:space="preserve"> / (moisture [%] / 2)</t>
    </r>
    <r>
      <rPr>
        <vertAlign val="superscript"/>
        <sz val="10"/>
        <rFont val="Arial"/>
        <family val="2"/>
      </rPr>
      <t>1.4</t>
    </r>
    <r>
      <rPr>
        <sz val="10"/>
        <rFont val="Arial"/>
        <family val="2"/>
      </rPr>
      <t xml:space="preserve"> x (number drops per ton) x (density [ton/cu. yd])</t>
    </r>
  </si>
  <si>
    <t>Activity</t>
  </si>
  <si>
    <t>Units</t>
  </si>
  <si>
    <t>Quantity per Day</t>
  </si>
  <si>
    <t>Excavation</t>
  </si>
  <si>
    <t>Cu. Yd.</t>
  </si>
  <si>
    <t>Acres</t>
  </si>
  <si>
    <t>Emission
Factor
(lb/activity)</t>
  </si>
  <si>
    <t>Volume Applied/Day (gallons)</t>
  </si>
  <si>
    <r>
      <t>VOC Content (lb/gallon)</t>
    </r>
    <r>
      <rPr>
        <vertAlign val="superscript"/>
        <sz val="10"/>
        <rFont val="Arial"/>
        <family val="2"/>
      </rPr>
      <t>a</t>
    </r>
  </si>
  <si>
    <t>VOC Emissions (lb/day)</t>
  </si>
  <si>
    <r>
      <t>a</t>
    </r>
    <r>
      <rPr>
        <sz val="8"/>
        <rFont val="Arial"/>
        <family val="2"/>
      </rPr>
      <t xml:space="preserve">  Limit for Industrial Maintenance Coatings in SCAQMD Rule 1113 - Architectural Coatings</t>
    </r>
  </si>
  <si>
    <t>Area Paved/Day (acres)</t>
  </si>
  <si>
    <r>
      <t>VOC Emission Factor (lb/acre-day)</t>
    </r>
    <r>
      <rPr>
        <vertAlign val="superscript"/>
        <sz val="10"/>
        <rFont val="Arial"/>
        <family val="2"/>
      </rPr>
      <t>a</t>
    </r>
  </si>
  <si>
    <t>Item</t>
  </si>
  <si>
    <t>On-Site Motor Vehicle Exhaust</t>
  </si>
  <si>
    <t>On-Site Architectural Coating</t>
  </si>
  <si>
    <t>On-Site Asphaltic Paving</t>
  </si>
  <si>
    <t>Off-Site Motor Vehicle Exhaust</t>
  </si>
  <si>
    <t>Total Off-site</t>
  </si>
  <si>
    <t>--</t>
  </si>
  <si>
    <t>Source</t>
  </si>
  <si>
    <t>CO
(lb/day)</t>
  </si>
  <si>
    <t>VOC
(lb/day)</t>
  </si>
  <si>
    <t>NOx
(lb/day)</t>
  </si>
  <si>
    <t>SOx
(lb/day)</t>
  </si>
  <si>
    <t>PM10
(lb/day)</t>
  </si>
  <si>
    <t>PM10-Total</t>
  </si>
  <si>
    <t>On-Site Diesel Construction Equipment</t>
  </si>
  <si>
    <t>On-Site Gasoline Construction Equipment</t>
  </si>
  <si>
    <t>Area Paved/Day (square feet)</t>
  </si>
  <si>
    <t>Welding rigs</t>
  </si>
  <si>
    <t>Backhoe</t>
  </si>
  <si>
    <t>Compressor</t>
  </si>
  <si>
    <t>15 ton crane</t>
  </si>
  <si>
    <t>75 ton crane</t>
  </si>
  <si>
    <t>Bi-Weekly Maximum Daily Number</t>
  </si>
  <si>
    <t>Hours
or
Miles/Day</t>
  </si>
  <si>
    <t>Equipment/Vehicle Type</t>
  </si>
  <si>
    <t>Construction Equipment</t>
  </si>
  <si>
    <t>Motor Vehicles</t>
  </si>
  <si>
    <t>Off-Site Dump Truck</t>
  </si>
  <si>
    <t>Off-Site Concrete Truck</t>
  </si>
  <si>
    <t>Off-Site Delivery Truck</t>
  </si>
  <si>
    <t>Construction Equipment Total</t>
  </si>
  <si>
    <t>On-Site Motor Vehicle Total</t>
  </si>
  <si>
    <t>Off-Site Motor Vehicle Total</t>
  </si>
  <si>
    <t>Emission
Factor</t>
  </si>
  <si>
    <t>Front-end  loader</t>
  </si>
  <si>
    <t>Diesel Equipment</t>
  </si>
  <si>
    <t>Gasoline Equipment</t>
  </si>
  <si>
    <t>On-Site Motor Vehicles</t>
  </si>
  <si>
    <t>Off-Site Motor Vehicles</t>
  </si>
  <si>
    <t>Architectural Coating</t>
  </si>
  <si>
    <t>Paving</t>
  </si>
  <si>
    <t>Site 1</t>
  </si>
  <si>
    <t>CEQA Significance Threshold</t>
  </si>
  <si>
    <t>Significant?</t>
  </si>
  <si>
    <t>Bi-Weekly Operating Hours or Miles per Day</t>
  </si>
  <si>
    <t>Bi-Weekly Maximum Daily Emissions (lb/day)</t>
  </si>
  <si>
    <t>Bi-Weekly Quantity per Day and Maximum Daily Emissions</t>
  </si>
  <si>
    <r>
      <t>Construction Equipment Emissions Factors for 2007 by Equipment
Catgeory and Horsepower Range</t>
    </r>
    <r>
      <rPr>
        <b/>
        <vertAlign val="superscript"/>
        <sz val="10"/>
        <rFont val="Arial"/>
        <family val="2"/>
      </rPr>
      <t>a</t>
    </r>
  </si>
  <si>
    <r>
      <t xml:space="preserve">a  </t>
    </r>
    <r>
      <rPr>
        <sz val="8"/>
        <rFont val="Arial"/>
        <family val="0"/>
      </rPr>
      <t>These are composite horsepower-based off-road emission factors for 2007 developed for the SCAQMD by CARB</t>
    </r>
  </si>
  <si>
    <t>2007 Motor Vehicle Exhaust Emission Factors</t>
  </si>
  <si>
    <t>Site 2</t>
  </si>
  <si>
    <t>Site 3</t>
  </si>
  <si>
    <t>Site 4</t>
  </si>
  <si>
    <t>Site</t>
  </si>
  <si>
    <t>PM2.5 Fraction of PM10 in Diesel Engine Exhaust =</t>
  </si>
  <si>
    <r>
      <t>PM2.5
(lb/mi)</t>
    </r>
    <r>
      <rPr>
        <b/>
        <vertAlign val="superscript"/>
        <sz val="10"/>
        <rFont val="Arial"/>
        <family val="2"/>
      </rPr>
      <t>a</t>
    </r>
  </si>
  <si>
    <r>
      <t>c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</si>
  <si>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Gasoline Engine Exhaust =</t>
  </si>
  <si>
    <r>
      <t xml:space="preserve">
PM10
Emission
Factor
(lb/mi)</t>
    </r>
    <r>
      <rPr>
        <b/>
        <vertAlign val="superscript"/>
        <sz val="10"/>
        <rFont val="Arial"/>
        <family val="2"/>
      </rPr>
      <t>c</t>
    </r>
  </si>
  <si>
    <r>
      <t>d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</si>
  <si>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Paved Road Dust =</t>
  </si>
  <si>
    <t>PM10 Emission Factor (Uncontrolled)</t>
  </si>
  <si>
    <t>Controlled PM10 Emission Factor</t>
  </si>
  <si>
    <t>PM2.5 Fraction of PM10 in Construction Dust =</t>
  </si>
  <si>
    <r>
      <t>Controlled PM2.5 Emission Factor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</si>
  <si>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 PM2.5 emission factor [lb/hr] = PM10 emission factor [lb/hr] x PM2.5 fraction of PM10</t>
    </r>
  </si>
  <si>
    <r>
      <t>Controlled PM2.5 Emission Factor</t>
    </r>
    <r>
      <rPr>
        <vertAlign val="superscript"/>
        <sz val="10"/>
        <rFont val="Arial"/>
        <family val="2"/>
      </rPr>
      <t>b</t>
    </r>
  </si>
  <si>
    <t>PM2.5 Fraction of PM10 in Windblown Dust =</t>
  </si>
  <si>
    <r>
      <t>b</t>
    </r>
    <r>
      <rPr>
        <sz val="10"/>
        <rFont val="Arial"/>
        <family val="2"/>
      </rPr>
      <t xml:space="preserve">  PM2.5 emission factor [lb/hr] = PM10 emission factor [lb/hr] x PM2.5 fraction of PM10</t>
    </r>
  </si>
  <si>
    <r>
      <t xml:space="preserve">
PM2.5
Emission
Factor
(lb/mi)</t>
    </r>
    <r>
      <rPr>
        <b/>
        <vertAlign val="superscript"/>
        <sz val="10"/>
        <rFont val="Arial"/>
        <family val="2"/>
      </rPr>
      <t>d</t>
    </r>
  </si>
  <si>
    <t>PM2.5-Total</t>
  </si>
  <si>
    <t>PM2.5
(lb/day)</t>
  </si>
  <si>
    <t>Off-Site Motor Vehicle Fugitive PM</t>
  </si>
  <si>
    <t>PM2.5</t>
  </si>
  <si>
    <r>
      <t>a</t>
    </r>
    <r>
      <rPr>
        <sz val="8"/>
        <rFont val="Arial"/>
        <family val="2"/>
      </rPr>
      <t xml:space="preserve">  Weight of on-site vehicles based on vehicle class. Off-site average vehicle weight from</t>
    </r>
  </si>
  <si>
    <r>
      <t>CO
(lb/hr)</t>
    </r>
    <r>
      <rPr>
        <b/>
        <vertAlign val="superscript"/>
        <sz val="10"/>
        <rFont val="Arial"/>
        <family val="2"/>
      </rPr>
      <t>a</t>
    </r>
  </si>
  <si>
    <r>
      <t>VOC
(lb/hr)</t>
    </r>
    <r>
      <rPr>
        <b/>
        <vertAlign val="superscript"/>
        <sz val="10"/>
        <rFont val="Arial"/>
        <family val="2"/>
      </rPr>
      <t>a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</si>
  <si>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(lb/hr)</t>
    </r>
    <r>
      <rPr>
        <b/>
        <vertAlign val="superscript"/>
        <sz val="10"/>
        <rFont val="Arial"/>
        <family val="2"/>
      </rPr>
      <t>a</t>
    </r>
  </si>
  <si>
    <r>
      <t>PM10
(lb/hr)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</si>
  <si>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From Table B.1.8</t>
    </r>
  </si>
  <si>
    <t>Generic</t>
  </si>
  <si>
    <t>Start Dates</t>
  </si>
  <si>
    <t>Start</t>
  </si>
  <si>
    <t>Maximum</t>
  </si>
  <si>
    <t>Threshold</t>
  </si>
  <si>
    <t>Cumulative Emissions Summary</t>
  </si>
  <si>
    <t>Peak Daily Cumulative</t>
  </si>
  <si>
    <t>Significance Threshold</t>
  </si>
  <si>
    <t>No</t>
  </si>
  <si>
    <t>Yes</t>
  </si>
  <si>
    <t>from Final–Methodology to Calculate Particulate Matter (PM) 2.5</t>
  </si>
  <si>
    <t>and PM 2.5 Significance Thresholds, SCAQMD, October 2006</t>
  </si>
  <si>
    <t>Table C.1.1 B</t>
  </si>
  <si>
    <t>Table C.1.1 A</t>
  </si>
  <si>
    <t>Table C.1.1 C</t>
  </si>
  <si>
    <t>Table C.1.1 D</t>
  </si>
  <si>
    <t>Table C.1.1 E</t>
  </si>
  <si>
    <t>Table C.1.1 F</t>
  </si>
  <si>
    <t>Table C.1.1 G</t>
  </si>
  <si>
    <t>Table C.1.1 H</t>
  </si>
  <si>
    <t>Table C.1.1 I</t>
  </si>
  <si>
    <t>Table C.1.1 J</t>
  </si>
  <si>
    <t>Table C.1.1 N</t>
  </si>
  <si>
    <t>Table C.1.1 M</t>
  </si>
  <si>
    <t>Table C.1.1 O</t>
  </si>
  <si>
    <t>Table C.1.1 P</t>
  </si>
  <si>
    <t>Table C.1.1 Q</t>
  </si>
  <si>
    <t>Table C.1.3</t>
  </si>
  <si>
    <t>SCAB Fleet Average Emission Factors (Diesel)</t>
  </si>
  <si>
    <t>Air Basin</t>
  </si>
  <si>
    <t>SC</t>
  </si>
  <si>
    <t>(lb/hr)</t>
  </si>
  <si>
    <t>Equipment</t>
  </si>
  <si>
    <t>MaxHP</t>
  </si>
  <si>
    <t>ROG</t>
  </si>
  <si>
    <t>NOX</t>
  </si>
  <si>
    <t>SOX</t>
  </si>
  <si>
    <t>PM</t>
  </si>
  <si>
    <t>Aerial Lifts</t>
  </si>
  <si>
    <t>Aerial Lifts Composite</t>
  </si>
  <si>
    <t>Air Compressors</t>
  </si>
  <si>
    <t>Air Compressors Composite</t>
  </si>
  <si>
    <t>Bore/Drill Rigs Composite</t>
  </si>
  <si>
    <t>Cement and Mortar Mixers Composite</t>
  </si>
  <si>
    <t>Concrete/Industrial Saws Composite</t>
  </si>
  <si>
    <t>Cranes Composite</t>
  </si>
  <si>
    <t>Crawler Tractors Composite</t>
  </si>
  <si>
    <t>Crushing/Proc. Equipment Composite</t>
  </si>
  <si>
    <t>Dumpers/Tenders</t>
  </si>
  <si>
    <t>Dumpers/Tenders Composite</t>
  </si>
  <si>
    <t>Excavators Composite</t>
  </si>
  <si>
    <t>Forklifts</t>
  </si>
  <si>
    <t>Forklifts Composite</t>
  </si>
  <si>
    <t>Generator Sets Composite</t>
  </si>
  <si>
    <t>Graders Composite</t>
  </si>
  <si>
    <t>Off-Highway Tractors Composite</t>
  </si>
  <si>
    <t>Off-Highway Trucks Composite</t>
  </si>
  <si>
    <t>Other Construction Equipment Composite</t>
  </si>
  <si>
    <t>Other General Industrial Equipmen</t>
  </si>
  <si>
    <t>Other General Industrial Equipmen Composite</t>
  </si>
  <si>
    <t>Other Material Handling Equipment</t>
  </si>
  <si>
    <t>Other Material Handling Equipment Composite</t>
  </si>
  <si>
    <t>Pavers Composite</t>
  </si>
  <si>
    <t>Paving Equipment Composite</t>
  </si>
  <si>
    <t>Plate Compactors Composite</t>
  </si>
  <si>
    <t>Pressure Washers</t>
  </si>
  <si>
    <t>Pressure Washers Composite</t>
  </si>
  <si>
    <t>Pumps</t>
  </si>
  <si>
    <t>Pumps Composite</t>
  </si>
  <si>
    <t>Rollers Composite</t>
  </si>
  <si>
    <t>Rough Terrain Forklifts Composite</t>
  </si>
  <si>
    <t>Rubber Tired Dozers Composite</t>
  </si>
  <si>
    <t>Rubber Tired Loaders Composite</t>
  </si>
  <si>
    <t>Scrapers Composite</t>
  </si>
  <si>
    <t>Signal Boards Composite</t>
  </si>
  <si>
    <t>Skid Steer Loaders Composite</t>
  </si>
  <si>
    <t>Surfacing Equipment Composite</t>
  </si>
  <si>
    <t>Sweepers/Scrubbers</t>
  </si>
  <si>
    <t>Sweepers/Scrubbers Composite</t>
  </si>
  <si>
    <t>Tractors/Loaders/Backhoes Composite</t>
  </si>
  <si>
    <t>Trenchers Composite</t>
  </si>
  <si>
    <t>Welders Composite</t>
  </si>
  <si>
    <t>Emission factors sent by ARB on December 7, 2006 in grams per hour.  EF converted by SCAQMD to pounds per hour.</t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</si>
  <si>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(lb/hr)</t>
    </r>
    <r>
      <rPr>
        <b/>
        <vertAlign val="superscript"/>
        <sz val="10"/>
        <rFont val="Arial"/>
        <family val="2"/>
      </rPr>
      <t>a</t>
    </r>
  </si>
  <si>
    <r>
      <t>PM2.5
(lb/hr)</t>
    </r>
    <r>
      <rPr>
        <b/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</si>
  <si>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Diesel PM2.5 emission factor [lb/hr] = PM10 emission factor [lb/hr] x PM2.5 fraction of PM10</t>
    </r>
  </si>
  <si>
    <t xml:space="preserve">   the year.  The emission factors can be downloaded from http://www.aqmd.gov/ceqa/hdbk.html/offroadEF_0620.xls</t>
  </si>
  <si>
    <t>Gas Line Welding rigs</t>
  </si>
  <si>
    <t>Gas Line Backhoe</t>
  </si>
  <si>
    <t>Gas Line Compressor</t>
  </si>
  <si>
    <t>Gas Line Front-end loader</t>
  </si>
  <si>
    <t>Gas Line Compactor</t>
  </si>
  <si>
    <t>Gas Line Excavator</t>
  </si>
  <si>
    <t>Gas Line 15 ton crane</t>
  </si>
  <si>
    <t>Gas Line Roller</t>
  </si>
  <si>
    <t>Gas Line Reed Screen</t>
  </si>
  <si>
    <t>Power Plant</t>
  </si>
  <si>
    <t>Gas Line</t>
  </si>
  <si>
    <t>On-Site Water Truck</t>
  </si>
  <si>
    <t>Off-Site Motor Vehicle Fugitive</t>
  </si>
  <si>
    <t>Excavation and Motor Vehicle Fugitive</t>
  </si>
  <si>
    <t>Power Plant Total</t>
  </si>
  <si>
    <t>Gas Line Total</t>
  </si>
  <si>
    <t>On-Site Excavation and Motor Vehicle Fugitive</t>
  </si>
  <si>
    <t>Emissions</t>
  </si>
  <si>
    <t>Daily Unmitigate NOx Emissions (lb/day)</t>
  </si>
  <si>
    <t>Daily Reduction from RTCs (lb/day)</t>
  </si>
  <si>
    <t>Daily Mitigated NOx Emissions (lb/day)</t>
  </si>
  <si>
    <t>Working Days per Bi-Weekly Period =</t>
  </si>
  <si>
    <t>RTCs Required (lb)</t>
  </si>
  <si>
    <t>Total RTCs Required</t>
  </si>
  <si>
    <t>Table C.1.4</t>
  </si>
  <si>
    <t>Table C.1.5 A</t>
  </si>
  <si>
    <t>Table C.1.5 B</t>
  </si>
  <si>
    <t>Table C.1.6</t>
  </si>
  <si>
    <t>Mira Loma Construction</t>
  </si>
  <si>
    <t>Table C.1.2</t>
  </si>
  <si>
    <t>Cumulative CO Emissions</t>
  </si>
  <si>
    <t>Barre</t>
  </si>
  <si>
    <t>Center</t>
  </si>
  <si>
    <t>Etiwanda</t>
  </si>
  <si>
    <t>Mira Loma</t>
  </si>
  <si>
    <t>Table C.1.7 A</t>
  </si>
  <si>
    <t>Cumulative VOC Emissions</t>
  </si>
  <si>
    <t>Cumulative NOx Emissions</t>
  </si>
  <si>
    <t>Table C.1.7 B</t>
  </si>
  <si>
    <t>Table C.1.7 C</t>
  </si>
  <si>
    <t>Table C.1.7 D</t>
  </si>
  <si>
    <t>Cumulative SOx Emissions</t>
  </si>
  <si>
    <t>Table C.1.7 E</t>
  </si>
  <si>
    <t>Cumulative PM10 Emissions</t>
  </si>
  <si>
    <t>Table C.1.7 F</t>
  </si>
  <si>
    <t>Cumulative PM2.5 Emissions</t>
  </si>
  <si>
    <t>Table C.1.8</t>
  </si>
  <si>
    <t>Fuel Use</t>
  </si>
  <si>
    <t>Bi-Weekly Fuel Use</t>
  </si>
  <si>
    <t>or MPG</t>
  </si>
  <si>
    <t>Total Fuel</t>
  </si>
  <si>
    <t>For Diesel-fired Construction Equipment:</t>
  </si>
  <si>
    <t>For Motor Vehicles:</t>
  </si>
  <si>
    <t>Total Gasoline</t>
  </si>
  <si>
    <t xml:space="preserve">Fuel Use = Hp x Hours x  7000 Btu/hp-hr / 139,000 Btu/gal </t>
  </si>
  <si>
    <t>Fuel Use = Miles / MPG</t>
  </si>
  <si>
    <t>Total Diesel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</si>
</sst>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#,##0.000"/>
    <numFmt numFmtId="169" formatCode="0.00000"/>
    <numFmt numFmtId="170" formatCode="m/d/yy;@"/>
    <numFmt numFmtId="171" formatCode="0.0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2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Alignment="0"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2" fillId="32" borderId="8" applyNumberFormat="0" applyBorder="0" applyAlignment="0" applyProtection="0"/>
    <xf numFmtId="0" fontId="4" fillId="0" borderId="0">
      <alignment vertical="top" wrapText="1"/>
      <protection/>
    </xf>
    <xf numFmtId="0" fontId="44" fillId="0" borderId="9" applyNumberFormat="0" applyFill="0" applyAlignment="0" applyProtection="0"/>
    <xf numFmtId="0" fontId="45" fillId="33" borderId="0" applyNumberFormat="0" applyBorder="0" applyAlignment="0" applyProtection="0"/>
    <xf numFmtId="171" fontId="5" fillId="0" borderId="0">
      <alignment/>
      <protection/>
    </xf>
    <xf numFmtId="0" fontId="0" fillId="34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2">
      <alignment horizontal="center"/>
      <protection/>
    </xf>
    <xf numFmtId="3" fontId="6" fillId="0" borderId="0" applyFont="0" applyFill="0" applyBorder="0" applyAlignment="0" applyProtection="0"/>
    <xf numFmtId="0" fontId="6" fillId="35" borderId="0" applyNumberFormat="0" applyFont="0" applyBorder="0" applyAlignment="0" applyProtection="0"/>
    <xf numFmtId="0" fontId="4" fillId="30" borderId="0" applyAlignment="0">
      <protection/>
    </xf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8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0" fillId="0" borderId="14" xfId="0" applyBorder="1" applyAlignment="1">
      <alignment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 horizontal="center"/>
    </xf>
    <xf numFmtId="0" fontId="8" fillId="0" borderId="8" xfId="0" applyFont="1" applyBorder="1" applyAlignment="1">
      <alignment/>
    </xf>
    <xf numFmtId="165" fontId="8" fillId="0" borderId="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1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8" xfId="0" applyFont="1" applyFill="1" applyBorder="1" applyAlignment="1">
      <alignment horizontal="center" wrapText="1"/>
    </xf>
    <xf numFmtId="169" fontId="0" fillId="0" borderId="8" xfId="0" applyNumberFormat="1" applyFont="1" applyBorder="1" applyAlignment="1">
      <alignment horizontal="center" wrapText="1"/>
    </xf>
    <xf numFmtId="169" fontId="0" fillId="0" borderId="8" xfId="0" applyNumberFormat="1" applyFont="1" applyFill="1" applyBorder="1" applyAlignment="1">
      <alignment horizontal="center" wrapText="1"/>
    </xf>
    <xf numFmtId="169" fontId="0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168" fontId="0" fillId="0" borderId="8" xfId="0" applyNumberFormat="1" applyBorder="1" applyAlignment="1">
      <alignment horizontal="center"/>
    </xf>
    <xf numFmtId="11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8" xfId="0" applyFill="1" applyBorder="1" applyAlignment="1">
      <alignment horizontal="left"/>
    </xf>
    <xf numFmtId="2" fontId="0" fillId="0" borderId="8" xfId="0" applyNumberFormat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167" fontId="8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8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8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0" fillId="0" borderId="8" xfId="0" applyBorder="1" applyAlignment="1">
      <alignment horizontal="left"/>
    </xf>
    <xf numFmtId="170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170" fontId="8" fillId="0" borderId="16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5" fontId="0" fillId="0" borderId="8" xfId="0" applyNumberFormat="1" applyBorder="1" applyAlignment="1" quotePrefix="1">
      <alignment horizontal="center"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170" fontId="0" fillId="0" borderId="8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0" fontId="0" fillId="0" borderId="8" xfId="0" applyNumberFormat="1" applyBorder="1" applyAlignment="1">
      <alignment/>
    </xf>
    <xf numFmtId="0" fontId="13" fillId="0" borderId="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16" fillId="36" borderId="8" xfId="0" applyFont="1" applyFill="1" applyBorder="1" applyAlignment="1">
      <alignment horizontal="left"/>
    </xf>
    <xf numFmtId="0" fontId="16" fillId="36" borderId="8" xfId="0" applyFont="1" applyFill="1" applyBorder="1" applyAlignment="1">
      <alignment horizontal="center"/>
    </xf>
    <xf numFmtId="166" fontId="16" fillId="36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7" fontId="8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8" fillId="0" borderId="16" xfId="0" applyFont="1" applyBorder="1" applyAlignment="1">
      <alignment/>
    </xf>
    <xf numFmtId="165" fontId="8" fillId="0" borderId="16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e Item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PSChar" xfId="66"/>
    <cellStyle name="PSDate" xfId="67"/>
    <cellStyle name="PSDec" xfId="68"/>
    <cellStyle name="PSHeading" xfId="69"/>
    <cellStyle name="PSInt" xfId="70"/>
    <cellStyle name="PSSpacer" xfId="71"/>
    <cellStyle name="Sub Heading" xfId="72"/>
    <cellStyle name="Title" xfId="73"/>
    <cellStyle name="Total" xfId="74"/>
    <cellStyle name="Warning Text" xfId="7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6.42187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ht="12.75">
      <c r="A1" s="37" t="s">
        <v>206</v>
      </c>
    </row>
    <row r="2" spans="1:7" ht="12.75">
      <c r="A2" s="3"/>
      <c r="B2" s="11" t="s">
        <v>20</v>
      </c>
      <c r="C2" s="11" t="s">
        <v>24</v>
      </c>
      <c r="D2" s="11" t="s">
        <v>21</v>
      </c>
      <c r="E2" s="11" t="s">
        <v>23</v>
      </c>
      <c r="F2" s="11" t="s">
        <v>22</v>
      </c>
      <c r="G2" s="11" t="s">
        <v>194</v>
      </c>
    </row>
    <row r="3" spans="1:7" ht="12.75">
      <c r="A3" s="3" t="s">
        <v>207</v>
      </c>
      <c r="B3" s="16">
        <v>229.39452381473018</v>
      </c>
      <c r="C3" s="16">
        <v>59.11625729549746</v>
      </c>
      <c r="D3" s="16">
        <v>288.83852239389716</v>
      </c>
      <c r="E3" s="16">
        <v>0.311996717381118</v>
      </c>
      <c r="F3" s="16">
        <v>23.775973403249193</v>
      </c>
      <c r="G3" s="16">
        <v>23.074100333645493</v>
      </c>
    </row>
    <row r="4" spans="1:7" ht="12.75">
      <c r="A4" s="3" t="s">
        <v>208</v>
      </c>
      <c r="B4" s="5">
        <v>550</v>
      </c>
      <c r="C4" s="5">
        <v>75</v>
      </c>
      <c r="D4" s="5">
        <v>100</v>
      </c>
      <c r="E4" s="5">
        <v>150</v>
      </c>
      <c r="F4" s="5">
        <v>150</v>
      </c>
      <c r="G4" s="5">
        <v>55</v>
      </c>
    </row>
    <row r="5" spans="1:7" ht="12.75">
      <c r="A5" s="3" t="s">
        <v>164</v>
      </c>
      <c r="B5" s="5" t="s">
        <v>209</v>
      </c>
      <c r="C5" s="5" t="s">
        <v>209</v>
      </c>
      <c r="D5" s="5" t="s">
        <v>210</v>
      </c>
      <c r="E5" s="5" t="s">
        <v>209</v>
      </c>
      <c r="F5" s="5" t="s">
        <v>209</v>
      </c>
      <c r="G5" s="5" t="s">
        <v>209</v>
      </c>
    </row>
    <row r="7" spans="1:13" ht="12.75">
      <c r="A7" s="17" t="s">
        <v>174</v>
      </c>
      <c r="B7" s="60">
        <v>38774</v>
      </c>
      <c r="C7" s="60">
        <v>38788</v>
      </c>
      <c r="D7" s="60">
        <v>38802</v>
      </c>
      <c r="E7" s="60">
        <v>38816</v>
      </c>
      <c r="F7" s="60">
        <v>38830</v>
      </c>
      <c r="G7" s="60">
        <v>38844</v>
      </c>
      <c r="H7" s="60">
        <v>38858</v>
      </c>
      <c r="I7" s="60">
        <v>38872</v>
      </c>
      <c r="J7" s="60">
        <v>38886</v>
      </c>
      <c r="K7" s="60">
        <v>38900</v>
      </c>
      <c r="L7" s="60">
        <v>38914</v>
      </c>
      <c r="M7" s="82"/>
    </row>
    <row r="8" spans="1:13" ht="12.75">
      <c r="A8" s="17" t="s">
        <v>20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2"/>
    </row>
    <row r="9" spans="1:12" ht="12.75">
      <c r="A9" s="3" t="s">
        <v>162</v>
      </c>
      <c r="B9" s="16">
        <v>16.96871630056655</v>
      </c>
      <c r="C9" s="16">
        <v>39.60053040453235</v>
      </c>
      <c r="D9" s="16">
        <v>57.720130404532355</v>
      </c>
      <c r="E9" s="16">
        <v>56.23413260113309</v>
      </c>
      <c r="F9" s="16">
        <v>52.9267326011331</v>
      </c>
      <c r="G9" s="16">
        <v>34.29784890169964</v>
      </c>
      <c r="H9" s="16">
        <v>22.715816300566544</v>
      </c>
      <c r="I9" s="16">
        <v>19.126216300566547</v>
      </c>
      <c r="J9" s="16">
        <v>2.1153</v>
      </c>
      <c r="K9" s="16">
        <v>0</v>
      </c>
      <c r="L9" s="16">
        <v>0</v>
      </c>
    </row>
    <row r="10" spans="1:12" ht="12.75">
      <c r="A10" s="3" t="s">
        <v>171</v>
      </c>
      <c r="B10" s="16">
        <v>0</v>
      </c>
      <c r="C10" s="16">
        <v>16.96871630056655</v>
      </c>
      <c r="D10" s="16">
        <v>39.60053040453235</v>
      </c>
      <c r="E10" s="16">
        <v>57.720130404532355</v>
      </c>
      <c r="F10" s="16">
        <v>56.23413260113309</v>
      </c>
      <c r="G10" s="16">
        <v>52.9267326011331</v>
      </c>
      <c r="H10" s="16">
        <v>34.29784890169964</v>
      </c>
      <c r="I10" s="16">
        <v>22.715816300566544</v>
      </c>
      <c r="J10" s="16">
        <v>19.126216300566547</v>
      </c>
      <c r="K10" s="16">
        <v>2.1153</v>
      </c>
      <c r="L10" s="16">
        <v>0</v>
      </c>
    </row>
    <row r="11" spans="1:12" ht="12.75">
      <c r="A11" s="3" t="s">
        <v>172</v>
      </c>
      <c r="B11" s="16">
        <v>0</v>
      </c>
      <c r="C11" s="16">
        <v>16.96871630056655</v>
      </c>
      <c r="D11" s="16">
        <v>39.60053040453235</v>
      </c>
      <c r="E11" s="16">
        <v>57.720130404532355</v>
      </c>
      <c r="F11" s="16">
        <v>56.23413260113309</v>
      </c>
      <c r="G11" s="16">
        <v>52.9267326011331</v>
      </c>
      <c r="H11" s="16">
        <v>34.29784890169964</v>
      </c>
      <c r="I11" s="16">
        <v>22.715816300566544</v>
      </c>
      <c r="J11" s="16">
        <v>19.126216300566547</v>
      </c>
      <c r="K11" s="16">
        <v>2.1153</v>
      </c>
      <c r="L11" s="16">
        <v>0</v>
      </c>
    </row>
    <row r="12" spans="1:12" ht="12.75">
      <c r="A12" s="3" t="s">
        <v>173</v>
      </c>
      <c r="B12" s="16">
        <v>0</v>
      </c>
      <c r="C12" s="16">
        <v>16.96871630056655</v>
      </c>
      <c r="D12" s="16">
        <v>39.60053040453235</v>
      </c>
      <c r="E12" s="16">
        <v>57.720130404532355</v>
      </c>
      <c r="F12" s="16">
        <v>56.23413260113309</v>
      </c>
      <c r="G12" s="16">
        <v>52.9267326011331</v>
      </c>
      <c r="H12" s="16">
        <v>34.29784890169964</v>
      </c>
      <c r="I12" s="16">
        <v>22.715816300566544</v>
      </c>
      <c r="J12" s="16">
        <v>19.126216300566547</v>
      </c>
      <c r="K12" s="16">
        <v>2.1153</v>
      </c>
      <c r="L12" s="16">
        <v>0</v>
      </c>
    </row>
    <row r="13" spans="1:12" ht="12.75">
      <c r="A13" s="17" t="s">
        <v>42</v>
      </c>
      <c r="B13" s="18">
        <v>16.96871630056655</v>
      </c>
      <c r="C13" s="18">
        <v>90.506679306232</v>
      </c>
      <c r="D13" s="18">
        <v>176.52172161812942</v>
      </c>
      <c r="E13" s="18">
        <v>229.39452381473018</v>
      </c>
      <c r="F13" s="18">
        <v>221.6291304045324</v>
      </c>
      <c r="G13" s="18">
        <v>193.07804670509893</v>
      </c>
      <c r="H13" s="18">
        <v>125.60936300566546</v>
      </c>
      <c r="I13" s="18">
        <v>87.27366520226617</v>
      </c>
      <c r="J13" s="18">
        <v>59.493948901699646</v>
      </c>
      <c r="K13" s="18">
        <v>6.3459</v>
      </c>
      <c r="L13" s="18">
        <v>0</v>
      </c>
    </row>
    <row r="14" spans="1:12" ht="12.75">
      <c r="A14" s="17" t="s">
        <v>204</v>
      </c>
      <c r="B14" s="18">
        <v>229.39452381473018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 t="s">
        <v>205</v>
      </c>
      <c r="B15" s="86">
        <v>550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 t="s">
        <v>164</v>
      </c>
      <c r="B16" s="5" t="s">
        <v>209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7" t="s">
        <v>24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2.75">
      <c r="A18" s="3" t="s">
        <v>162</v>
      </c>
      <c r="B18" s="16">
        <v>4.506330911937184</v>
      </c>
      <c r="C18" s="16">
        <v>9.734667295497466</v>
      </c>
      <c r="D18" s="16">
        <v>13.771907295497465</v>
      </c>
      <c r="E18" s="16">
        <v>15.385766823874366</v>
      </c>
      <c r="F18" s="16">
        <v>12.958956823874367</v>
      </c>
      <c r="G18" s="16">
        <v>8.414847735811549</v>
      </c>
      <c r="H18" s="16">
        <v>4.792195911937183</v>
      </c>
      <c r="I18" s="16">
        <v>4.404955911937183</v>
      </c>
      <c r="J18" s="16">
        <v>0.22819499999999998</v>
      </c>
      <c r="K18" s="16">
        <v>0</v>
      </c>
      <c r="L18" s="16">
        <v>0</v>
      </c>
    </row>
    <row r="19" spans="1:12" ht="12.75">
      <c r="A19" s="3" t="s">
        <v>171</v>
      </c>
      <c r="B19" s="16">
        <v>0</v>
      </c>
      <c r="C19" s="16">
        <v>4.506330911937184</v>
      </c>
      <c r="D19" s="16">
        <v>9.734667295497466</v>
      </c>
      <c r="E19" s="16">
        <v>13.771907295497465</v>
      </c>
      <c r="F19" s="16">
        <v>15.385766823874366</v>
      </c>
      <c r="G19" s="16">
        <v>12.958956823874367</v>
      </c>
      <c r="H19" s="16">
        <v>8.414847735811549</v>
      </c>
      <c r="I19" s="16">
        <v>4.792195911937183</v>
      </c>
      <c r="J19" s="16">
        <v>4.404955911937183</v>
      </c>
      <c r="K19" s="16">
        <v>0.22819499999999998</v>
      </c>
      <c r="L19" s="16">
        <v>0</v>
      </c>
    </row>
    <row r="20" spans="1:12" ht="12.75">
      <c r="A20" s="3" t="s">
        <v>172</v>
      </c>
      <c r="B20" s="16">
        <v>0</v>
      </c>
      <c r="C20" s="16">
        <v>4.506330911937184</v>
      </c>
      <c r="D20" s="16">
        <v>9.734667295497466</v>
      </c>
      <c r="E20" s="16">
        <v>13.771907295497465</v>
      </c>
      <c r="F20" s="16">
        <v>15.385766823874366</v>
      </c>
      <c r="G20" s="16">
        <v>12.958956823874367</v>
      </c>
      <c r="H20" s="16">
        <v>8.414847735811549</v>
      </c>
      <c r="I20" s="16">
        <v>4.792195911937183</v>
      </c>
      <c r="J20" s="16">
        <v>4.404955911937183</v>
      </c>
      <c r="K20" s="16">
        <v>0.22819499999999998</v>
      </c>
      <c r="L20" s="16">
        <v>0</v>
      </c>
    </row>
    <row r="21" spans="1:12" ht="12.75">
      <c r="A21" s="3" t="s">
        <v>173</v>
      </c>
      <c r="B21" s="16">
        <v>0</v>
      </c>
      <c r="C21" s="16">
        <v>4.506330911937184</v>
      </c>
      <c r="D21" s="16">
        <v>9.734667295497466</v>
      </c>
      <c r="E21" s="16">
        <v>13.771907295497465</v>
      </c>
      <c r="F21" s="16">
        <v>15.385766823874366</v>
      </c>
      <c r="G21" s="16">
        <v>12.958956823874367</v>
      </c>
      <c r="H21" s="16">
        <v>8.414847735811549</v>
      </c>
      <c r="I21" s="16">
        <v>4.792195911937183</v>
      </c>
      <c r="J21" s="16">
        <v>4.404955911937183</v>
      </c>
      <c r="K21" s="16">
        <v>0.22819499999999998</v>
      </c>
      <c r="L21" s="16">
        <v>0</v>
      </c>
    </row>
    <row r="22" spans="1:12" ht="12.75">
      <c r="A22" s="17" t="s">
        <v>42</v>
      </c>
      <c r="B22" s="18">
        <v>4.506330911937184</v>
      </c>
      <c r="C22" s="18">
        <v>23.253660031309018</v>
      </c>
      <c r="D22" s="18">
        <v>42.97590918198986</v>
      </c>
      <c r="E22" s="18">
        <v>56.70148871036676</v>
      </c>
      <c r="F22" s="18">
        <v>59.11625729549746</v>
      </c>
      <c r="G22" s="18">
        <v>47.29171820743465</v>
      </c>
      <c r="H22" s="18">
        <v>30.03673911937183</v>
      </c>
      <c r="I22" s="18">
        <v>18.781543647748734</v>
      </c>
      <c r="J22" s="18">
        <v>13.443062735811548</v>
      </c>
      <c r="K22" s="18">
        <v>0.684585</v>
      </c>
      <c r="L22" s="18">
        <v>0</v>
      </c>
    </row>
    <row r="23" spans="1:12" ht="12.75">
      <c r="A23" s="17" t="s">
        <v>204</v>
      </c>
      <c r="B23" s="18">
        <v>59.11625729549746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 t="s">
        <v>205</v>
      </c>
      <c r="B24" s="86">
        <v>75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 t="s">
        <v>164</v>
      </c>
      <c r="B25" s="5" t="s">
        <v>209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7" t="s">
        <v>21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2.75">
      <c r="A27" s="3" t="s">
        <v>162</v>
      </c>
      <c r="B27" s="16">
        <v>18.901566438226816</v>
      </c>
      <c r="C27" s="16">
        <v>54.59987150581453</v>
      </c>
      <c r="D27" s="16">
        <v>73.11095150581453</v>
      </c>
      <c r="E27" s="16">
        <v>69.50566787645363</v>
      </c>
      <c r="F27" s="16">
        <v>57.650397876453624</v>
      </c>
      <c r="G27" s="16">
        <v>36.39648431468045</v>
      </c>
      <c r="H27" s="16">
        <v>17.913021438226817</v>
      </c>
      <c r="I27" s="16">
        <v>17.531941438226816</v>
      </c>
      <c r="J27" s="16">
        <v>0.22456500000000001</v>
      </c>
      <c r="K27" s="16">
        <v>0</v>
      </c>
      <c r="L27" s="16">
        <v>0</v>
      </c>
    </row>
    <row r="28" spans="1:12" ht="12.75">
      <c r="A28" s="3" t="s">
        <v>171</v>
      </c>
      <c r="B28" s="16">
        <v>0</v>
      </c>
      <c r="C28" s="16">
        <v>18.901566438226816</v>
      </c>
      <c r="D28" s="16">
        <v>54.59987150581453</v>
      </c>
      <c r="E28" s="16">
        <v>73.11095150581453</v>
      </c>
      <c r="F28" s="16">
        <v>69.50566787645363</v>
      </c>
      <c r="G28" s="16">
        <v>57.650397876453624</v>
      </c>
      <c r="H28" s="16">
        <v>36.39648431468045</v>
      </c>
      <c r="I28" s="16">
        <v>17.913021438226817</v>
      </c>
      <c r="J28" s="16">
        <v>17.531941438226816</v>
      </c>
      <c r="K28" s="16">
        <v>0.22456500000000001</v>
      </c>
      <c r="L28" s="16">
        <v>0</v>
      </c>
    </row>
    <row r="29" spans="1:12" ht="12.75">
      <c r="A29" s="3" t="s">
        <v>172</v>
      </c>
      <c r="B29" s="16">
        <v>0</v>
      </c>
      <c r="C29" s="16">
        <v>18.901566438226816</v>
      </c>
      <c r="D29" s="16">
        <v>54.59987150581453</v>
      </c>
      <c r="E29" s="16">
        <v>73.11095150581453</v>
      </c>
      <c r="F29" s="16">
        <v>69.50566787645363</v>
      </c>
      <c r="G29" s="16">
        <v>57.650397876453624</v>
      </c>
      <c r="H29" s="16">
        <v>36.39648431468045</v>
      </c>
      <c r="I29" s="16">
        <v>17.913021438226817</v>
      </c>
      <c r="J29" s="16">
        <v>17.531941438226816</v>
      </c>
      <c r="K29" s="16">
        <v>0.22456500000000001</v>
      </c>
      <c r="L29" s="16">
        <v>0</v>
      </c>
    </row>
    <row r="30" spans="1:12" ht="12.75">
      <c r="A30" s="3" t="s">
        <v>173</v>
      </c>
      <c r="B30" s="16">
        <v>0</v>
      </c>
      <c r="C30" s="16">
        <v>18.901566438226816</v>
      </c>
      <c r="D30" s="16">
        <v>54.59987150581453</v>
      </c>
      <c r="E30" s="16">
        <v>73.11095150581453</v>
      </c>
      <c r="F30" s="16">
        <v>69.50566787645363</v>
      </c>
      <c r="G30" s="16">
        <v>57.650397876453624</v>
      </c>
      <c r="H30" s="16">
        <v>36.39648431468045</v>
      </c>
      <c r="I30" s="16">
        <v>17.913021438226817</v>
      </c>
      <c r="J30" s="16">
        <v>17.531941438226816</v>
      </c>
      <c r="K30" s="16">
        <v>0.22456500000000001</v>
      </c>
      <c r="L30" s="16">
        <v>0</v>
      </c>
    </row>
    <row r="31" spans="1:12" ht="12.75">
      <c r="A31" s="17" t="s">
        <v>42</v>
      </c>
      <c r="B31" s="18">
        <v>18.901566438226816</v>
      </c>
      <c r="C31" s="18">
        <v>111.30457082049497</v>
      </c>
      <c r="D31" s="18">
        <v>236.9105660232581</v>
      </c>
      <c r="E31" s="18">
        <v>288.83852239389716</v>
      </c>
      <c r="F31" s="18">
        <v>266.1674015058145</v>
      </c>
      <c r="G31" s="18">
        <v>209.34767794404132</v>
      </c>
      <c r="H31" s="18">
        <v>127.10247438226817</v>
      </c>
      <c r="I31" s="18">
        <v>71.27100575290727</v>
      </c>
      <c r="J31" s="18">
        <v>52.82038931468045</v>
      </c>
      <c r="K31" s="18">
        <v>0.673695</v>
      </c>
      <c r="L31" s="18">
        <v>0</v>
      </c>
    </row>
    <row r="32" spans="1:12" ht="12.75">
      <c r="A32" s="17" t="s">
        <v>204</v>
      </c>
      <c r="B32" s="18">
        <v>288.83852239389716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205</v>
      </c>
      <c r="B33" s="86">
        <v>100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164</v>
      </c>
      <c r="B34" s="5" t="s">
        <v>210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7" t="s">
        <v>23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3" t="s">
        <v>162</v>
      </c>
      <c r="B36" s="16">
        <v>0.01393676934982322</v>
      </c>
      <c r="C36" s="16">
        <v>0.05657915479858577</v>
      </c>
      <c r="D36" s="16">
        <v>0.0786527262271572</v>
      </c>
      <c r="E36" s="16">
        <v>0.07603853869964644</v>
      </c>
      <c r="F36" s="16">
        <v>0.06292639584250359</v>
      </c>
      <c r="G36" s="16">
        <v>0.039832450906612527</v>
      </c>
      <c r="H36" s="16">
        <v>0.022778197921251797</v>
      </c>
      <c r="I36" s="16">
        <v>0.020258197921251796</v>
      </c>
      <c r="J36" s="16">
        <v>0.001485</v>
      </c>
      <c r="K36" s="16">
        <v>0</v>
      </c>
      <c r="L36" s="16">
        <v>0</v>
      </c>
    </row>
    <row r="37" spans="1:12" ht="12.75">
      <c r="A37" s="3" t="s">
        <v>171</v>
      </c>
      <c r="B37" s="16">
        <v>0</v>
      </c>
      <c r="C37" s="16">
        <v>0.01393676934982322</v>
      </c>
      <c r="D37" s="16">
        <v>0.05657915479858577</v>
      </c>
      <c r="E37" s="16">
        <v>0.0786527262271572</v>
      </c>
      <c r="F37" s="16">
        <v>0.07603853869964644</v>
      </c>
      <c r="G37" s="16">
        <v>0.06292639584250359</v>
      </c>
      <c r="H37" s="16">
        <v>0.039832450906612527</v>
      </c>
      <c r="I37" s="16">
        <v>0.022778197921251797</v>
      </c>
      <c r="J37" s="16">
        <v>0.020258197921251796</v>
      </c>
      <c r="K37" s="16">
        <v>0.001485</v>
      </c>
      <c r="L37" s="16">
        <v>0</v>
      </c>
    </row>
    <row r="38" spans="1:12" ht="12.75">
      <c r="A38" s="3" t="s">
        <v>172</v>
      </c>
      <c r="B38" s="16">
        <v>0</v>
      </c>
      <c r="C38" s="16">
        <v>0.01393676934982322</v>
      </c>
      <c r="D38" s="16">
        <v>0.05657915479858577</v>
      </c>
      <c r="E38" s="16">
        <v>0.0786527262271572</v>
      </c>
      <c r="F38" s="16">
        <v>0.07603853869964644</v>
      </c>
      <c r="G38" s="16">
        <v>0.06292639584250359</v>
      </c>
      <c r="H38" s="16">
        <v>0.039832450906612527</v>
      </c>
      <c r="I38" s="16">
        <v>0.022778197921251797</v>
      </c>
      <c r="J38" s="16">
        <v>0.020258197921251796</v>
      </c>
      <c r="K38" s="16">
        <v>0.001485</v>
      </c>
      <c r="L38" s="16">
        <v>0</v>
      </c>
    </row>
    <row r="39" spans="1:12" ht="12.75">
      <c r="A39" s="3" t="s">
        <v>173</v>
      </c>
      <c r="B39" s="16">
        <v>0</v>
      </c>
      <c r="C39" s="16">
        <v>0.01393676934982322</v>
      </c>
      <c r="D39" s="16">
        <v>0.05657915479858577</v>
      </c>
      <c r="E39" s="16">
        <v>0.0786527262271572</v>
      </c>
      <c r="F39" s="16">
        <v>0.07603853869964644</v>
      </c>
      <c r="G39" s="16">
        <v>0.06292639584250359</v>
      </c>
      <c r="H39" s="16">
        <v>0.039832450906612527</v>
      </c>
      <c r="I39" s="16">
        <v>0.022778197921251797</v>
      </c>
      <c r="J39" s="16">
        <v>0.020258197921251796</v>
      </c>
      <c r="K39" s="16">
        <v>0.001485</v>
      </c>
      <c r="L39" s="16">
        <v>0</v>
      </c>
    </row>
    <row r="40" spans="1:12" ht="12.75">
      <c r="A40" s="17" t="s">
        <v>42</v>
      </c>
      <c r="B40" s="18">
        <v>0.01393676934982322</v>
      </c>
      <c r="C40" s="18">
        <v>0.09838946284805541</v>
      </c>
      <c r="D40" s="18">
        <v>0.2483901906229145</v>
      </c>
      <c r="E40" s="18">
        <v>0.311996717381118</v>
      </c>
      <c r="F40" s="18">
        <v>0.2910420119414429</v>
      </c>
      <c r="G40" s="18">
        <v>0.2286116384341233</v>
      </c>
      <c r="H40" s="18">
        <v>0.14227555064108938</v>
      </c>
      <c r="I40" s="18">
        <v>0.0885927916850072</v>
      </c>
      <c r="J40" s="18">
        <v>0.06225959376375539</v>
      </c>
      <c r="K40" s="18">
        <v>0.004455</v>
      </c>
      <c r="L40" s="18">
        <v>0</v>
      </c>
    </row>
    <row r="41" spans="1:12" ht="12.75">
      <c r="A41" s="17" t="s">
        <v>204</v>
      </c>
      <c r="B41" s="18">
        <v>0.311996717381118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 t="s">
        <v>205</v>
      </c>
      <c r="B42" s="86">
        <v>150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 t="s">
        <v>164</v>
      </c>
      <c r="B43" s="5" t="s">
        <v>209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17" t="s">
        <v>22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2.75">
      <c r="A45" s="3" t="s">
        <v>162</v>
      </c>
      <c r="B45" s="16">
        <v>2.1281787232069904</v>
      </c>
      <c r="C45" s="16">
        <v>4.437560729105604</v>
      </c>
      <c r="D45" s="16">
        <v>6.139946275445762</v>
      </c>
      <c r="E45" s="16">
        <v>5.356134576911905</v>
      </c>
      <c r="F45" s="16">
        <v>4.9805381903268655</v>
      </c>
      <c r="G45" s="16">
        <v>3.042139324218623</v>
      </c>
      <c r="H45" s="16">
        <v>1.5755703073647562</v>
      </c>
      <c r="I45" s="16">
        <v>1.553184761024598</v>
      </c>
      <c r="J45" s="16">
        <v>0.09929782819501771</v>
      </c>
      <c r="K45" s="16">
        <v>0</v>
      </c>
      <c r="L45" s="16">
        <v>0</v>
      </c>
    </row>
    <row r="46" spans="1:12" ht="12.75">
      <c r="A46" s="3" t="s">
        <v>171</v>
      </c>
      <c r="B46" s="16">
        <v>0</v>
      </c>
      <c r="C46" s="16">
        <v>2.1281787232069904</v>
      </c>
      <c r="D46" s="16">
        <v>4.437560729105604</v>
      </c>
      <c r="E46" s="16">
        <v>6.139946275445762</v>
      </c>
      <c r="F46" s="16">
        <v>5.356134576911905</v>
      </c>
      <c r="G46" s="16">
        <v>4.9805381903268655</v>
      </c>
      <c r="H46" s="16">
        <v>3.042139324218623</v>
      </c>
      <c r="I46" s="16">
        <v>1.5755703073647562</v>
      </c>
      <c r="J46" s="16">
        <v>1.553184761024598</v>
      </c>
      <c r="K46" s="16">
        <v>0.09929782819501771</v>
      </c>
      <c r="L46" s="16">
        <v>0</v>
      </c>
    </row>
    <row r="47" spans="1:12" ht="12.75">
      <c r="A47" s="3" t="s">
        <v>172</v>
      </c>
      <c r="B47" s="16">
        <v>0</v>
      </c>
      <c r="C47" s="16">
        <v>2.1281787232069904</v>
      </c>
      <c r="D47" s="16">
        <v>4.437560729105604</v>
      </c>
      <c r="E47" s="16">
        <v>6.139946275445762</v>
      </c>
      <c r="F47" s="16">
        <v>5.356134576911905</v>
      </c>
      <c r="G47" s="16">
        <v>4.9805381903268655</v>
      </c>
      <c r="H47" s="16">
        <v>3.042139324218623</v>
      </c>
      <c r="I47" s="16">
        <v>1.5755703073647562</v>
      </c>
      <c r="J47" s="16">
        <v>1.553184761024598</v>
      </c>
      <c r="K47" s="16">
        <v>0.09929782819501771</v>
      </c>
      <c r="L47" s="16">
        <v>0</v>
      </c>
    </row>
    <row r="48" spans="1:12" ht="12.75">
      <c r="A48" s="3" t="s">
        <v>173</v>
      </c>
      <c r="B48" s="16">
        <v>0</v>
      </c>
      <c r="C48" s="16">
        <v>2.1281787232069904</v>
      </c>
      <c r="D48" s="16">
        <v>4.437560729105604</v>
      </c>
      <c r="E48" s="16">
        <v>6.139946275445762</v>
      </c>
      <c r="F48" s="16">
        <v>5.356134576911905</v>
      </c>
      <c r="G48" s="16">
        <v>4.9805381903268655</v>
      </c>
      <c r="H48" s="16">
        <v>3.042139324218623</v>
      </c>
      <c r="I48" s="16">
        <v>1.5755703073647562</v>
      </c>
      <c r="J48" s="16">
        <v>1.553184761024598</v>
      </c>
      <c r="K48" s="16">
        <v>0.09929782819501771</v>
      </c>
      <c r="L48" s="16">
        <v>0</v>
      </c>
    </row>
    <row r="49" spans="1:12" ht="12.75">
      <c r="A49" s="17" t="s">
        <v>42</v>
      </c>
      <c r="B49" s="18">
        <v>2.1281787232069904</v>
      </c>
      <c r="C49" s="18">
        <v>10.822096898726574</v>
      </c>
      <c r="D49" s="18">
        <v>19.452628462762576</v>
      </c>
      <c r="E49" s="18">
        <v>23.775973403249193</v>
      </c>
      <c r="F49" s="18">
        <v>21.048941921062582</v>
      </c>
      <c r="G49" s="18">
        <v>17.983753895199218</v>
      </c>
      <c r="H49" s="18">
        <v>10.701988280020625</v>
      </c>
      <c r="I49" s="18">
        <v>6.279895683118866</v>
      </c>
      <c r="J49" s="18">
        <v>4.758852111268811</v>
      </c>
      <c r="K49" s="18">
        <v>0.29789348458505316</v>
      </c>
      <c r="L49" s="18">
        <v>0</v>
      </c>
    </row>
    <row r="50" spans="1:12" ht="12.75">
      <c r="A50" s="17" t="s">
        <v>204</v>
      </c>
      <c r="B50" s="18">
        <v>23.775973403249193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 t="s">
        <v>205</v>
      </c>
      <c r="B51" s="86">
        <v>150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164</v>
      </c>
      <c r="B52" s="5" t="s">
        <v>209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17" t="s">
        <v>194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2.75">
      <c r="A54" s="3" t="s">
        <v>162</v>
      </c>
      <c r="B54" s="16">
        <v>1.9367425822500013</v>
      </c>
      <c r="C54" s="16">
        <v>4.3590155936900175</v>
      </c>
      <c r="D54" s="16">
        <v>5.994148010161335</v>
      </c>
      <c r="E54" s="16">
        <v>5.091656303161486</v>
      </c>
      <c r="F54" s="16">
        <v>4.728873199043655</v>
      </c>
      <c r="G54" s="16">
        <v>2.8985862739737893</v>
      </c>
      <c r="H54" s="16">
        <v>1.5657813044401665</v>
      </c>
      <c r="I54" s="16">
        <v>1.4762488879688498</v>
      </c>
      <c r="J54" s="16">
        <v>0.06115699336536049</v>
      </c>
      <c r="K54" s="16">
        <v>0</v>
      </c>
      <c r="L54" s="16">
        <v>0</v>
      </c>
    </row>
    <row r="55" spans="1:12" ht="12.75">
      <c r="A55" s="3" t="s">
        <v>171</v>
      </c>
      <c r="B55" s="16">
        <v>0</v>
      </c>
      <c r="C55" s="16">
        <v>1.9367425822500013</v>
      </c>
      <c r="D55" s="16">
        <v>4.3590155936900175</v>
      </c>
      <c r="E55" s="16">
        <v>5.994148010161335</v>
      </c>
      <c r="F55" s="16">
        <v>5.091656303161486</v>
      </c>
      <c r="G55" s="16">
        <v>4.728873199043655</v>
      </c>
      <c r="H55" s="16">
        <v>2.8985862739737893</v>
      </c>
      <c r="I55" s="16">
        <v>1.5657813044401665</v>
      </c>
      <c r="J55" s="16">
        <v>1.4762488879688498</v>
      </c>
      <c r="K55" s="16">
        <v>0.06115699336536049</v>
      </c>
      <c r="L55" s="16">
        <v>0</v>
      </c>
    </row>
    <row r="56" spans="1:12" ht="12.75">
      <c r="A56" s="3" t="s">
        <v>172</v>
      </c>
      <c r="B56" s="16">
        <v>0</v>
      </c>
      <c r="C56" s="16">
        <v>1.9367425822500013</v>
      </c>
      <c r="D56" s="16">
        <v>4.3590155936900175</v>
      </c>
      <c r="E56" s="16">
        <v>5.994148010161335</v>
      </c>
      <c r="F56" s="16">
        <v>5.091656303161486</v>
      </c>
      <c r="G56" s="16">
        <v>4.728873199043655</v>
      </c>
      <c r="H56" s="16">
        <v>2.8985862739737893</v>
      </c>
      <c r="I56" s="16">
        <v>1.5657813044401665</v>
      </c>
      <c r="J56" s="16">
        <v>1.4762488879688498</v>
      </c>
      <c r="K56" s="16">
        <v>0.06115699336536049</v>
      </c>
      <c r="L56" s="16">
        <v>0</v>
      </c>
    </row>
    <row r="57" spans="1:12" ht="12.75">
      <c r="A57" s="3" t="s">
        <v>173</v>
      </c>
      <c r="B57" s="16">
        <v>0</v>
      </c>
      <c r="C57" s="16">
        <v>1.9367425822500013</v>
      </c>
      <c r="D57" s="16">
        <v>4.3590155936900175</v>
      </c>
      <c r="E57" s="16">
        <v>5.994148010161335</v>
      </c>
      <c r="F57" s="16">
        <v>5.091656303161486</v>
      </c>
      <c r="G57" s="16">
        <v>4.728873199043655</v>
      </c>
      <c r="H57" s="16">
        <v>2.8985862739737893</v>
      </c>
      <c r="I57" s="16">
        <v>1.5657813044401665</v>
      </c>
      <c r="J57" s="16">
        <v>1.4762488879688498</v>
      </c>
      <c r="K57" s="16">
        <v>0.06115699336536049</v>
      </c>
      <c r="L57" s="16">
        <v>0</v>
      </c>
    </row>
    <row r="58" spans="1:12" ht="12.75">
      <c r="A58" s="17" t="s">
        <v>42</v>
      </c>
      <c r="B58" s="18">
        <v>1.9367425822500013</v>
      </c>
      <c r="C58" s="18">
        <v>10.169243340440023</v>
      </c>
      <c r="D58" s="18">
        <v>19.071194791231388</v>
      </c>
      <c r="E58" s="18">
        <v>23.074100333645493</v>
      </c>
      <c r="F58" s="18">
        <v>20.00384210852811</v>
      </c>
      <c r="G58" s="18">
        <v>17.085205871104755</v>
      </c>
      <c r="H58" s="18">
        <v>10.261540126361535</v>
      </c>
      <c r="I58" s="18">
        <v>6.17359280128935</v>
      </c>
      <c r="J58" s="18">
        <v>4.48990365727191</v>
      </c>
      <c r="K58" s="18">
        <v>0.18347098009608148</v>
      </c>
      <c r="L58" s="18">
        <v>0</v>
      </c>
    </row>
    <row r="59" spans="1:12" ht="12.75">
      <c r="A59" s="17" t="s">
        <v>204</v>
      </c>
      <c r="B59" s="18">
        <v>23.074100333645493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 t="s">
        <v>205</v>
      </c>
      <c r="B60" s="86">
        <v>55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 t="s">
        <v>164</v>
      </c>
      <c r="B61" s="5" t="s">
        <v>209</v>
      </c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1" r:id="rId1"/>
  <headerFooter alignWithMargins="0">
    <oddFooter>&amp;CB.1-&amp;P&amp;RSCE Peaker Project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7.00390625" style="0" customWidth="1"/>
    <col min="3" max="3" width="12.421875" style="0" customWidth="1"/>
  </cols>
  <sheetData>
    <row r="1" spans="1:15" ht="12.75">
      <c r="A1" s="133" t="s">
        <v>334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>
      <c r="A2" s="133" t="s">
        <v>335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1" t="s">
        <v>145</v>
      </c>
      <c r="B3" s="11" t="s">
        <v>2</v>
      </c>
      <c r="C3" s="11" t="s">
        <v>3</v>
      </c>
      <c r="D3" s="132" t="s">
        <v>336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1"/>
      <c r="B4" s="11"/>
      <c r="C4" s="11" t="s">
        <v>337</v>
      </c>
      <c r="D4" s="60">
        <f>DATE(2007,2,26)</f>
        <v>39139</v>
      </c>
      <c r="E4" s="60">
        <f aca="true" t="shared" si="0" ref="E4:N4">D4+14</f>
        <v>39153</v>
      </c>
      <c r="F4" s="60">
        <f t="shared" si="0"/>
        <v>39167</v>
      </c>
      <c r="G4" s="60">
        <f t="shared" si="0"/>
        <v>39181</v>
      </c>
      <c r="H4" s="60">
        <f t="shared" si="0"/>
        <v>39195</v>
      </c>
      <c r="I4" s="60">
        <f t="shared" si="0"/>
        <v>39209</v>
      </c>
      <c r="J4" s="60">
        <f t="shared" si="0"/>
        <v>39223</v>
      </c>
      <c r="K4" s="60">
        <f t="shared" si="0"/>
        <v>39237</v>
      </c>
      <c r="L4" s="60">
        <f t="shared" si="0"/>
        <v>39251</v>
      </c>
      <c r="M4" s="60">
        <f t="shared" si="0"/>
        <v>39265</v>
      </c>
      <c r="N4" s="60">
        <f t="shared" si="0"/>
        <v>39279</v>
      </c>
      <c r="O4" s="11" t="s">
        <v>42</v>
      </c>
    </row>
    <row r="5" spans="1:15" ht="12.75">
      <c r="A5" s="17" t="s">
        <v>297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7" t="s">
        <v>146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138</v>
      </c>
      <c r="B7" s="5" t="s">
        <v>5</v>
      </c>
      <c r="C7" s="5">
        <f>VLOOKUP(A7,'Const. Equip. EFs'!$A$5:$C$19,3,FALSE)</f>
        <v>35</v>
      </c>
      <c r="D7" s="44">
        <f>'Mira Loma'!C212*Fuel!$C7*7000/139000</f>
        <v>21.151079136690647</v>
      </c>
      <c r="E7" s="44">
        <f>'Mira Loma'!D212*Fuel!$C7*7000/139000</f>
        <v>21.151079136690647</v>
      </c>
      <c r="F7" s="44">
        <f>'Mira Loma'!E212*Fuel!$C7*7000/139000</f>
        <v>21.151079136690647</v>
      </c>
      <c r="G7" s="44">
        <f>'Mira Loma'!F212*Fuel!$C7*7000/139000</f>
        <v>21.151079136690647</v>
      </c>
      <c r="H7" s="44">
        <f>'Mira Loma'!G212*Fuel!$C7*7000/139000</f>
        <v>21.151079136690647</v>
      </c>
      <c r="I7" s="44">
        <f>'Mira Loma'!H212*Fuel!$C7*7000/139000</f>
        <v>21.151079136690647</v>
      </c>
      <c r="J7" s="44">
        <f>'Mira Loma'!I212*Fuel!$C7*7000/139000</f>
        <v>10.575539568345324</v>
      </c>
      <c r="K7" s="44">
        <f>'Mira Loma'!J212*Fuel!$C7*7000/139000</f>
        <v>10.575539568345324</v>
      </c>
      <c r="L7" s="44">
        <f>'Mira Loma'!K212*Fuel!$C7*7000/139000</f>
        <v>0</v>
      </c>
      <c r="M7" s="44">
        <f>'Mira Loma'!L212*Fuel!$C7*7000/139000</f>
        <v>0</v>
      </c>
      <c r="N7" s="44">
        <f>'Mira Loma'!M212*Fuel!$C7*7000/139000</f>
        <v>0</v>
      </c>
      <c r="O7" s="44">
        <f aca="true" t="shared" si="1" ref="O7:O12">SUM(D7:N7)</f>
        <v>148.05755395683454</v>
      </c>
    </row>
    <row r="8" spans="1:15" ht="12.75">
      <c r="A8" s="3" t="s">
        <v>139</v>
      </c>
      <c r="B8" s="5" t="s">
        <v>5</v>
      </c>
      <c r="C8" s="5">
        <f>VLOOKUP(A8,'Const. Equip. EFs'!$A$5:$C$19,3,FALSE)</f>
        <v>79</v>
      </c>
      <c r="D8" s="44">
        <f>'Mira Loma'!C213*Fuel!$C8*7000/139000</f>
        <v>23.8705035971223</v>
      </c>
      <c r="E8" s="44">
        <v>23.8705035971223</v>
      </c>
      <c r="F8" s="44">
        <v>47.7410071942446</v>
      </c>
      <c r="G8" s="44">
        <v>47.7410071942446</v>
      </c>
      <c r="H8" s="44">
        <v>23.8705035971223</v>
      </c>
      <c r="I8" s="44">
        <v>23.8705035971223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f t="shared" si="1"/>
        <v>190.9640287769784</v>
      </c>
    </row>
    <row r="9" spans="1:15" ht="12.75">
      <c r="A9" s="3" t="s">
        <v>140</v>
      </c>
      <c r="B9" s="5" t="s">
        <v>5</v>
      </c>
      <c r="C9" s="5">
        <f>VLOOKUP(A9,'Const. Equip. EFs'!$A$5:$C$19,3,FALSE)</f>
        <v>37</v>
      </c>
      <c r="D9" s="44">
        <f>'Mira Loma'!C214*Fuel!$C9*7000/139000</f>
        <v>11.179856115107913</v>
      </c>
      <c r="E9" s="44">
        <v>11.179856115107913</v>
      </c>
      <c r="F9" s="44">
        <v>22.359712230215827</v>
      </c>
      <c r="G9" s="44">
        <v>44.719424460431654</v>
      </c>
      <c r="H9" s="44">
        <v>44.719424460431654</v>
      </c>
      <c r="I9" s="44">
        <v>44.719424460431654</v>
      </c>
      <c r="J9" s="44">
        <v>33.539568345323744</v>
      </c>
      <c r="K9" s="44">
        <v>22.359712230215827</v>
      </c>
      <c r="L9" s="44">
        <v>22.359712230215827</v>
      </c>
      <c r="M9" s="44">
        <v>0</v>
      </c>
      <c r="N9" s="44">
        <v>0</v>
      </c>
      <c r="O9" s="44">
        <f t="shared" si="1"/>
        <v>257.136690647482</v>
      </c>
    </row>
    <row r="10" spans="1:15" ht="12.75">
      <c r="A10" s="3" t="s">
        <v>155</v>
      </c>
      <c r="B10" s="5" t="s">
        <v>5</v>
      </c>
      <c r="C10" s="5">
        <f>VLOOKUP(A10,'Const. Equip. EFs'!$A$5:$C$19,3,FALSE)</f>
        <v>147</v>
      </c>
      <c r="D10" s="44">
        <f>'Mira Loma'!C215*Fuel!$C10*7000/139000</f>
        <v>0</v>
      </c>
      <c r="E10" s="44">
        <v>0</v>
      </c>
      <c r="F10" s="44">
        <v>44.41726618705036</v>
      </c>
      <c r="G10" s="44">
        <v>44.41726618705036</v>
      </c>
      <c r="H10" s="44">
        <v>44.41726618705036</v>
      </c>
      <c r="I10" s="44">
        <v>44.41726618705036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f t="shared" si="1"/>
        <v>177.66906474820144</v>
      </c>
    </row>
    <row r="11" spans="1:15" ht="12.75">
      <c r="A11" s="3" t="s">
        <v>141</v>
      </c>
      <c r="B11" s="5" t="s">
        <v>5</v>
      </c>
      <c r="C11" s="5">
        <f>VLOOKUP(A11,'Const. Equip. EFs'!$A$5:$C$19,3,FALSE)</f>
        <v>175</v>
      </c>
      <c r="D11" s="44">
        <f>'Mira Loma'!C216*Fuel!$C11*7000/139000</f>
        <v>0</v>
      </c>
      <c r="E11" s="44">
        <v>0</v>
      </c>
      <c r="F11" s="44">
        <v>52.87769784172662</v>
      </c>
      <c r="G11" s="44">
        <v>52.87769784172662</v>
      </c>
      <c r="H11" s="44">
        <v>158.63309352517985</v>
      </c>
      <c r="I11" s="44">
        <v>105.75539568345324</v>
      </c>
      <c r="J11" s="44">
        <v>105.75539568345324</v>
      </c>
      <c r="K11" s="44">
        <v>105.75539568345324</v>
      </c>
      <c r="L11" s="44">
        <v>105.75539568345324</v>
      </c>
      <c r="M11" s="44">
        <v>0</v>
      </c>
      <c r="N11" s="44">
        <v>0</v>
      </c>
      <c r="O11" s="44">
        <f t="shared" si="1"/>
        <v>687.410071942446</v>
      </c>
    </row>
    <row r="12" spans="1:15" ht="12.75">
      <c r="A12" s="3" t="s">
        <v>142</v>
      </c>
      <c r="B12" s="5" t="s">
        <v>5</v>
      </c>
      <c r="C12" s="5">
        <f>VLOOKUP(A12,'Const. Equip. EFs'!$A$5:$C$19,3,FALSE)</f>
        <v>250</v>
      </c>
      <c r="D12" s="44">
        <f>'Mira Loma'!C217*Fuel!$C12*7000/139000</f>
        <v>0</v>
      </c>
      <c r="E12" s="44">
        <v>0</v>
      </c>
      <c r="F12" s="44">
        <v>0</v>
      </c>
      <c r="G12" s="44">
        <v>0</v>
      </c>
      <c r="H12" s="44">
        <v>75.53956834532374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f t="shared" si="1"/>
        <v>75.53956834532374</v>
      </c>
    </row>
    <row r="13" spans="1:15" ht="12.75">
      <c r="A13" s="17" t="s">
        <v>147</v>
      </c>
      <c r="B13" s="5"/>
      <c r="C13" s="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3" t="s">
        <v>46</v>
      </c>
      <c r="B14" s="5" t="s">
        <v>10</v>
      </c>
      <c r="C14" s="5">
        <v>15</v>
      </c>
      <c r="D14" s="44">
        <f>'Mira Loma'!C219/Fuel!$C14</f>
        <v>1.6666666666666667</v>
      </c>
      <c r="E14" s="44">
        <f>'Mira Loma'!D219/Fuel!$C14</f>
        <v>3.3333333333333335</v>
      </c>
      <c r="F14" s="44">
        <f>'Mira Loma'!E219/Fuel!$C14</f>
        <v>3.3333333333333335</v>
      </c>
      <c r="G14" s="44">
        <f>'Mira Loma'!F219/Fuel!$C14</f>
        <v>5</v>
      </c>
      <c r="H14" s="44">
        <f>'Mira Loma'!G219/Fuel!$C14</f>
        <v>5</v>
      </c>
      <c r="I14" s="44">
        <f>'Mira Loma'!H219/Fuel!$C14</f>
        <v>3.3333333333333335</v>
      </c>
      <c r="J14" s="44">
        <f>'Mira Loma'!I219/Fuel!$C14</f>
        <v>3.3333333333333335</v>
      </c>
      <c r="K14" s="44">
        <f>'Mira Loma'!J219/Fuel!$C14</f>
        <v>3.3333333333333335</v>
      </c>
      <c r="L14" s="44">
        <f>'Mira Loma'!K219/Fuel!$C14</f>
        <v>1.6666666666666667</v>
      </c>
      <c r="M14" s="44">
        <f>'Mira Loma'!L219/Fuel!$C14</f>
        <v>0</v>
      </c>
      <c r="N14" s="44">
        <f>'Mira Loma'!M219/Fuel!$C14</f>
        <v>0</v>
      </c>
      <c r="O14" s="44">
        <f>SUM(D14:N14)</f>
        <v>30</v>
      </c>
    </row>
    <row r="15" spans="1:15" ht="12.75">
      <c r="A15" s="3" t="s">
        <v>148</v>
      </c>
      <c r="B15" s="5" t="s">
        <v>5</v>
      </c>
      <c r="C15" s="5">
        <v>10</v>
      </c>
      <c r="D15" s="44">
        <f>'Mira Loma'!C220/Fuel!$C15</f>
        <v>5</v>
      </c>
      <c r="E15" s="44">
        <f>'Mira Loma'!D220/Fuel!$C15</f>
        <v>10</v>
      </c>
      <c r="F15" s="44">
        <f>'Mira Loma'!E220/Fuel!$C15</f>
        <v>10</v>
      </c>
      <c r="G15" s="44">
        <f>'Mira Loma'!F220/Fuel!$C15</f>
        <v>5</v>
      </c>
      <c r="H15" s="44">
        <f>'Mira Loma'!G220/Fuel!$C15</f>
        <v>5</v>
      </c>
      <c r="I15" s="44">
        <f>'Mira Loma'!H220/Fuel!$C15</f>
        <v>0</v>
      </c>
      <c r="J15" s="44">
        <f>'Mira Loma'!I220/Fuel!$C15</f>
        <v>0</v>
      </c>
      <c r="K15" s="44">
        <f>'Mira Loma'!J220/Fuel!$C15</f>
        <v>0</v>
      </c>
      <c r="L15" s="44">
        <f>'Mira Loma'!K220/Fuel!$C15</f>
        <v>0</v>
      </c>
      <c r="M15" s="44">
        <f>'Mira Loma'!L220/Fuel!$C15</f>
        <v>0</v>
      </c>
      <c r="N15" s="44">
        <f>'Mira Loma'!M220/Fuel!$C15</f>
        <v>0</v>
      </c>
      <c r="O15" s="44">
        <f>SUM(D15:N15)</f>
        <v>35</v>
      </c>
    </row>
    <row r="16" spans="1:15" ht="12.75">
      <c r="A16" s="3" t="s">
        <v>149</v>
      </c>
      <c r="B16" s="5" t="s">
        <v>5</v>
      </c>
      <c r="C16" s="5">
        <v>10</v>
      </c>
      <c r="D16" s="44">
        <f>'Mira Loma'!C221/Fuel!$C16</f>
        <v>0</v>
      </c>
      <c r="E16" s="44">
        <f>'Mira Loma'!D221/Fuel!$C16</f>
        <v>25</v>
      </c>
      <c r="F16" s="44">
        <f>'Mira Loma'!E221/Fuel!$C16</f>
        <v>25</v>
      </c>
      <c r="G16" s="44">
        <f>'Mira Loma'!F221/Fuel!$C16</f>
        <v>0</v>
      </c>
      <c r="H16" s="44">
        <f>'Mira Loma'!G221/Fuel!$C16</f>
        <v>0</v>
      </c>
      <c r="I16" s="44">
        <f>'Mira Loma'!H221/Fuel!$C16</f>
        <v>0</v>
      </c>
      <c r="J16" s="44">
        <f>'Mira Loma'!I221/Fuel!$C16</f>
        <v>0</v>
      </c>
      <c r="K16" s="44">
        <f>'Mira Loma'!J221/Fuel!$C16</f>
        <v>0</v>
      </c>
      <c r="L16" s="44">
        <f>'Mira Loma'!K221/Fuel!$C16</f>
        <v>0</v>
      </c>
      <c r="M16" s="44">
        <f>'Mira Loma'!L221/Fuel!$C16</f>
        <v>0</v>
      </c>
      <c r="N16" s="44">
        <f>'Mira Loma'!M221/Fuel!$C16</f>
        <v>0</v>
      </c>
      <c r="O16" s="44">
        <f>SUM(D16:N16)</f>
        <v>50</v>
      </c>
    </row>
    <row r="17" spans="1:15" ht="12.75">
      <c r="A17" s="3" t="s">
        <v>150</v>
      </c>
      <c r="B17" s="5" t="s">
        <v>5</v>
      </c>
      <c r="C17" s="5">
        <v>10</v>
      </c>
      <c r="D17" s="44">
        <f>'Mira Loma'!C222/Fuel!$C17</f>
        <v>0</v>
      </c>
      <c r="E17" s="44">
        <f>'Mira Loma'!D222/Fuel!$C17</f>
        <v>5</v>
      </c>
      <c r="F17" s="44">
        <f>'Mira Loma'!E222/Fuel!$C17</f>
        <v>5</v>
      </c>
      <c r="G17" s="44">
        <f>'Mira Loma'!F222/Fuel!$C17</f>
        <v>5</v>
      </c>
      <c r="H17" s="44">
        <f>'Mira Loma'!G222/Fuel!$C17</f>
        <v>5</v>
      </c>
      <c r="I17" s="44">
        <f>'Mira Loma'!H222/Fuel!$C17</f>
        <v>5</v>
      </c>
      <c r="J17" s="44">
        <f>'Mira Loma'!I222/Fuel!$C17</f>
        <v>5</v>
      </c>
      <c r="K17" s="44">
        <f>'Mira Loma'!J222/Fuel!$C17</f>
        <v>5</v>
      </c>
      <c r="L17" s="44">
        <f>'Mira Loma'!K222/Fuel!$C17</f>
        <v>0</v>
      </c>
      <c r="M17" s="44">
        <f>'Mira Loma'!L222/Fuel!$C17</f>
        <v>0</v>
      </c>
      <c r="N17" s="44">
        <f>'Mira Loma'!M222/Fuel!$C17</f>
        <v>0</v>
      </c>
      <c r="O17" s="44">
        <f>SUM(D17:N17)</f>
        <v>35</v>
      </c>
    </row>
    <row r="18" spans="1:15" ht="12.75">
      <c r="A18" s="3" t="s">
        <v>47</v>
      </c>
      <c r="B18" s="5" t="s">
        <v>10</v>
      </c>
      <c r="C18" s="5">
        <v>20</v>
      </c>
      <c r="D18" s="44">
        <f>'Mira Loma'!C223/Fuel!$C18</f>
        <v>10.5</v>
      </c>
      <c r="E18" s="44">
        <f>'Mira Loma'!D223/Fuel!$C18</f>
        <v>38.5</v>
      </c>
      <c r="F18" s="44">
        <f>'Mira Loma'!E223/Fuel!$C18</f>
        <v>52.5</v>
      </c>
      <c r="G18" s="44">
        <f>'Mira Loma'!F223/Fuel!$C18</f>
        <v>66.5</v>
      </c>
      <c r="H18" s="44">
        <f>'Mira Loma'!G223/Fuel!$C18</f>
        <v>63</v>
      </c>
      <c r="I18" s="44">
        <f>'Mira Loma'!H223/Fuel!$C18</f>
        <v>42</v>
      </c>
      <c r="J18" s="44">
        <f>'Mira Loma'!I223/Fuel!$C18</f>
        <v>42</v>
      </c>
      <c r="K18" s="44">
        <f>'Mira Loma'!J223/Fuel!$C18</f>
        <v>28</v>
      </c>
      <c r="L18" s="44">
        <f>'Mira Loma'!K223/Fuel!$C18</f>
        <v>7</v>
      </c>
      <c r="M18" s="44">
        <f>'Mira Loma'!L223/Fuel!$C18</f>
        <v>0</v>
      </c>
      <c r="N18" s="44">
        <f>'Mira Loma'!M223/Fuel!$C18</f>
        <v>0</v>
      </c>
      <c r="O18" s="44">
        <f>SUM(D18:N18)</f>
        <v>350</v>
      </c>
    </row>
    <row r="19" spans="1:15" ht="12.75">
      <c r="A19" s="17" t="s">
        <v>298</v>
      </c>
      <c r="B19" s="5"/>
      <c r="C19" s="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2.75">
      <c r="A20" s="3" t="s">
        <v>146</v>
      </c>
      <c r="B20" s="5"/>
      <c r="C20" s="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3" t="s">
        <v>288</v>
      </c>
      <c r="B21" s="5" t="s">
        <v>5</v>
      </c>
      <c r="C21" s="5">
        <f>VLOOKUP(A21,'Const. Equip. EFs'!$A$5:$C$19,3,FALSE)</f>
        <v>38</v>
      </c>
      <c r="D21" s="44">
        <f>'Mira Loma'!C226*Fuel!$C21*7000/139000</f>
        <v>45.92805755395683</v>
      </c>
      <c r="E21" s="44">
        <f>'Mira Loma'!D226*Fuel!$C21*7000/139000</f>
        <v>45.92805755395683</v>
      </c>
      <c r="F21" s="44">
        <f>'Mira Loma'!E226*Fuel!$C21*7000/139000</f>
        <v>45.92805755395683</v>
      </c>
      <c r="G21" s="44">
        <f>'Mira Loma'!F226*Fuel!$C21*7000/139000</f>
        <v>45.92805755395683</v>
      </c>
      <c r="H21" s="44">
        <f>'Mira Loma'!G226*Fuel!$C21*7000/139000</f>
        <v>0</v>
      </c>
      <c r="I21" s="44">
        <f>'Mira Loma'!H226*Fuel!$C21*7000/139000</f>
        <v>0</v>
      </c>
      <c r="J21" s="44">
        <f>'Mira Loma'!I226*Fuel!$C21*7000/139000</f>
        <v>0</v>
      </c>
      <c r="K21" s="44">
        <f>'Mira Loma'!J226*Fuel!$C21*7000/139000</f>
        <v>0</v>
      </c>
      <c r="L21" s="44">
        <f>'Mira Loma'!K226*Fuel!$C21*7000/139000</f>
        <v>0</v>
      </c>
      <c r="M21" s="44">
        <f>'Mira Loma'!L226*Fuel!$C21*7000/139000</f>
        <v>0</v>
      </c>
      <c r="N21" s="44">
        <f>'Mira Loma'!M226*Fuel!$C21*7000/139000</f>
        <v>0</v>
      </c>
      <c r="O21" s="44">
        <f aca="true" t="shared" si="2" ref="O21:O29">SUM(D21:N21)</f>
        <v>183.71223021582733</v>
      </c>
    </row>
    <row r="22" spans="1:15" ht="12.75">
      <c r="A22" s="3" t="s">
        <v>289</v>
      </c>
      <c r="B22" s="5" t="s">
        <v>5</v>
      </c>
      <c r="C22" s="5">
        <f>VLOOKUP(A22,'Const. Equip. EFs'!$A$5:$C$19,3,FALSE)</f>
        <v>118</v>
      </c>
      <c r="D22" s="44">
        <f>'Mira Loma'!C227*Fuel!$C22*7000/139000</f>
        <v>35.65467625899281</v>
      </c>
      <c r="E22" s="44">
        <f>'Mira Loma'!D227*Fuel!$C22*7000/139000</f>
        <v>35.65467625899281</v>
      </c>
      <c r="F22" s="44">
        <f>'Mira Loma'!E227*Fuel!$C22*7000/139000</f>
        <v>35.65467625899281</v>
      </c>
      <c r="G22" s="44">
        <f>'Mira Loma'!F227*Fuel!$C22*7000/139000</f>
        <v>35.65467625899281</v>
      </c>
      <c r="H22" s="44">
        <f>'Mira Loma'!G227*Fuel!$C22*7000/139000</f>
        <v>0</v>
      </c>
      <c r="I22" s="44">
        <f>'Mira Loma'!H227*Fuel!$C22*7000/139000</f>
        <v>0</v>
      </c>
      <c r="J22" s="44">
        <f>'Mira Loma'!I227*Fuel!$C22*7000/139000</f>
        <v>0</v>
      </c>
      <c r="K22" s="44">
        <f>'Mira Loma'!J227*Fuel!$C22*7000/139000</f>
        <v>0</v>
      </c>
      <c r="L22" s="44">
        <f>'Mira Loma'!K227*Fuel!$C22*7000/139000</f>
        <v>0</v>
      </c>
      <c r="M22" s="44">
        <f>'Mira Loma'!L227*Fuel!$C22*7000/139000</f>
        <v>0</v>
      </c>
      <c r="N22" s="44">
        <f>'Mira Loma'!M227*Fuel!$C22*7000/139000</f>
        <v>0</v>
      </c>
      <c r="O22" s="44">
        <f t="shared" si="2"/>
        <v>142.61870503597123</v>
      </c>
    </row>
    <row r="23" spans="1:15" ht="12.75">
      <c r="A23" s="3" t="s">
        <v>290</v>
      </c>
      <c r="B23" s="5" t="s">
        <v>5</v>
      </c>
      <c r="C23" s="5">
        <f>VLOOKUP(A23,'Const. Equip. EFs'!$A$5:$C$19,3,FALSE)</f>
        <v>49</v>
      </c>
      <c r="D23" s="44">
        <f>'Mira Loma'!C228*Fuel!$C23*7000/139000</f>
        <v>14.805755395683454</v>
      </c>
      <c r="E23" s="44">
        <f>'Mira Loma'!D228*Fuel!$C23*7000/139000</f>
        <v>14.805755395683454</v>
      </c>
      <c r="F23" s="44">
        <f>'Mira Loma'!E228*Fuel!$C23*7000/139000</f>
        <v>14.805755395683454</v>
      </c>
      <c r="G23" s="44">
        <f>'Mira Loma'!F228*Fuel!$C23*7000/139000</f>
        <v>14.805755395683454</v>
      </c>
      <c r="H23" s="44">
        <f>'Mira Loma'!G228*Fuel!$C23*7000/139000</f>
        <v>0</v>
      </c>
      <c r="I23" s="44">
        <f>'Mira Loma'!H228*Fuel!$C23*7000/139000</f>
        <v>0</v>
      </c>
      <c r="J23" s="44">
        <f>'Mira Loma'!I228*Fuel!$C23*7000/139000</f>
        <v>0</v>
      </c>
      <c r="K23" s="44">
        <f>'Mira Loma'!J228*Fuel!$C23*7000/139000</f>
        <v>0</v>
      </c>
      <c r="L23" s="44">
        <f>'Mira Loma'!K228*Fuel!$C23*7000/139000</f>
        <v>0</v>
      </c>
      <c r="M23" s="44">
        <f>'Mira Loma'!L228*Fuel!$C23*7000/139000</f>
        <v>0</v>
      </c>
      <c r="N23" s="44">
        <f>'Mira Loma'!M228*Fuel!$C23*7000/139000</f>
        <v>0</v>
      </c>
      <c r="O23" s="44">
        <f t="shared" si="2"/>
        <v>59.223021582733814</v>
      </c>
    </row>
    <row r="24" spans="1:15" ht="12.75">
      <c r="A24" s="3" t="s">
        <v>291</v>
      </c>
      <c r="B24" s="5" t="s">
        <v>5</v>
      </c>
      <c r="C24" s="5">
        <f>VLOOKUP(A24,'Const. Equip. EFs'!$A$5:$C$19,3,FALSE)</f>
        <v>140</v>
      </c>
      <c r="D24" s="44">
        <f>'Mira Loma'!C229*Fuel!$C24*7000/139000</f>
        <v>70.50359712230215</v>
      </c>
      <c r="E24" s="44">
        <f>'Mira Loma'!D229*Fuel!$C24*7000/139000</f>
        <v>70.50359712230215</v>
      </c>
      <c r="F24" s="44">
        <f>'Mira Loma'!E229*Fuel!$C24*7000/139000</f>
        <v>70.50359712230215</v>
      </c>
      <c r="G24" s="44">
        <f>'Mira Loma'!F229*Fuel!$C24*7000/139000</f>
        <v>70.50359712230215</v>
      </c>
      <c r="H24" s="44">
        <f>'Mira Loma'!G229*Fuel!$C24*7000/139000</f>
        <v>0</v>
      </c>
      <c r="I24" s="44">
        <f>'Mira Loma'!H229*Fuel!$C24*7000/139000</f>
        <v>0</v>
      </c>
      <c r="J24" s="44">
        <f>'Mira Loma'!I229*Fuel!$C24*7000/139000</f>
        <v>0</v>
      </c>
      <c r="K24" s="44">
        <f>'Mira Loma'!J229*Fuel!$C24*7000/139000</f>
        <v>0</v>
      </c>
      <c r="L24" s="44">
        <f>'Mira Loma'!K229*Fuel!$C24*7000/139000</f>
        <v>0</v>
      </c>
      <c r="M24" s="44">
        <f>'Mira Loma'!L229*Fuel!$C24*7000/139000</f>
        <v>0</v>
      </c>
      <c r="N24" s="44">
        <f>'Mira Loma'!M229*Fuel!$C24*7000/139000</f>
        <v>0</v>
      </c>
      <c r="O24" s="44">
        <f t="shared" si="2"/>
        <v>282.0143884892086</v>
      </c>
    </row>
    <row r="25" spans="1:15" ht="12.75">
      <c r="A25" s="3" t="s">
        <v>292</v>
      </c>
      <c r="B25" s="5" t="s">
        <v>5</v>
      </c>
      <c r="C25" s="5">
        <f>VLOOKUP(A25,'Const. Equip. EFs'!$A$5:$C$19,3,FALSE)</f>
        <v>99</v>
      </c>
      <c r="D25" s="44">
        <f>'Mira Loma'!C230*Fuel!$C25*7000/139000</f>
        <v>19.942446043165468</v>
      </c>
      <c r="E25" s="44">
        <f>'Mira Loma'!D230*Fuel!$C25*7000/139000</f>
        <v>19.942446043165468</v>
      </c>
      <c r="F25" s="44">
        <f>'Mira Loma'!E230*Fuel!$C25*7000/139000</f>
        <v>19.942446043165468</v>
      </c>
      <c r="G25" s="44">
        <f>'Mira Loma'!F230*Fuel!$C25*7000/139000</f>
        <v>19.942446043165468</v>
      </c>
      <c r="H25" s="44">
        <f>'Mira Loma'!G230*Fuel!$C25*7000/139000</f>
        <v>0</v>
      </c>
      <c r="I25" s="44">
        <f>'Mira Loma'!H230*Fuel!$C25*7000/139000</f>
        <v>0</v>
      </c>
      <c r="J25" s="44">
        <f>'Mira Loma'!I230*Fuel!$C25*7000/139000</f>
        <v>0</v>
      </c>
      <c r="K25" s="44">
        <f>'Mira Loma'!J230*Fuel!$C25*7000/139000</f>
        <v>0</v>
      </c>
      <c r="L25" s="44">
        <f>'Mira Loma'!K230*Fuel!$C25*7000/139000</f>
        <v>0</v>
      </c>
      <c r="M25" s="44">
        <f>'Mira Loma'!L230*Fuel!$C25*7000/139000</f>
        <v>0</v>
      </c>
      <c r="N25" s="44">
        <f>'Mira Loma'!M230*Fuel!$C25*7000/139000</f>
        <v>0</v>
      </c>
      <c r="O25" s="44">
        <f t="shared" si="2"/>
        <v>79.76978417266187</v>
      </c>
    </row>
    <row r="26" spans="1:15" ht="12.75">
      <c r="A26" s="3" t="s">
        <v>293</v>
      </c>
      <c r="B26" s="5" t="s">
        <v>5</v>
      </c>
      <c r="C26" s="5">
        <f>VLOOKUP(A26,'Const. Equip. EFs'!$A$5:$C$19,3,FALSE)</f>
        <v>99</v>
      </c>
      <c r="D26" s="44">
        <f>'Mira Loma'!C231*Fuel!$C26*7000/139000</f>
        <v>29.913669064748202</v>
      </c>
      <c r="E26" s="44">
        <f>'Mira Loma'!D231*Fuel!$C26*7000/139000</f>
        <v>29.913669064748202</v>
      </c>
      <c r="F26" s="44">
        <f>'Mira Loma'!E231*Fuel!$C26*7000/139000</f>
        <v>29.913669064748202</v>
      </c>
      <c r="G26" s="44">
        <f>'Mira Loma'!F231*Fuel!$C26*7000/139000</f>
        <v>29.913669064748202</v>
      </c>
      <c r="H26" s="44">
        <f>'Mira Loma'!G231*Fuel!$C26*7000/139000</f>
        <v>0</v>
      </c>
      <c r="I26" s="44">
        <f>'Mira Loma'!H231*Fuel!$C26*7000/139000</f>
        <v>0</v>
      </c>
      <c r="J26" s="44">
        <f>'Mira Loma'!I231*Fuel!$C26*7000/139000</f>
        <v>0</v>
      </c>
      <c r="K26" s="44">
        <f>'Mira Loma'!J231*Fuel!$C26*7000/139000</f>
        <v>0</v>
      </c>
      <c r="L26" s="44">
        <f>'Mira Loma'!K231*Fuel!$C26*7000/139000</f>
        <v>0</v>
      </c>
      <c r="M26" s="44">
        <f>'Mira Loma'!L231*Fuel!$C26*7000/139000</f>
        <v>0</v>
      </c>
      <c r="N26" s="44">
        <f>'Mira Loma'!M231*Fuel!$C26*7000/139000</f>
        <v>0</v>
      </c>
      <c r="O26" s="44">
        <f t="shared" si="2"/>
        <v>119.65467625899281</v>
      </c>
    </row>
    <row r="27" spans="1:15" ht="12.75">
      <c r="A27" s="3" t="s">
        <v>294</v>
      </c>
      <c r="B27" s="5" t="s">
        <v>5</v>
      </c>
      <c r="C27" s="5">
        <f>VLOOKUP(A27,'Const. Equip. EFs'!$A$5:$C$19,3,FALSE)</f>
        <v>230</v>
      </c>
      <c r="D27" s="44">
        <f>'Mira Loma'!C232*Fuel!$C27*7000/139000</f>
        <v>92.66187050359713</v>
      </c>
      <c r="E27" s="44">
        <f>'Mira Loma'!D232*Fuel!$C27*7000/139000</f>
        <v>92.66187050359713</v>
      </c>
      <c r="F27" s="44">
        <f>'Mira Loma'!E232*Fuel!$C27*7000/139000</f>
        <v>92.66187050359713</v>
      </c>
      <c r="G27" s="44">
        <f>'Mira Loma'!F232*Fuel!$C27*7000/139000</f>
        <v>92.66187050359713</v>
      </c>
      <c r="H27" s="44">
        <f>'Mira Loma'!G232*Fuel!$C27*7000/139000</f>
        <v>0</v>
      </c>
      <c r="I27" s="44">
        <f>'Mira Loma'!H232*Fuel!$C27*7000/139000</f>
        <v>0</v>
      </c>
      <c r="J27" s="44">
        <f>'Mira Loma'!I232*Fuel!$C27*7000/139000</f>
        <v>0</v>
      </c>
      <c r="K27" s="44">
        <f>'Mira Loma'!J232*Fuel!$C27*7000/139000</f>
        <v>0</v>
      </c>
      <c r="L27" s="44">
        <f>'Mira Loma'!K232*Fuel!$C27*7000/139000</f>
        <v>0</v>
      </c>
      <c r="M27" s="44">
        <f>'Mira Loma'!L232*Fuel!$C27*7000/139000</f>
        <v>0</v>
      </c>
      <c r="N27" s="44">
        <f>'Mira Loma'!M232*Fuel!$C27*7000/139000</f>
        <v>0</v>
      </c>
      <c r="O27" s="44">
        <f t="shared" si="2"/>
        <v>370.6474820143885</v>
      </c>
    </row>
    <row r="28" spans="1:15" ht="12.75">
      <c r="A28" s="3" t="s">
        <v>295</v>
      </c>
      <c r="B28" s="5" t="s">
        <v>5</v>
      </c>
      <c r="C28" s="5">
        <f>VLOOKUP(A28,'Const. Equip. EFs'!$A$5:$C$19,3,FALSE)</f>
        <v>65</v>
      </c>
      <c r="D28" s="44">
        <f>'Mira Loma'!C233*Fuel!$C28*7000/139000</f>
        <v>13.093525179856115</v>
      </c>
      <c r="E28" s="44">
        <f>'Mira Loma'!D233*Fuel!$C28*7000/139000</f>
        <v>13.093525179856115</v>
      </c>
      <c r="F28" s="44">
        <f>'Mira Loma'!E233*Fuel!$C28*7000/139000</f>
        <v>13.093525179856115</v>
      </c>
      <c r="G28" s="44">
        <f>'Mira Loma'!F233*Fuel!$C28*7000/139000</f>
        <v>13.093525179856115</v>
      </c>
      <c r="H28" s="44">
        <f>'Mira Loma'!G233*Fuel!$C28*7000/139000</f>
        <v>0</v>
      </c>
      <c r="I28" s="44">
        <f>'Mira Loma'!H233*Fuel!$C28*7000/139000</f>
        <v>0</v>
      </c>
      <c r="J28" s="44">
        <f>'Mira Loma'!I233*Fuel!$C28*7000/139000</f>
        <v>0</v>
      </c>
      <c r="K28" s="44">
        <f>'Mira Loma'!J233*Fuel!$C28*7000/139000</f>
        <v>0</v>
      </c>
      <c r="L28" s="44">
        <f>'Mira Loma'!K233*Fuel!$C28*7000/139000</f>
        <v>0</v>
      </c>
      <c r="M28" s="44">
        <f>'Mira Loma'!L233*Fuel!$C28*7000/139000</f>
        <v>0</v>
      </c>
      <c r="N28" s="44">
        <f>'Mira Loma'!M233*Fuel!$C28*7000/139000</f>
        <v>0</v>
      </c>
      <c r="O28" s="44">
        <f t="shared" si="2"/>
        <v>52.37410071942446</v>
      </c>
    </row>
    <row r="29" spans="1:15" ht="12.75">
      <c r="A29" s="3" t="s">
        <v>296</v>
      </c>
      <c r="B29" s="5" t="s">
        <v>5</v>
      </c>
      <c r="C29" s="5">
        <f>VLOOKUP(A29,'Const. Equip. EFs'!$A$5:$C$19,3,FALSE)</f>
        <v>65</v>
      </c>
      <c r="D29" s="44">
        <f>'Mira Loma'!C234*Fuel!$C29*7000/139000</f>
        <v>19.640287769784173</v>
      </c>
      <c r="E29" s="44">
        <f>'Mira Loma'!D234*Fuel!$C29*7000/139000</f>
        <v>19.640287769784173</v>
      </c>
      <c r="F29" s="44">
        <f>'Mira Loma'!E234*Fuel!$C29*7000/139000</f>
        <v>19.640287769784173</v>
      </c>
      <c r="G29" s="44">
        <f>'Mira Loma'!F234*Fuel!$C29*7000/139000</f>
        <v>19.640287769784173</v>
      </c>
      <c r="H29" s="44">
        <f>'Mira Loma'!G234*Fuel!$C29*7000/139000</f>
        <v>0</v>
      </c>
      <c r="I29" s="44">
        <f>'Mira Loma'!H234*Fuel!$C29*7000/139000</f>
        <v>0</v>
      </c>
      <c r="J29" s="44">
        <f>'Mira Loma'!I234*Fuel!$C29*7000/139000</f>
        <v>0</v>
      </c>
      <c r="K29" s="44">
        <f>'Mira Loma'!J234*Fuel!$C29*7000/139000</f>
        <v>0</v>
      </c>
      <c r="L29" s="44">
        <f>'Mira Loma'!K234*Fuel!$C29*7000/139000</f>
        <v>0</v>
      </c>
      <c r="M29" s="44">
        <f>'Mira Loma'!L234*Fuel!$C29*7000/139000</f>
        <v>0</v>
      </c>
      <c r="N29" s="44">
        <f>'Mira Loma'!M234*Fuel!$C29*7000/139000</f>
        <v>0</v>
      </c>
      <c r="O29" s="44">
        <f t="shared" si="2"/>
        <v>78.56115107913669</v>
      </c>
    </row>
    <row r="30" spans="1:15" ht="12.75">
      <c r="A30" s="17" t="s">
        <v>147</v>
      </c>
      <c r="B30" s="5"/>
      <c r="C30" s="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2.75">
      <c r="A31" s="3" t="s">
        <v>46</v>
      </c>
      <c r="B31" s="5" t="s">
        <v>10</v>
      </c>
      <c r="C31" s="5">
        <f>C14</f>
        <v>15</v>
      </c>
      <c r="D31" s="44">
        <f>'Mira Loma'!C236/Fuel!$C31</f>
        <v>4</v>
      </c>
      <c r="E31" s="44">
        <f>'Mira Loma'!D236/Fuel!$C31</f>
        <v>4</v>
      </c>
      <c r="F31" s="44">
        <f>'Mira Loma'!E236/Fuel!$C31</f>
        <v>4</v>
      </c>
      <c r="G31" s="44">
        <f>'Mira Loma'!F236/Fuel!$C31</f>
        <v>4</v>
      </c>
      <c r="H31" s="44">
        <f>'Mira Loma'!G236/Fuel!$C31</f>
        <v>0</v>
      </c>
      <c r="I31" s="44">
        <f>'Mira Loma'!H236/Fuel!$C31</f>
        <v>0</v>
      </c>
      <c r="J31" s="44">
        <f>'Mira Loma'!I236/Fuel!$C31</f>
        <v>0</v>
      </c>
      <c r="K31" s="44">
        <f>'Mira Loma'!J236/Fuel!$C31</f>
        <v>0</v>
      </c>
      <c r="L31" s="44">
        <f>'Mira Loma'!K236/Fuel!$C31</f>
        <v>0</v>
      </c>
      <c r="M31" s="44">
        <f>'Mira Loma'!L236/Fuel!$C31</f>
        <v>0</v>
      </c>
      <c r="N31" s="44">
        <f>'Mira Loma'!M236/Fuel!$C31</f>
        <v>0</v>
      </c>
      <c r="O31" s="44">
        <f aca="true" t="shared" si="3" ref="O31:O36">SUM(D31:N31)</f>
        <v>16</v>
      </c>
    </row>
    <row r="32" spans="1:15" ht="12.75">
      <c r="A32" s="3" t="s">
        <v>148</v>
      </c>
      <c r="B32" s="5" t="s">
        <v>5</v>
      </c>
      <c r="C32" s="5">
        <f>C15</f>
        <v>10</v>
      </c>
      <c r="D32" s="44">
        <f>'Mira Loma'!C237/Fuel!$C32</f>
        <v>9</v>
      </c>
      <c r="E32" s="44">
        <f>'Mira Loma'!D237/Fuel!$C32</f>
        <v>9</v>
      </c>
      <c r="F32" s="44">
        <f>'Mira Loma'!E237/Fuel!$C32</f>
        <v>9</v>
      </c>
      <c r="G32" s="44">
        <f>'Mira Loma'!F237/Fuel!$C32</f>
        <v>9</v>
      </c>
      <c r="H32" s="44">
        <f>'Mira Loma'!G237/Fuel!$C32</f>
        <v>0</v>
      </c>
      <c r="I32" s="44">
        <f>'Mira Loma'!H237/Fuel!$C32</f>
        <v>0</v>
      </c>
      <c r="J32" s="44">
        <f>'Mira Loma'!I237/Fuel!$C32</f>
        <v>0</v>
      </c>
      <c r="K32" s="44">
        <f>'Mira Loma'!J237/Fuel!$C32</f>
        <v>0</v>
      </c>
      <c r="L32" s="44">
        <f>'Mira Loma'!K237/Fuel!$C32</f>
        <v>0</v>
      </c>
      <c r="M32" s="44">
        <f>'Mira Loma'!L237/Fuel!$C32</f>
        <v>0</v>
      </c>
      <c r="N32" s="44">
        <f>'Mira Loma'!M237/Fuel!$C32</f>
        <v>0</v>
      </c>
      <c r="O32" s="44">
        <f t="shared" si="3"/>
        <v>36</v>
      </c>
    </row>
    <row r="33" spans="1:15" ht="12.75">
      <c r="A33" s="3" t="s">
        <v>299</v>
      </c>
      <c r="B33" s="5" t="s">
        <v>5</v>
      </c>
      <c r="C33" s="5">
        <f>C32</f>
        <v>10</v>
      </c>
      <c r="D33" s="44">
        <f>'Mira Loma'!C238/Fuel!$C33</f>
        <v>2</v>
      </c>
      <c r="E33" s="44">
        <f>'Mira Loma'!D238/Fuel!$C33</f>
        <v>2</v>
      </c>
      <c r="F33" s="44">
        <f>'Mira Loma'!E238/Fuel!$C33</f>
        <v>2</v>
      </c>
      <c r="G33" s="44">
        <f>'Mira Loma'!F238/Fuel!$C33</f>
        <v>2</v>
      </c>
      <c r="H33" s="44">
        <f>'Mira Loma'!G238/Fuel!$C33</f>
        <v>0</v>
      </c>
      <c r="I33" s="44">
        <f>'Mira Loma'!H238/Fuel!$C33</f>
        <v>0</v>
      </c>
      <c r="J33" s="44">
        <f>'Mira Loma'!I238/Fuel!$C33</f>
        <v>0</v>
      </c>
      <c r="K33" s="44">
        <f>'Mira Loma'!J238/Fuel!$C33</f>
        <v>0</v>
      </c>
      <c r="L33" s="44">
        <f>'Mira Loma'!K238/Fuel!$C33</f>
        <v>0</v>
      </c>
      <c r="M33" s="44">
        <f>'Mira Loma'!L238/Fuel!$C33</f>
        <v>0</v>
      </c>
      <c r="N33" s="44">
        <f>'Mira Loma'!M238/Fuel!$C33</f>
        <v>0</v>
      </c>
      <c r="O33" s="44">
        <f t="shared" si="3"/>
        <v>8</v>
      </c>
    </row>
    <row r="34" spans="1:15" ht="12.75">
      <c r="A34" s="3" t="s">
        <v>149</v>
      </c>
      <c r="B34" s="5" t="s">
        <v>5</v>
      </c>
      <c r="C34" s="5">
        <f>C16</f>
        <v>10</v>
      </c>
      <c r="D34" s="44">
        <f>'Mira Loma'!C239/Fuel!$C34</f>
        <v>8</v>
      </c>
      <c r="E34" s="44">
        <f>'Mira Loma'!D239/Fuel!$C34</f>
        <v>8</v>
      </c>
      <c r="F34" s="44">
        <f>'Mira Loma'!E239/Fuel!$C34</f>
        <v>8</v>
      </c>
      <c r="G34" s="44">
        <f>'Mira Loma'!F239/Fuel!$C34</f>
        <v>8</v>
      </c>
      <c r="H34" s="44">
        <f>'Mira Loma'!G239/Fuel!$C34</f>
        <v>0</v>
      </c>
      <c r="I34" s="44">
        <f>'Mira Loma'!H239/Fuel!$C34</f>
        <v>0</v>
      </c>
      <c r="J34" s="44">
        <f>'Mira Loma'!I239/Fuel!$C34</f>
        <v>0</v>
      </c>
      <c r="K34" s="44">
        <f>'Mira Loma'!J239/Fuel!$C34</f>
        <v>0</v>
      </c>
      <c r="L34" s="44">
        <f>'Mira Loma'!K239/Fuel!$C34</f>
        <v>0</v>
      </c>
      <c r="M34" s="44">
        <f>'Mira Loma'!L239/Fuel!$C34</f>
        <v>0</v>
      </c>
      <c r="N34" s="44">
        <f>'Mira Loma'!M239/Fuel!$C34</f>
        <v>0</v>
      </c>
      <c r="O34" s="44">
        <f t="shared" si="3"/>
        <v>32</v>
      </c>
    </row>
    <row r="35" spans="1:15" ht="12.75">
      <c r="A35" s="3" t="s">
        <v>150</v>
      </c>
      <c r="B35" s="5" t="s">
        <v>5</v>
      </c>
      <c r="C35" s="5">
        <f>C17</f>
        <v>10</v>
      </c>
      <c r="D35" s="44">
        <f>'Mira Loma'!C240/Fuel!$C35</f>
        <v>8</v>
      </c>
      <c r="E35" s="44">
        <f>'Mira Loma'!D240/Fuel!$C35</f>
        <v>8</v>
      </c>
      <c r="F35" s="44">
        <f>'Mira Loma'!E240/Fuel!$C35</f>
        <v>8</v>
      </c>
      <c r="G35" s="44">
        <f>'Mira Loma'!F240/Fuel!$C35</f>
        <v>8</v>
      </c>
      <c r="H35" s="44">
        <f>'Mira Loma'!G240/Fuel!$C35</f>
        <v>0</v>
      </c>
      <c r="I35" s="44">
        <f>'Mira Loma'!H240/Fuel!$C35</f>
        <v>0</v>
      </c>
      <c r="J35" s="44">
        <f>'Mira Loma'!I240/Fuel!$C35</f>
        <v>0</v>
      </c>
      <c r="K35" s="44">
        <f>'Mira Loma'!J240/Fuel!$C35</f>
        <v>0</v>
      </c>
      <c r="L35" s="44">
        <f>'Mira Loma'!K240/Fuel!$C35</f>
        <v>0</v>
      </c>
      <c r="M35" s="44">
        <f>'Mira Loma'!L240/Fuel!$C35</f>
        <v>0</v>
      </c>
      <c r="N35" s="44">
        <f>'Mira Loma'!M240/Fuel!$C35</f>
        <v>0</v>
      </c>
      <c r="O35" s="44">
        <f t="shared" si="3"/>
        <v>32</v>
      </c>
    </row>
    <row r="36" spans="1:15" ht="12.75">
      <c r="A36" s="3" t="s">
        <v>47</v>
      </c>
      <c r="B36" s="5" t="s">
        <v>10</v>
      </c>
      <c r="C36" s="5">
        <f>C18</f>
        <v>20</v>
      </c>
      <c r="D36" s="44">
        <f>'Mira Loma'!C241/Fuel!$C36</f>
        <v>80</v>
      </c>
      <c r="E36" s="44">
        <f>'Mira Loma'!D241/Fuel!$C36</f>
        <v>80</v>
      </c>
      <c r="F36" s="44">
        <f>'Mira Loma'!E241/Fuel!$C36</f>
        <v>80</v>
      </c>
      <c r="G36" s="44">
        <f>'Mira Loma'!F241/Fuel!$C36</f>
        <v>80</v>
      </c>
      <c r="H36" s="44">
        <f>'Mira Loma'!G241/Fuel!$C36</f>
        <v>0</v>
      </c>
      <c r="I36" s="44">
        <f>'Mira Loma'!H241/Fuel!$C36</f>
        <v>0</v>
      </c>
      <c r="J36" s="44">
        <f>'Mira Loma'!I241/Fuel!$C36</f>
        <v>0</v>
      </c>
      <c r="K36" s="44">
        <f>'Mira Loma'!J241/Fuel!$C36</f>
        <v>0</v>
      </c>
      <c r="L36" s="44">
        <f>'Mira Loma'!K241/Fuel!$C36</f>
        <v>0</v>
      </c>
      <c r="M36" s="44">
        <f>'Mira Loma'!L241/Fuel!$C36</f>
        <v>0</v>
      </c>
      <c r="N36" s="44">
        <f>'Mira Loma'!M241/Fuel!$C36</f>
        <v>0</v>
      </c>
      <c r="O36" s="44">
        <f t="shared" si="3"/>
        <v>320</v>
      </c>
    </row>
    <row r="37" spans="13:15" ht="12.75">
      <c r="M37" s="37" t="s">
        <v>338</v>
      </c>
      <c r="N37" s="37"/>
      <c r="O37" s="131">
        <f>SUM(O7:O36)</f>
        <v>3849.352517985612</v>
      </c>
    </row>
    <row r="38" spans="1:15" ht="12.75">
      <c r="A38" t="s">
        <v>339</v>
      </c>
      <c r="D38" t="s">
        <v>340</v>
      </c>
      <c r="M38" s="37" t="s">
        <v>341</v>
      </c>
      <c r="N38" s="37"/>
      <c r="O38" s="131">
        <f>O36+O31+O18+O14</f>
        <v>716</v>
      </c>
    </row>
    <row r="39" spans="1:15" ht="12.75">
      <c r="A39" t="s">
        <v>342</v>
      </c>
      <c r="D39" t="s">
        <v>343</v>
      </c>
      <c r="M39" s="37" t="s">
        <v>344</v>
      </c>
      <c r="N39" s="37"/>
      <c r="O39" s="131">
        <f>O37-O38</f>
        <v>3133.352517985612</v>
      </c>
    </row>
  </sheetData>
  <sheetProtection/>
  <mergeCells count="3">
    <mergeCell ref="A1:O1"/>
    <mergeCell ref="A2:O2"/>
    <mergeCell ref="D3:O3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Footer>&amp;CC.1-&amp;P&amp;RSCE Mira Loma Peaker Project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6.42187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>
      <c r="A1">
        <v>2</v>
      </c>
      <c r="B1" t="s">
        <v>201</v>
      </c>
    </row>
    <row r="2" spans="1:14" ht="12.75">
      <c r="A2" s="133" t="e">
        <f>#REF!&amp;$A$1&amp;"-C"</f>
        <v>#REF!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>
      <c r="A3" s="134" t="str">
        <f>$B$1&amp;" Construction Equipment and Motor Vehicle Numbers"</f>
        <v>Generic Construction Equipment and Motor Vehicle Numbers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2" t="s">
        <v>145</v>
      </c>
      <c r="B4" s="136" t="s">
        <v>2</v>
      </c>
      <c r="C4" s="139" t="s">
        <v>144</v>
      </c>
      <c r="D4" s="132" t="s">
        <v>143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25.5" customHeight="1">
      <c r="A5" s="135"/>
      <c r="B5" s="138"/>
      <c r="C5" s="138"/>
      <c r="D5" s="60">
        <f>DATE(2006,2,26)</f>
        <v>38774</v>
      </c>
      <c r="E5" s="60">
        <f aca="true" t="shared" si="0" ref="E5:N5">D5+14</f>
        <v>38788</v>
      </c>
      <c r="F5" s="60">
        <f t="shared" si="0"/>
        <v>38802</v>
      </c>
      <c r="G5" s="60">
        <f t="shared" si="0"/>
        <v>38816</v>
      </c>
      <c r="H5" s="60">
        <f t="shared" si="0"/>
        <v>38830</v>
      </c>
      <c r="I5" s="60">
        <f t="shared" si="0"/>
        <v>38844</v>
      </c>
      <c r="J5" s="60">
        <f t="shared" si="0"/>
        <v>38858</v>
      </c>
      <c r="K5" s="60">
        <f t="shared" si="0"/>
        <v>38872</v>
      </c>
      <c r="L5" s="60">
        <f t="shared" si="0"/>
        <v>38886</v>
      </c>
      <c r="M5" s="60">
        <f t="shared" si="0"/>
        <v>38900</v>
      </c>
      <c r="N5" s="60">
        <f t="shared" si="0"/>
        <v>38914</v>
      </c>
    </row>
    <row r="6" spans="1:14" ht="12.75">
      <c r="A6" s="61" t="s">
        <v>146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4" ht="12.75">
      <c r="A7" s="59" t="s">
        <v>138</v>
      </c>
      <c r="B7" s="5" t="str">
        <f>VLOOKUP(A7,'Const. Equip. EFs'!$A$5:$B$19,2,FALSE)</f>
        <v>D</v>
      </c>
      <c r="C7" s="5">
        <v>10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1</v>
      </c>
      <c r="K7" s="5">
        <v>1</v>
      </c>
      <c r="L7" s="5"/>
      <c r="M7" s="6"/>
      <c r="N7" s="6"/>
    </row>
    <row r="8" spans="1:14" ht="12.75">
      <c r="A8" s="59" t="s">
        <v>139</v>
      </c>
      <c r="B8" s="5" t="str">
        <f>VLOOKUP(A8,'Const. Equip. EFs'!$A$5:$B$19,2,FALSE)</f>
        <v>D</v>
      </c>
      <c r="C8" s="5">
        <v>10</v>
      </c>
      <c r="D8" s="5">
        <v>1</v>
      </c>
      <c r="E8" s="5">
        <v>2</v>
      </c>
      <c r="F8" s="5">
        <v>2</v>
      </c>
      <c r="G8" s="5">
        <v>1</v>
      </c>
      <c r="H8" s="5">
        <v>1</v>
      </c>
      <c r="I8" s="5"/>
      <c r="J8" s="5"/>
      <c r="K8" s="5"/>
      <c r="L8" s="5"/>
      <c r="M8" s="6"/>
      <c r="N8" s="6"/>
    </row>
    <row r="9" spans="1:14" ht="12.75">
      <c r="A9" s="59" t="s">
        <v>140</v>
      </c>
      <c r="B9" s="5" t="str">
        <f>VLOOKUP(A9,'Const. Equip. EFs'!$A$5:$B$19,2,FALSE)</f>
        <v>D</v>
      </c>
      <c r="C9" s="5">
        <v>10</v>
      </c>
      <c r="D9" s="5">
        <v>1</v>
      </c>
      <c r="E9" s="5">
        <v>2</v>
      </c>
      <c r="F9" s="5">
        <v>5</v>
      </c>
      <c r="G9" s="5">
        <v>3</v>
      </c>
      <c r="H9" s="5">
        <v>3</v>
      </c>
      <c r="I9" s="5">
        <v>2</v>
      </c>
      <c r="J9" s="5">
        <v>1</v>
      </c>
      <c r="K9" s="5">
        <v>1</v>
      </c>
      <c r="L9" s="5"/>
      <c r="M9" s="6"/>
      <c r="N9" s="6"/>
    </row>
    <row r="10" spans="1:14" ht="12.75">
      <c r="A10" s="59" t="s">
        <v>155</v>
      </c>
      <c r="B10" s="5" t="str">
        <f>VLOOKUP(A10,'Const. Equip. EFs'!$A$5:$B$19,2,FALSE)</f>
        <v>D</v>
      </c>
      <c r="C10" s="5">
        <v>10</v>
      </c>
      <c r="D10" s="5"/>
      <c r="E10" s="5">
        <v>1</v>
      </c>
      <c r="F10" s="5">
        <v>1</v>
      </c>
      <c r="G10" s="5">
        <v>1</v>
      </c>
      <c r="H10" s="5">
        <v>1</v>
      </c>
      <c r="I10" s="5"/>
      <c r="J10" s="5"/>
      <c r="K10" s="5"/>
      <c r="L10" s="5"/>
      <c r="M10" s="6"/>
      <c r="N10" s="6"/>
    </row>
    <row r="11" spans="1:14" ht="12.75">
      <c r="A11" s="59" t="s">
        <v>141</v>
      </c>
      <c r="B11" s="5" t="str">
        <f>VLOOKUP(A11,'Const. Equip. EFs'!$A$5:$B$19,2,FALSE)</f>
        <v>D</v>
      </c>
      <c r="C11" s="5">
        <v>10</v>
      </c>
      <c r="D11" s="5"/>
      <c r="E11" s="5"/>
      <c r="F11" s="5">
        <v>1</v>
      </c>
      <c r="G11" s="5">
        <v>2</v>
      </c>
      <c r="H11" s="5">
        <v>2</v>
      </c>
      <c r="I11" s="5">
        <v>2</v>
      </c>
      <c r="J11" s="5">
        <v>1</v>
      </c>
      <c r="K11" s="5">
        <v>1</v>
      </c>
      <c r="L11" s="5"/>
      <c r="M11" s="6"/>
      <c r="N11" s="6"/>
    </row>
    <row r="12" spans="1:14" ht="12.75">
      <c r="A12" s="59" t="s">
        <v>142</v>
      </c>
      <c r="B12" s="5" t="str">
        <f>VLOOKUP(A12,'Const. Equip. EFs'!$A$5:$B$19,2,FALSE)</f>
        <v>D</v>
      </c>
      <c r="C12" s="5">
        <v>10</v>
      </c>
      <c r="D12" s="5"/>
      <c r="E12" s="5"/>
      <c r="F12" s="5"/>
      <c r="G12" s="5">
        <v>1</v>
      </c>
      <c r="H12" s="5"/>
      <c r="I12" s="5"/>
      <c r="J12" s="5"/>
      <c r="K12" s="5"/>
      <c r="L12" s="5"/>
      <c r="M12" s="6"/>
      <c r="N12" s="6"/>
    </row>
    <row r="13" spans="1:14" ht="12.75">
      <c r="A13" s="61" t="s">
        <v>147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2.75">
      <c r="A14" s="57" t="s">
        <v>46</v>
      </c>
      <c r="B14" s="5" t="s">
        <v>10</v>
      </c>
      <c r="C14" s="5">
        <v>25</v>
      </c>
      <c r="D14" s="5">
        <v>1</v>
      </c>
      <c r="E14" s="5">
        <v>2</v>
      </c>
      <c r="F14" s="5">
        <v>2</v>
      </c>
      <c r="G14" s="5">
        <v>3</v>
      </c>
      <c r="H14" s="5">
        <v>3</v>
      </c>
      <c r="I14" s="5">
        <v>2</v>
      </c>
      <c r="J14" s="5">
        <v>2</v>
      </c>
      <c r="K14" s="5">
        <v>2</v>
      </c>
      <c r="L14" s="5">
        <v>1</v>
      </c>
      <c r="M14" s="6"/>
      <c r="N14" s="6"/>
    </row>
    <row r="15" spans="1:14" ht="12.75">
      <c r="A15" s="59" t="s">
        <v>148</v>
      </c>
      <c r="B15" s="5" t="s">
        <v>5</v>
      </c>
      <c r="C15" s="5">
        <v>50</v>
      </c>
      <c r="D15" s="5">
        <v>1</v>
      </c>
      <c r="E15" s="5">
        <v>2</v>
      </c>
      <c r="F15" s="5">
        <v>2</v>
      </c>
      <c r="G15" s="5">
        <v>1</v>
      </c>
      <c r="H15" s="5">
        <v>1</v>
      </c>
      <c r="I15" s="5">
        <v>2</v>
      </c>
      <c r="J15" s="5"/>
      <c r="K15" s="5"/>
      <c r="L15" s="5"/>
      <c r="M15" s="6"/>
      <c r="N15" s="6"/>
    </row>
    <row r="16" spans="1:14" ht="12.75">
      <c r="A16" s="59" t="s">
        <v>149</v>
      </c>
      <c r="B16" s="5" t="s">
        <v>5</v>
      </c>
      <c r="C16" s="5">
        <v>50</v>
      </c>
      <c r="D16" s="5"/>
      <c r="E16" s="5">
        <v>5</v>
      </c>
      <c r="F16" s="5">
        <v>5</v>
      </c>
      <c r="G16" s="5"/>
      <c r="H16" s="5"/>
      <c r="I16" s="5"/>
      <c r="J16" s="5"/>
      <c r="K16" s="5"/>
      <c r="L16" s="5"/>
      <c r="M16" s="6"/>
      <c r="N16" s="6"/>
    </row>
    <row r="17" spans="1:14" ht="12.75">
      <c r="A17" s="59" t="s">
        <v>150</v>
      </c>
      <c r="B17" s="5" t="s">
        <v>5</v>
      </c>
      <c r="C17" s="5">
        <v>50</v>
      </c>
      <c r="D17" s="5"/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/>
      <c r="M17" s="6"/>
      <c r="N17" s="6"/>
    </row>
    <row r="18" spans="1:14" ht="12.75">
      <c r="A18" s="15" t="s">
        <v>47</v>
      </c>
      <c r="B18" s="5" t="s">
        <v>10</v>
      </c>
      <c r="C18" s="5">
        <v>35</v>
      </c>
      <c r="D18" s="5">
        <v>6</v>
      </c>
      <c r="E18" s="5">
        <v>22</v>
      </c>
      <c r="F18" s="5">
        <v>30</v>
      </c>
      <c r="G18" s="5">
        <v>38</v>
      </c>
      <c r="H18" s="5">
        <v>36</v>
      </c>
      <c r="I18" s="5">
        <v>24</v>
      </c>
      <c r="J18" s="5">
        <v>24</v>
      </c>
      <c r="K18" s="5">
        <v>16</v>
      </c>
      <c r="L18" s="5">
        <v>4</v>
      </c>
      <c r="M18" s="6"/>
      <c r="N18" s="6"/>
    </row>
    <row r="19" spans="1:14" ht="12.75">
      <c r="A19" s="133" t="e">
        <f>#REF!&amp;$A$1&amp;"-M"</f>
        <v>#REF!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48"/>
    </row>
    <row r="20" spans="1:14" ht="12.75">
      <c r="A20" s="134" t="str">
        <f>$B$1&amp;" Construction Fugitive PM10 and PM2.5 Activities"</f>
        <v>Generic Construction Fugitive PM10 and PM2.5 Activities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33"/>
    </row>
    <row r="21" spans="1:14" ht="12.75">
      <c r="A21" s="132" t="s">
        <v>108</v>
      </c>
      <c r="B21" s="136" t="s">
        <v>109</v>
      </c>
      <c r="C21" s="132" t="s">
        <v>110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7"/>
    </row>
    <row r="22" spans="1:13" ht="12.75">
      <c r="A22" s="135"/>
      <c r="B22" s="137"/>
      <c r="C22" s="60">
        <f>D5</f>
        <v>38774</v>
      </c>
      <c r="D22" s="60">
        <f aca="true" t="shared" si="1" ref="D22:M22">E5</f>
        <v>38788</v>
      </c>
      <c r="E22" s="60">
        <f t="shared" si="1"/>
        <v>38802</v>
      </c>
      <c r="F22" s="60">
        <f t="shared" si="1"/>
        <v>38816</v>
      </c>
      <c r="G22" s="60">
        <f t="shared" si="1"/>
        <v>38830</v>
      </c>
      <c r="H22" s="60">
        <f t="shared" si="1"/>
        <v>38844</v>
      </c>
      <c r="I22" s="60">
        <f t="shared" si="1"/>
        <v>38858</v>
      </c>
      <c r="J22" s="60">
        <f t="shared" si="1"/>
        <v>38872</v>
      </c>
      <c r="K22" s="60">
        <f t="shared" si="1"/>
        <v>38886</v>
      </c>
      <c r="L22" s="60">
        <f t="shared" si="1"/>
        <v>38900</v>
      </c>
      <c r="M22" s="60">
        <f t="shared" si="1"/>
        <v>38914</v>
      </c>
    </row>
    <row r="23" spans="1:13" ht="12.75">
      <c r="A23" s="43" t="s">
        <v>111</v>
      </c>
      <c r="B23" s="21" t="s">
        <v>112</v>
      </c>
      <c r="C23" s="5"/>
      <c r="D23" s="5"/>
      <c r="E23" s="5"/>
      <c r="F23" s="5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2.75">
      <c r="A24" s="43" t="s">
        <v>98</v>
      </c>
      <c r="B24" s="21" t="s">
        <v>113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6" ht="12.75">
      <c r="A26" t="s">
        <v>202</v>
      </c>
    </row>
    <row r="27" spans="1:2" ht="12.75">
      <c r="A27" t="s">
        <v>174</v>
      </c>
      <c r="B27" t="s">
        <v>203</v>
      </c>
    </row>
    <row r="28" spans="1:4" ht="12.75">
      <c r="A28">
        <v>1</v>
      </c>
      <c r="B28" s="83">
        <v>38774</v>
      </c>
      <c r="D28" s="83">
        <v>38774</v>
      </c>
    </row>
    <row r="29" spans="1:4" ht="12.75">
      <c r="A29">
        <v>2</v>
      </c>
      <c r="B29" s="84">
        <v>38788</v>
      </c>
      <c r="D29" s="84">
        <v>38788</v>
      </c>
    </row>
    <row r="30" spans="1:4" ht="12.75">
      <c r="A30">
        <v>3</v>
      </c>
      <c r="B30" s="84">
        <v>38788</v>
      </c>
      <c r="D30" s="84">
        <v>38788</v>
      </c>
    </row>
    <row r="31" spans="1:4" ht="12.75">
      <c r="A31">
        <v>4</v>
      </c>
      <c r="B31" s="84">
        <v>38788</v>
      </c>
      <c r="D31" s="84">
        <v>38788</v>
      </c>
    </row>
    <row r="34" ht="12.75">
      <c r="A34" s="37" t="s">
        <v>206</v>
      </c>
    </row>
    <row r="35" spans="1:7" ht="12.75">
      <c r="A35" s="3"/>
      <c r="B35" s="11" t="s">
        <v>20</v>
      </c>
      <c r="C35" s="11" t="s">
        <v>24</v>
      </c>
      <c r="D35" s="11" t="s">
        <v>21</v>
      </c>
      <c r="E35" s="11" t="s">
        <v>23</v>
      </c>
      <c r="F35" s="11" t="s">
        <v>22</v>
      </c>
      <c r="G35" s="11" t="s">
        <v>194</v>
      </c>
    </row>
    <row r="36" spans="1:7" ht="12.75">
      <c r="A36" s="3" t="s">
        <v>207</v>
      </c>
      <c r="B36" s="16" t="e">
        <f>B47</f>
        <v>#REF!</v>
      </c>
      <c r="C36" s="16" t="e">
        <f>B56</f>
        <v>#REF!</v>
      </c>
      <c r="D36" s="16" t="e">
        <f>B65</f>
        <v>#REF!</v>
      </c>
      <c r="E36" s="16" t="e">
        <f>B74</f>
        <v>#REF!</v>
      </c>
      <c r="F36" s="16" t="e">
        <f>B83</f>
        <v>#REF!</v>
      </c>
      <c r="G36" s="16" t="e">
        <f>B92</f>
        <v>#REF!</v>
      </c>
    </row>
    <row r="37" spans="1:7" ht="12.75">
      <c r="A37" s="3" t="s">
        <v>208</v>
      </c>
      <c r="B37" s="5">
        <v>550</v>
      </c>
      <c r="C37" s="5">
        <v>75</v>
      </c>
      <c r="D37" s="5">
        <v>100</v>
      </c>
      <c r="E37" s="5">
        <v>150</v>
      </c>
      <c r="F37" s="5">
        <v>150</v>
      </c>
      <c r="G37" s="5">
        <v>55</v>
      </c>
    </row>
    <row r="38" spans="1:7" ht="12.75">
      <c r="A38" s="3" t="s">
        <v>164</v>
      </c>
      <c r="B38" s="5" t="e">
        <f aca="true" t="shared" si="2" ref="B38:G38">IF(B36&gt;B37,"Yes","No")</f>
        <v>#REF!</v>
      </c>
      <c r="C38" s="5" t="e">
        <f t="shared" si="2"/>
        <v>#REF!</v>
      </c>
      <c r="D38" s="5" t="e">
        <f t="shared" si="2"/>
        <v>#REF!</v>
      </c>
      <c r="E38" s="5" t="e">
        <f t="shared" si="2"/>
        <v>#REF!</v>
      </c>
      <c r="F38" s="5" t="e">
        <f t="shared" si="2"/>
        <v>#REF!</v>
      </c>
      <c r="G38" s="5" t="e">
        <f t="shared" si="2"/>
        <v>#REF!</v>
      </c>
    </row>
    <row r="40" spans="1:13" ht="12.75">
      <c r="A40" s="17" t="s">
        <v>174</v>
      </c>
      <c r="B40" s="60">
        <f>D5</f>
        <v>38774</v>
      </c>
      <c r="C40" s="60">
        <f aca="true" t="shared" si="3" ref="C40:L40">E5</f>
        <v>38788</v>
      </c>
      <c r="D40" s="60">
        <f t="shared" si="3"/>
        <v>38802</v>
      </c>
      <c r="E40" s="60">
        <f t="shared" si="3"/>
        <v>38816</v>
      </c>
      <c r="F40" s="60">
        <f t="shared" si="3"/>
        <v>38830</v>
      </c>
      <c r="G40" s="60">
        <f t="shared" si="3"/>
        <v>38844</v>
      </c>
      <c r="H40" s="60">
        <f t="shared" si="3"/>
        <v>38858</v>
      </c>
      <c r="I40" s="60">
        <f t="shared" si="3"/>
        <v>38872</v>
      </c>
      <c r="J40" s="60">
        <f t="shared" si="3"/>
        <v>38886</v>
      </c>
      <c r="K40" s="60">
        <f t="shared" si="3"/>
        <v>38900</v>
      </c>
      <c r="L40" s="60">
        <f t="shared" si="3"/>
        <v>38914</v>
      </c>
      <c r="M40" s="82"/>
    </row>
    <row r="41" spans="1:13" ht="12.75">
      <c r="A41" s="17" t="s">
        <v>20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2"/>
    </row>
    <row r="42" spans="1:12" ht="12.75">
      <c r="A42" s="3" t="s">
        <v>162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</row>
    <row r="43" spans="1:12" ht="12.75">
      <c r="A43" s="3" t="s">
        <v>171</v>
      </c>
      <c r="B43" s="16">
        <f>'Mira Loma'!B55</f>
        <v>65.40967091979074</v>
      </c>
      <c r="C43" s="16">
        <f>'Mira Loma'!C55</f>
        <v>85.6900954519965</v>
      </c>
      <c r="D43" s="16">
        <f>'Mira Loma'!D55</f>
        <v>92.79954515793634</v>
      </c>
      <c r="E43" s="16">
        <f>'Mira Loma'!E55</f>
        <v>101.24577349839052</v>
      </c>
      <c r="F43" s="16">
        <f>'Mira Loma'!F55</f>
        <v>40.58315060725508</v>
      </c>
      <c r="G43" s="16">
        <f>'Mira Loma'!G55</f>
        <v>26.7384569130379</v>
      </c>
      <c r="H43" s="16">
        <f>'Mira Loma'!H55</f>
        <v>23.076932067876488</v>
      </c>
      <c r="I43" s="16">
        <f>'Mira Loma'!I55</f>
        <v>19.487332067876487</v>
      </c>
      <c r="J43" s="16">
        <f>'Mira Loma'!J55</f>
        <v>2.1153</v>
      </c>
      <c r="K43" s="16">
        <f>'Mira Loma'!K55</f>
        <v>0</v>
      </c>
      <c r="L43" s="16">
        <f>'Mira Loma'!L55</f>
        <v>0</v>
      </c>
    </row>
    <row r="44" spans="1:12" ht="12.75">
      <c r="A44" s="3" t="s">
        <v>172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</row>
    <row r="45" spans="1:12" ht="12.75">
      <c r="A45" s="3" t="s">
        <v>173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</row>
    <row r="46" spans="1:12" ht="12.75">
      <c r="A46" s="17" t="s">
        <v>42</v>
      </c>
      <c r="B46" s="18" t="e">
        <f>SUM(B42:B45)</f>
        <v>#REF!</v>
      </c>
      <c r="C46" s="18" t="e">
        <f aca="true" t="shared" si="4" ref="C46:L46">SUM(C42:C45)</f>
        <v>#REF!</v>
      </c>
      <c r="D46" s="18" t="e">
        <f t="shared" si="4"/>
        <v>#REF!</v>
      </c>
      <c r="E46" s="18" t="e">
        <f t="shared" si="4"/>
        <v>#REF!</v>
      </c>
      <c r="F46" s="18" t="e">
        <f t="shared" si="4"/>
        <v>#REF!</v>
      </c>
      <c r="G46" s="18" t="e">
        <f t="shared" si="4"/>
        <v>#REF!</v>
      </c>
      <c r="H46" s="18" t="e">
        <f t="shared" si="4"/>
        <v>#REF!</v>
      </c>
      <c r="I46" s="18" t="e">
        <f t="shared" si="4"/>
        <v>#REF!</v>
      </c>
      <c r="J46" s="18" t="e">
        <f t="shared" si="4"/>
        <v>#REF!</v>
      </c>
      <c r="K46" s="18" t="e">
        <f t="shared" si="4"/>
        <v>#REF!</v>
      </c>
      <c r="L46" s="18" t="e">
        <f t="shared" si="4"/>
        <v>#REF!</v>
      </c>
    </row>
    <row r="47" spans="1:12" ht="12.75">
      <c r="A47" s="17" t="s">
        <v>204</v>
      </c>
      <c r="B47" s="18" t="e">
        <f>MAX(B46:L46)</f>
        <v>#REF!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 t="s">
        <v>205</v>
      </c>
      <c r="B48" s="86">
        <v>550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 t="s">
        <v>164</v>
      </c>
      <c r="B49" s="5" t="e">
        <f>IF(B47&gt;B48,"Yes","No")</f>
        <v>#REF!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7" t="s">
        <v>24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2.75">
      <c r="A51" s="3" t="s">
        <v>162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</row>
    <row r="52" spans="1:12" ht="12.75">
      <c r="A52" s="3" t="s">
        <v>171</v>
      </c>
      <c r="B52" s="16" t="e">
        <f>'Mira Loma'!#REF!</f>
        <v>#REF!</v>
      </c>
      <c r="C52" s="16" t="e">
        <f>'Mira Loma'!#REF!</f>
        <v>#REF!</v>
      </c>
      <c r="D52" s="16" t="e">
        <f>'Mira Loma'!#REF!</f>
        <v>#REF!</v>
      </c>
      <c r="E52" s="16" t="e">
        <f>'Mira Loma'!#REF!</f>
        <v>#REF!</v>
      </c>
      <c r="F52" s="16" t="e">
        <f>'Mira Loma'!#REF!</f>
        <v>#REF!</v>
      </c>
      <c r="G52" s="16" t="e">
        <f>'Mira Loma'!#REF!</f>
        <v>#REF!</v>
      </c>
      <c r="H52" s="16" t="e">
        <f>'Mira Loma'!#REF!</f>
        <v>#REF!</v>
      </c>
      <c r="I52" s="16" t="e">
        <f>'Mira Loma'!#REF!</f>
        <v>#REF!</v>
      </c>
      <c r="J52" s="16" t="e">
        <f>'Mira Loma'!#REF!</f>
        <v>#REF!</v>
      </c>
      <c r="K52" s="16" t="e">
        <f>'Mira Loma'!#REF!</f>
        <v>#REF!</v>
      </c>
      <c r="L52" s="16" t="e">
        <f>'Mira Loma'!#REF!</f>
        <v>#REF!</v>
      </c>
    </row>
    <row r="53" spans="1:12" ht="12.75">
      <c r="A53" s="3" t="s">
        <v>172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</row>
    <row r="54" spans="1:12" ht="12.75">
      <c r="A54" s="3" t="s">
        <v>173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</row>
    <row r="55" spans="1:12" ht="12.75">
      <c r="A55" s="17" t="s">
        <v>42</v>
      </c>
      <c r="B55" s="18" t="e">
        <f aca="true" t="shared" si="5" ref="B55:L55">SUM(B51:B54)</f>
        <v>#REF!</v>
      </c>
      <c r="C55" s="18" t="e">
        <f t="shared" si="5"/>
        <v>#REF!</v>
      </c>
      <c r="D55" s="18" t="e">
        <f t="shared" si="5"/>
        <v>#REF!</v>
      </c>
      <c r="E55" s="18" t="e">
        <f t="shared" si="5"/>
        <v>#REF!</v>
      </c>
      <c r="F55" s="18" t="e">
        <f t="shared" si="5"/>
        <v>#REF!</v>
      </c>
      <c r="G55" s="18" t="e">
        <f t="shared" si="5"/>
        <v>#REF!</v>
      </c>
      <c r="H55" s="18" t="e">
        <f t="shared" si="5"/>
        <v>#REF!</v>
      </c>
      <c r="I55" s="18" t="e">
        <f t="shared" si="5"/>
        <v>#REF!</v>
      </c>
      <c r="J55" s="18" t="e">
        <f t="shared" si="5"/>
        <v>#REF!</v>
      </c>
      <c r="K55" s="18" t="e">
        <f t="shared" si="5"/>
        <v>#REF!</v>
      </c>
      <c r="L55" s="18" t="e">
        <f t="shared" si="5"/>
        <v>#REF!</v>
      </c>
    </row>
    <row r="56" spans="1:12" ht="12.75">
      <c r="A56" s="17" t="s">
        <v>204</v>
      </c>
      <c r="B56" s="18" t="e">
        <f>MAX(B55:L55)</f>
        <v>#REF!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 t="s">
        <v>205</v>
      </c>
      <c r="B57" s="86">
        <v>75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 t="s">
        <v>164</v>
      </c>
      <c r="B58" s="5" t="e">
        <f>IF(B56&gt;B57,"Yes","No")</f>
        <v>#REF!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17" t="s">
        <v>21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2.75">
      <c r="A60" s="3" t="s">
        <v>162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</row>
    <row r="61" spans="1:12" ht="12.75">
      <c r="A61" s="3" t="s">
        <v>171</v>
      </c>
      <c r="B61" s="16" t="e">
        <f>'Mira Loma'!#REF!</f>
        <v>#REF!</v>
      </c>
      <c r="C61" s="16" t="e">
        <f>'Mira Loma'!#REF!</f>
        <v>#REF!</v>
      </c>
      <c r="D61" s="16" t="e">
        <f>'Mira Loma'!#REF!</f>
        <v>#REF!</v>
      </c>
      <c r="E61" s="16" t="e">
        <f>'Mira Loma'!#REF!</f>
        <v>#REF!</v>
      </c>
      <c r="F61" s="16" t="e">
        <f>'Mira Loma'!#REF!</f>
        <v>#REF!</v>
      </c>
      <c r="G61" s="16" t="e">
        <f>'Mira Loma'!#REF!</f>
        <v>#REF!</v>
      </c>
      <c r="H61" s="16" t="e">
        <f>'Mira Loma'!#REF!</f>
        <v>#REF!</v>
      </c>
      <c r="I61" s="16" t="e">
        <f>'Mira Loma'!#REF!</f>
        <v>#REF!</v>
      </c>
      <c r="J61" s="16" t="e">
        <f>'Mira Loma'!#REF!</f>
        <v>#REF!</v>
      </c>
      <c r="K61" s="16" t="e">
        <f>'Mira Loma'!#REF!</f>
        <v>#REF!</v>
      </c>
      <c r="L61" s="16" t="e">
        <f>'Mira Loma'!#REF!</f>
        <v>#REF!</v>
      </c>
    </row>
    <row r="62" spans="1:12" ht="12.75">
      <c r="A62" s="3" t="s">
        <v>172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</row>
    <row r="63" spans="1:12" ht="12.75">
      <c r="A63" s="3" t="s">
        <v>173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</row>
    <row r="64" spans="1:12" ht="12.75">
      <c r="A64" s="17" t="s">
        <v>42</v>
      </c>
      <c r="B64" s="18" t="e">
        <f>SUM(B60:B63)</f>
        <v>#REF!</v>
      </c>
      <c r="C64" s="18" t="e">
        <f aca="true" t="shared" si="6" ref="C64:L64">SUM(C60:C63)</f>
        <v>#REF!</v>
      </c>
      <c r="D64" s="18" t="e">
        <f t="shared" si="6"/>
        <v>#REF!</v>
      </c>
      <c r="E64" s="18" t="e">
        <f t="shared" si="6"/>
        <v>#REF!</v>
      </c>
      <c r="F64" s="18" t="e">
        <f t="shared" si="6"/>
        <v>#REF!</v>
      </c>
      <c r="G64" s="18" t="e">
        <f t="shared" si="6"/>
        <v>#REF!</v>
      </c>
      <c r="H64" s="18" t="e">
        <f t="shared" si="6"/>
        <v>#REF!</v>
      </c>
      <c r="I64" s="18" t="e">
        <f t="shared" si="6"/>
        <v>#REF!</v>
      </c>
      <c r="J64" s="18" t="e">
        <f t="shared" si="6"/>
        <v>#REF!</v>
      </c>
      <c r="K64" s="18" t="e">
        <f t="shared" si="6"/>
        <v>#REF!</v>
      </c>
      <c r="L64" s="18" t="e">
        <f t="shared" si="6"/>
        <v>#REF!</v>
      </c>
    </row>
    <row r="65" spans="1:12" ht="12.75">
      <c r="A65" s="17" t="s">
        <v>204</v>
      </c>
      <c r="B65" s="18" t="e">
        <f>MAX(B64:L64)</f>
        <v>#REF!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 t="s">
        <v>205</v>
      </c>
      <c r="B66" s="86">
        <v>100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 t="s">
        <v>164</v>
      </c>
      <c r="B67" s="5" t="e">
        <f>IF(B65&gt;B66,"Yes","No")</f>
        <v>#REF!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17" t="s">
        <v>23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3" t="s">
        <v>162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  <c r="F69" s="16" t="e">
        <f>#REF!</f>
        <v>#REF!</v>
      </c>
      <c r="G69" s="16" t="e">
        <f>#REF!</f>
        <v>#REF!</v>
      </c>
      <c r="H69" s="16" t="e">
        <f>#REF!</f>
        <v>#REF!</v>
      </c>
      <c r="I69" s="16" t="e">
        <f>#REF!</f>
        <v>#REF!</v>
      </c>
      <c r="J69" s="16" t="e">
        <f>#REF!</f>
        <v>#REF!</v>
      </c>
      <c r="K69" s="16" t="e">
        <f>#REF!</f>
        <v>#REF!</v>
      </c>
      <c r="L69" s="16" t="e">
        <f>#REF!</f>
        <v>#REF!</v>
      </c>
    </row>
    <row r="70" spans="1:12" ht="12.75">
      <c r="A70" s="3" t="s">
        <v>171</v>
      </c>
      <c r="B70" s="16" t="e">
        <f>'Mira Loma'!#REF!</f>
        <v>#REF!</v>
      </c>
      <c r="C70" s="16" t="e">
        <f>'Mira Loma'!#REF!</f>
        <v>#REF!</v>
      </c>
      <c r="D70" s="16" t="e">
        <f>'Mira Loma'!#REF!</f>
        <v>#REF!</v>
      </c>
      <c r="E70" s="16" t="e">
        <f>'Mira Loma'!#REF!</f>
        <v>#REF!</v>
      </c>
      <c r="F70" s="16" t="e">
        <f>'Mira Loma'!#REF!</f>
        <v>#REF!</v>
      </c>
      <c r="G70" s="16" t="e">
        <f>'Mira Loma'!#REF!</f>
        <v>#REF!</v>
      </c>
      <c r="H70" s="16" t="e">
        <f>'Mira Loma'!#REF!</f>
        <v>#REF!</v>
      </c>
      <c r="I70" s="16" t="e">
        <f>'Mira Loma'!#REF!</f>
        <v>#REF!</v>
      </c>
      <c r="J70" s="16" t="e">
        <f>'Mira Loma'!#REF!</f>
        <v>#REF!</v>
      </c>
      <c r="K70" s="16" t="e">
        <f>'Mira Loma'!#REF!</f>
        <v>#REF!</v>
      </c>
      <c r="L70" s="16" t="e">
        <f>'Mira Loma'!#REF!</f>
        <v>#REF!</v>
      </c>
    </row>
    <row r="71" spans="1:12" ht="12.75">
      <c r="A71" s="3" t="s">
        <v>172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  <c r="F71" s="16" t="e">
        <f>#REF!</f>
        <v>#REF!</v>
      </c>
      <c r="G71" s="16" t="e">
        <f>#REF!</f>
        <v>#REF!</v>
      </c>
      <c r="H71" s="16" t="e">
        <f>#REF!</f>
        <v>#REF!</v>
      </c>
      <c r="I71" s="16" t="e">
        <f>#REF!</f>
        <v>#REF!</v>
      </c>
      <c r="J71" s="16" t="e">
        <f>#REF!</f>
        <v>#REF!</v>
      </c>
      <c r="K71" s="16" t="e">
        <f>#REF!</f>
        <v>#REF!</v>
      </c>
      <c r="L71" s="16" t="e">
        <f>#REF!</f>
        <v>#REF!</v>
      </c>
    </row>
    <row r="72" spans="1:12" ht="12.75">
      <c r="A72" s="3" t="s">
        <v>173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  <c r="F72" s="16" t="e">
        <f>#REF!</f>
        <v>#REF!</v>
      </c>
      <c r="G72" s="16" t="e">
        <f>#REF!</f>
        <v>#REF!</v>
      </c>
      <c r="H72" s="16" t="e">
        <f>#REF!</f>
        <v>#REF!</v>
      </c>
      <c r="I72" s="16" t="e">
        <f>#REF!</f>
        <v>#REF!</v>
      </c>
      <c r="J72" s="16" t="e">
        <f>#REF!</f>
        <v>#REF!</v>
      </c>
      <c r="K72" s="16" t="e">
        <f>#REF!</f>
        <v>#REF!</v>
      </c>
      <c r="L72" s="16" t="e">
        <f>#REF!</f>
        <v>#REF!</v>
      </c>
    </row>
    <row r="73" spans="1:12" ht="12.75">
      <c r="A73" s="17" t="s">
        <v>42</v>
      </c>
      <c r="B73" s="18" t="e">
        <f aca="true" t="shared" si="7" ref="B73:L73">SUM(B69:B72)</f>
        <v>#REF!</v>
      </c>
      <c r="C73" s="18" t="e">
        <f t="shared" si="7"/>
        <v>#REF!</v>
      </c>
      <c r="D73" s="18" t="e">
        <f t="shared" si="7"/>
        <v>#REF!</v>
      </c>
      <c r="E73" s="18" t="e">
        <f t="shared" si="7"/>
        <v>#REF!</v>
      </c>
      <c r="F73" s="18" t="e">
        <f t="shared" si="7"/>
        <v>#REF!</v>
      </c>
      <c r="G73" s="18" t="e">
        <f t="shared" si="7"/>
        <v>#REF!</v>
      </c>
      <c r="H73" s="18" t="e">
        <f t="shared" si="7"/>
        <v>#REF!</v>
      </c>
      <c r="I73" s="18" t="e">
        <f t="shared" si="7"/>
        <v>#REF!</v>
      </c>
      <c r="J73" s="18" t="e">
        <f t="shared" si="7"/>
        <v>#REF!</v>
      </c>
      <c r="K73" s="18" t="e">
        <f t="shared" si="7"/>
        <v>#REF!</v>
      </c>
      <c r="L73" s="18" t="e">
        <f t="shared" si="7"/>
        <v>#REF!</v>
      </c>
    </row>
    <row r="74" spans="1:12" ht="12.75">
      <c r="A74" s="17" t="s">
        <v>204</v>
      </c>
      <c r="B74" s="18" t="e">
        <f>MAX(B73:L73)</f>
        <v>#REF!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 t="s">
        <v>205</v>
      </c>
      <c r="B75" s="86">
        <v>150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 t="s">
        <v>164</v>
      </c>
      <c r="B76" s="5" t="e">
        <f>IF(B74&gt;B75,"Yes","No")</f>
        <v>#REF!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17" t="s">
        <v>22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2.75">
      <c r="A78" s="3" t="s">
        <v>162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  <c r="F78" s="16" t="e">
        <f>#REF!</f>
        <v>#REF!</v>
      </c>
      <c r="G78" s="16" t="e">
        <f>#REF!</f>
        <v>#REF!</v>
      </c>
      <c r="H78" s="16" t="e">
        <f>#REF!</f>
        <v>#REF!</v>
      </c>
      <c r="I78" s="16" t="e">
        <f>#REF!</f>
        <v>#REF!</v>
      </c>
      <c r="J78" s="16" t="e">
        <f>#REF!</f>
        <v>#REF!</v>
      </c>
      <c r="K78" s="16" t="e">
        <f>#REF!</f>
        <v>#REF!</v>
      </c>
      <c r="L78" s="16" t="e">
        <f>#REF!</f>
        <v>#REF!</v>
      </c>
    </row>
    <row r="79" spans="1:12" ht="12.75">
      <c r="A79" s="3" t="s">
        <v>171</v>
      </c>
      <c r="B79" s="16" t="e">
        <f>'Mira Loma'!#REF!</f>
        <v>#REF!</v>
      </c>
      <c r="C79" s="16" t="e">
        <f>'Mira Loma'!#REF!</f>
        <v>#REF!</v>
      </c>
      <c r="D79" s="16" t="e">
        <f>'Mira Loma'!#REF!</f>
        <v>#REF!</v>
      </c>
      <c r="E79" s="16" t="e">
        <f>'Mira Loma'!#REF!</f>
        <v>#REF!</v>
      </c>
      <c r="F79" s="16" t="e">
        <f>'Mira Loma'!#REF!</f>
        <v>#REF!</v>
      </c>
      <c r="G79" s="16" t="e">
        <f>'Mira Loma'!#REF!</f>
        <v>#REF!</v>
      </c>
      <c r="H79" s="16" t="e">
        <f>'Mira Loma'!#REF!</f>
        <v>#REF!</v>
      </c>
      <c r="I79" s="16" t="e">
        <f>'Mira Loma'!#REF!</f>
        <v>#REF!</v>
      </c>
      <c r="J79" s="16" t="e">
        <f>'Mira Loma'!#REF!</f>
        <v>#REF!</v>
      </c>
      <c r="K79" s="16" t="e">
        <f>'Mira Loma'!#REF!</f>
        <v>#REF!</v>
      </c>
      <c r="L79" s="16" t="e">
        <f>'Mira Loma'!#REF!</f>
        <v>#REF!</v>
      </c>
    </row>
    <row r="80" spans="1:12" ht="12.75">
      <c r="A80" s="3" t="s">
        <v>172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  <c r="F80" s="16" t="e">
        <f>#REF!</f>
        <v>#REF!</v>
      </c>
      <c r="G80" s="16" t="e">
        <f>#REF!</f>
        <v>#REF!</v>
      </c>
      <c r="H80" s="16" t="e">
        <f>#REF!</f>
        <v>#REF!</v>
      </c>
      <c r="I80" s="16" t="e">
        <f>#REF!</f>
        <v>#REF!</v>
      </c>
      <c r="J80" s="16" t="e">
        <f>#REF!</f>
        <v>#REF!</v>
      </c>
      <c r="K80" s="16" t="e">
        <f>#REF!</f>
        <v>#REF!</v>
      </c>
      <c r="L80" s="16" t="e">
        <f>#REF!</f>
        <v>#REF!</v>
      </c>
    </row>
    <row r="81" spans="1:12" ht="12.75">
      <c r="A81" s="3" t="s">
        <v>173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  <c r="F81" s="16" t="e">
        <f>#REF!</f>
        <v>#REF!</v>
      </c>
      <c r="G81" s="16" t="e">
        <f>#REF!</f>
        <v>#REF!</v>
      </c>
      <c r="H81" s="16" t="e">
        <f>#REF!</f>
        <v>#REF!</v>
      </c>
      <c r="I81" s="16" t="e">
        <f>#REF!</f>
        <v>#REF!</v>
      </c>
      <c r="J81" s="16" t="e">
        <f>#REF!</f>
        <v>#REF!</v>
      </c>
      <c r="K81" s="16" t="e">
        <f>#REF!</f>
        <v>#REF!</v>
      </c>
      <c r="L81" s="16" t="e">
        <f>#REF!</f>
        <v>#REF!</v>
      </c>
    </row>
    <row r="82" spans="1:12" ht="12.75">
      <c r="A82" s="17" t="s">
        <v>42</v>
      </c>
      <c r="B82" s="18" t="e">
        <f aca="true" t="shared" si="8" ref="B82:L82">SUM(B78:B81)</f>
        <v>#REF!</v>
      </c>
      <c r="C82" s="18" t="e">
        <f t="shared" si="8"/>
        <v>#REF!</v>
      </c>
      <c r="D82" s="18" t="e">
        <f t="shared" si="8"/>
        <v>#REF!</v>
      </c>
      <c r="E82" s="18" t="e">
        <f t="shared" si="8"/>
        <v>#REF!</v>
      </c>
      <c r="F82" s="18" t="e">
        <f t="shared" si="8"/>
        <v>#REF!</v>
      </c>
      <c r="G82" s="18" t="e">
        <f t="shared" si="8"/>
        <v>#REF!</v>
      </c>
      <c r="H82" s="18" t="e">
        <f t="shared" si="8"/>
        <v>#REF!</v>
      </c>
      <c r="I82" s="18" t="e">
        <f t="shared" si="8"/>
        <v>#REF!</v>
      </c>
      <c r="J82" s="18" t="e">
        <f t="shared" si="8"/>
        <v>#REF!</v>
      </c>
      <c r="K82" s="18" t="e">
        <f t="shared" si="8"/>
        <v>#REF!</v>
      </c>
      <c r="L82" s="18" t="e">
        <f t="shared" si="8"/>
        <v>#REF!</v>
      </c>
    </row>
    <row r="83" spans="1:12" ht="12.75">
      <c r="A83" s="17" t="s">
        <v>204</v>
      </c>
      <c r="B83" s="18" t="e">
        <f>MAX(B82:L82)</f>
        <v>#REF!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 t="s">
        <v>205</v>
      </c>
      <c r="B84" s="86">
        <v>150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 t="s">
        <v>164</v>
      </c>
      <c r="B85" s="5" t="e">
        <f>IF(B83&gt;B84,"Yes","No")</f>
        <v>#REF!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17" t="s">
        <v>194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12.75">
      <c r="A87" s="3" t="s">
        <v>162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  <c r="F87" s="16" t="e">
        <f>#REF!</f>
        <v>#REF!</v>
      </c>
      <c r="G87" s="16" t="e">
        <f>#REF!</f>
        <v>#REF!</v>
      </c>
      <c r="H87" s="16" t="e">
        <f>#REF!</f>
        <v>#REF!</v>
      </c>
      <c r="I87" s="16" t="e">
        <f>#REF!</f>
        <v>#REF!</v>
      </c>
      <c r="J87" s="16" t="e">
        <f>#REF!</f>
        <v>#REF!</v>
      </c>
      <c r="K87" s="16" t="e">
        <f>#REF!</f>
        <v>#REF!</v>
      </c>
      <c r="L87" s="16" t="e">
        <f>#REF!</f>
        <v>#REF!</v>
      </c>
    </row>
    <row r="88" spans="1:12" ht="12.75">
      <c r="A88" s="3" t="s">
        <v>171</v>
      </c>
      <c r="B88" s="16" t="e">
        <f>'Mira Loma'!#REF!</f>
        <v>#REF!</v>
      </c>
      <c r="C88" s="16" t="e">
        <f>'Mira Loma'!#REF!</f>
        <v>#REF!</v>
      </c>
      <c r="D88" s="16" t="e">
        <f>'Mira Loma'!#REF!</f>
        <v>#REF!</v>
      </c>
      <c r="E88" s="16" t="e">
        <f>'Mira Loma'!#REF!</f>
        <v>#REF!</v>
      </c>
      <c r="F88" s="16" t="e">
        <f>'Mira Loma'!#REF!</f>
        <v>#REF!</v>
      </c>
      <c r="G88" s="16" t="e">
        <f>'Mira Loma'!#REF!</f>
        <v>#REF!</v>
      </c>
      <c r="H88" s="16" t="e">
        <f>'Mira Loma'!#REF!</f>
        <v>#REF!</v>
      </c>
      <c r="I88" s="16" t="e">
        <f>'Mira Loma'!#REF!</f>
        <v>#REF!</v>
      </c>
      <c r="J88" s="16" t="e">
        <f>'Mira Loma'!#REF!</f>
        <v>#REF!</v>
      </c>
      <c r="K88" s="16" t="e">
        <f>'Mira Loma'!#REF!</f>
        <v>#REF!</v>
      </c>
      <c r="L88" s="16" t="e">
        <f>'Mira Loma'!#REF!</f>
        <v>#REF!</v>
      </c>
    </row>
    <row r="89" spans="1:12" ht="12.75">
      <c r="A89" s="3" t="s">
        <v>172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  <c r="F89" s="16" t="e">
        <f>#REF!</f>
        <v>#REF!</v>
      </c>
      <c r="G89" s="16" t="e">
        <f>#REF!</f>
        <v>#REF!</v>
      </c>
      <c r="H89" s="16" t="e">
        <f>#REF!</f>
        <v>#REF!</v>
      </c>
      <c r="I89" s="16" t="e">
        <f>#REF!</f>
        <v>#REF!</v>
      </c>
      <c r="J89" s="16" t="e">
        <f>#REF!</f>
        <v>#REF!</v>
      </c>
      <c r="K89" s="16" t="e">
        <f>#REF!</f>
        <v>#REF!</v>
      </c>
      <c r="L89" s="16" t="e">
        <f>#REF!</f>
        <v>#REF!</v>
      </c>
    </row>
    <row r="90" spans="1:12" ht="12.75">
      <c r="A90" s="3" t="s">
        <v>173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  <c r="F90" s="16" t="e">
        <f>#REF!</f>
        <v>#REF!</v>
      </c>
      <c r="G90" s="16" t="e">
        <f>#REF!</f>
        <v>#REF!</v>
      </c>
      <c r="H90" s="16" t="e">
        <f>#REF!</f>
        <v>#REF!</v>
      </c>
      <c r="I90" s="16" t="e">
        <f>#REF!</f>
        <v>#REF!</v>
      </c>
      <c r="J90" s="16" t="e">
        <f>#REF!</f>
        <v>#REF!</v>
      </c>
      <c r="K90" s="16" t="e">
        <f>#REF!</f>
        <v>#REF!</v>
      </c>
      <c r="L90" s="16" t="e">
        <f>#REF!</f>
        <v>#REF!</v>
      </c>
    </row>
    <row r="91" spans="1:12" ht="12.75">
      <c r="A91" s="17" t="s">
        <v>42</v>
      </c>
      <c r="B91" s="18" t="e">
        <f aca="true" t="shared" si="9" ref="B91:L91">SUM(B87:B90)</f>
        <v>#REF!</v>
      </c>
      <c r="C91" s="18" t="e">
        <f t="shared" si="9"/>
        <v>#REF!</v>
      </c>
      <c r="D91" s="18" t="e">
        <f t="shared" si="9"/>
        <v>#REF!</v>
      </c>
      <c r="E91" s="18" t="e">
        <f t="shared" si="9"/>
        <v>#REF!</v>
      </c>
      <c r="F91" s="18" t="e">
        <f t="shared" si="9"/>
        <v>#REF!</v>
      </c>
      <c r="G91" s="18" t="e">
        <f t="shared" si="9"/>
        <v>#REF!</v>
      </c>
      <c r="H91" s="18" t="e">
        <f t="shared" si="9"/>
        <v>#REF!</v>
      </c>
      <c r="I91" s="18" t="e">
        <f t="shared" si="9"/>
        <v>#REF!</v>
      </c>
      <c r="J91" s="18" t="e">
        <f t="shared" si="9"/>
        <v>#REF!</v>
      </c>
      <c r="K91" s="18" t="e">
        <f t="shared" si="9"/>
        <v>#REF!</v>
      </c>
      <c r="L91" s="18" t="e">
        <f t="shared" si="9"/>
        <v>#REF!</v>
      </c>
    </row>
    <row r="92" spans="1:12" ht="12.75">
      <c r="A92" s="17" t="s">
        <v>204</v>
      </c>
      <c r="B92" s="18" t="e">
        <f>MAX(B91:L91)</f>
        <v>#REF!</v>
      </c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 t="s">
        <v>205</v>
      </c>
      <c r="B93" s="86">
        <v>55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 t="s">
        <v>164</v>
      </c>
      <c r="B94" s="5" t="e">
        <f>IF(B92&gt;B93,"Yes","No")</f>
        <v>#REF!</v>
      </c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11">
    <mergeCell ref="A2:N2"/>
    <mergeCell ref="A3:N3"/>
    <mergeCell ref="A4:A5"/>
    <mergeCell ref="B4:B5"/>
    <mergeCell ref="C4:C5"/>
    <mergeCell ref="D4:N4"/>
    <mergeCell ref="A19:M19"/>
    <mergeCell ref="A20:M20"/>
    <mergeCell ref="C21:M21"/>
    <mergeCell ref="A21:A22"/>
    <mergeCell ref="B21:B22"/>
  </mergeCells>
  <printOptions/>
  <pageMargins left="0.75" right="0.75" top="1" bottom="1" header="0.5" footer="0.5"/>
  <pageSetup fitToHeight="99" horizontalDpi="600" verticalDpi="600" orientation="landscape" scale="70" r:id="rId1"/>
  <headerFooter alignWithMargins="0">
    <oddFooter>&amp;CB.1-&amp;P&amp;RSCE Peaker Project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6"/>
  <sheetViews>
    <sheetView tabSelected="1" zoomScalePageLayoutView="0" workbookViewId="0" topLeftCell="A2">
      <selection activeCell="A2" sqref="A2:G2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316</v>
      </c>
    </row>
    <row r="2" spans="1:12" ht="12.75">
      <c r="A2" s="133" t="s">
        <v>214</v>
      </c>
      <c r="B2" s="133"/>
      <c r="C2" s="133"/>
      <c r="D2" s="133"/>
      <c r="E2" s="133"/>
      <c r="F2" s="133"/>
      <c r="G2" s="133"/>
      <c r="H2" s="48"/>
      <c r="I2" s="48"/>
      <c r="J2" s="48"/>
      <c r="K2" s="48"/>
      <c r="L2" s="48"/>
    </row>
    <row r="3" spans="1:12" ht="12.75">
      <c r="A3" s="134" t="str">
        <f>$B$1&amp;" Peak Daily Emissions Summary (Unmitigated)"</f>
        <v>Mira Loma Construction Peak Daily Emissions Summary (Unmitigated)</v>
      </c>
      <c r="B3" s="134"/>
      <c r="C3" s="134"/>
      <c r="D3" s="134"/>
      <c r="E3" s="134"/>
      <c r="F3" s="134"/>
      <c r="G3" s="134"/>
      <c r="H3" s="33"/>
      <c r="I3" s="33"/>
      <c r="J3" s="33"/>
      <c r="K3" s="33"/>
      <c r="L3" s="33"/>
    </row>
    <row r="4" spans="1:7" ht="26.25">
      <c r="A4" s="11" t="s">
        <v>128</v>
      </c>
      <c r="B4" s="1" t="s">
        <v>129</v>
      </c>
      <c r="C4" s="1" t="s">
        <v>130</v>
      </c>
      <c r="D4" s="1" t="s">
        <v>131</v>
      </c>
      <c r="E4" s="1" t="s">
        <v>132</v>
      </c>
      <c r="F4" s="1" t="s">
        <v>133</v>
      </c>
      <c r="G4" s="1" t="s">
        <v>192</v>
      </c>
    </row>
    <row r="5" spans="1:7" ht="12.75">
      <c r="A5" s="61" t="s">
        <v>297</v>
      </c>
      <c r="B5" s="1"/>
      <c r="C5" s="1"/>
      <c r="D5" s="1"/>
      <c r="E5" s="1"/>
      <c r="F5" s="1"/>
      <c r="G5" s="1"/>
    </row>
    <row r="6" spans="1:7" ht="12.75">
      <c r="A6" s="15" t="s">
        <v>135</v>
      </c>
      <c r="B6" s="16">
        <f>HLOOKUP(B$32,$B$40:$L$54,3,FALSE)</f>
        <v>28.372609980944155</v>
      </c>
      <c r="C6" s="16">
        <f>HLOOKUP(C$32,$B$58:$L$76,3,FALSE)</f>
        <v>10.006418397019875</v>
      </c>
      <c r="D6" s="16">
        <f>HLOOKUP(D$32,$B$85:$L$98,3,FALSE)</f>
        <v>50.42366992452659</v>
      </c>
      <c r="E6" s="16">
        <f>HLOOKUP(E$32,$B$103:$L$116,3,FALSE)</f>
        <v>0.04559904544801338</v>
      </c>
      <c r="F6" s="16">
        <f>HLOOKUP(F$32,$B$126:$L$143,3,FALSE)</f>
        <v>0.9349536497797463</v>
      </c>
      <c r="G6" s="16">
        <f>HLOOKUP(G$32,$B$148:$L$165,3,FALSE)</f>
        <v>3.097693285908709</v>
      </c>
    </row>
    <row r="7" spans="1:7" ht="12.75">
      <c r="A7" s="15" t="s">
        <v>136</v>
      </c>
      <c r="B7" s="16">
        <f>HLOOKUP(B$32,$B$40:$L$54,4,FALSE)</f>
        <v>0</v>
      </c>
      <c r="C7" s="16">
        <f>HLOOKUP(C$32,$B$58:$L$76,4,FALSE)</f>
        <v>0</v>
      </c>
      <c r="D7" s="16">
        <f>HLOOKUP(D$32,$B$85:$L$98,4,FALSE)</f>
        <v>0</v>
      </c>
      <c r="E7" s="16">
        <f>HLOOKUP(E$32,$B$103:$L$116,4,FALSE)</f>
        <v>0</v>
      </c>
      <c r="F7" s="16">
        <f>HLOOKUP(F$32,$B$126:$L$143,4,FALSE)</f>
        <v>0</v>
      </c>
      <c r="G7" s="16">
        <f>HLOOKUP(G$32,$B$148:$L$165,4,FALSE)</f>
        <v>0</v>
      </c>
    </row>
    <row r="8" spans="1:7" ht="12.75">
      <c r="A8" s="15" t="s">
        <v>122</v>
      </c>
      <c r="B8" s="16">
        <f>HLOOKUP(B$32,$B$40:$L$54,5,FALSE)</f>
        <v>0.9615</v>
      </c>
      <c r="C8" s="16">
        <f>HLOOKUP(C$32,$B$58:$L$76,5,FALSE)</f>
        <v>0.103725</v>
      </c>
      <c r="D8" s="16">
        <f>HLOOKUP(D$32,$B$85:$L$98,5,FALSE)</f>
        <v>0.102075</v>
      </c>
      <c r="E8" s="16">
        <f>HLOOKUP(E$32,$B$103:$L$116,5,FALSE)</f>
        <v>0.000675</v>
      </c>
      <c r="F8" s="16">
        <f>HLOOKUP(F$32,$B$126:$L$143,5,FALSE)</f>
        <v>0.001998709494656993</v>
      </c>
      <c r="G8" s="16">
        <f>HLOOKUP(G$32,$B$148:$L$165,5,FALSE)</f>
        <v>0.005516438205253302</v>
      </c>
    </row>
    <row r="9" spans="1:7" ht="12.75">
      <c r="A9" s="15" t="s">
        <v>304</v>
      </c>
      <c r="B9" s="65" t="s">
        <v>127</v>
      </c>
      <c r="C9" s="65" t="s">
        <v>127</v>
      </c>
      <c r="D9" s="65" t="s">
        <v>127</v>
      </c>
      <c r="E9" s="65" t="s">
        <v>127</v>
      </c>
      <c r="F9" s="16">
        <f>HLOOKUP(F$32,$B$126:$L$143,6,FALSE)</f>
        <v>0.48607161677066296</v>
      </c>
      <c r="G9" s="16">
        <f>HLOOKUP(G$32,$B$148:$L$165,6,FALSE)</f>
        <v>0.12764862414433284</v>
      </c>
    </row>
    <row r="10" spans="1:7" ht="12.75">
      <c r="A10" s="15" t="s">
        <v>123</v>
      </c>
      <c r="B10" s="65" t="s">
        <v>127</v>
      </c>
      <c r="C10" s="16">
        <f>HLOOKUP(C$32,$B$58:$L$76,6,FALSE)</f>
        <v>0</v>
      </c>
      <c r="D10" s="65" t="s">
        <v>127</v>
      </c>
      <c r="E10" s="65" t="s">
        <v>127</v>
      </c>
      <c r="F10" s="65" t="s">
        <v>127</v>
      </c>
      <c r="G10" s="65" t="s">
        <v>127</v>
      </c>
    </row>
    <row r="11" spans="1:7" ht="12.75">
      <c r="A11" s="15" t="s">
        <v>124</v>
      </c>
      <c r="B11" s="65" t="s">
        <v>127</v>
      </c>
      <c r="C11" s="16">
        <f>HLOOKUP(C$32,$B$58:$L$76,7,FALSE)</f>
        <v>0</v>
      </c>
      <c r="D11" s="65" t="s">
        <v>127</v>
      </c>
      <c r="E11" s="65" t="s">
        <v>127</v>
      </c>
      <c r="F11" s="65" t="s">
        <v>127</v>
      </c>
      <c r="G11" s="65" t="s">
        <v>127</v>
      </c>
    </row>
    <row r="12" spans="1:7" ht="12.75">
      <c r="A12" s="34" t="s">
        <v>75</v>
      </c>
      <c r="B12" s="18">
        <f aca="true" t="shared" si="0" ref="B12:G12">SUM(B6:B11)</f>
        <v>29.334109980944156</v>
      </c>
      <c r="C12" s="18">
        <f t="shared" si="0"/>
        <v>10.110143397019876</v>
      </c>
      <c r="D12" s="18">
        <f t="shared" si="0"/>
        <v>50.52574492452659</v>
      </c>
      <c r="E12" s="18">
        <f t="shared" si="0"/>
        <v>0.04627404544801338</v>
      </c>
      <c r="F12" s="18">
        <f t="shared" si="0"/>
        <v>1.4230239760450663</v>
      </c>
      <c r="G12" s="18">
        <f t="shared" si="0"/>
        <v>3.2308583482582955</v>
      </c>
    </row>
    <row r="13" spans="1:7" ht="12.75">
      <c r="A13" s="15" t="s">
        <v>125</v>
      </c>
      <c r="B13" s="16">
        <f>HLOOKUP(B$32,$B$40:$L$54,7,FALSE)</f>
        <v>17.602632601133088</v>
      </c>
      <c r="C13" s="16">
        <f>HLOOKUP(C$32,$B$58:$L$76,9,FALSE)</f>
        <v>1.9620418238743662</v>
      </c>
      <c r="D13" s="16">
        <f>HLOOKUP(D$32,$B$85:$L$98,7,FALSE)</f>
        <v>5.373592876453633</v>
      </c>
      <c r="E13" s="16">
        <f>HLOOKUP(E$32,$B$103:$L$116,7,FALSE)</f>
        <v>0.016542110128217873</v>
      </c>
      <c r="F13" s="16">
        <f>HLOOKUP(F$32,$B$126:$L$143,8,FALSE)</f>
        <v>0.04899271804952288</v>
      </c>
      <c r="G13" s="16">
        <f>HLOOKUP(G$32,$B$148:$L$165,8,FALSE)</f>
        <v>0.15759464170090595</v>
      </c>
    </row>
    <row r="14" spans="1:7" ht="12.75">
      <c r="A14" s="15" t="s">
        <v>193</v>
      </c>
      <c r="B14" s="65" t="s">
        <v>127</v>
      </c>
      <c r="C14" s="65" t="s">
        <v>127</v>
      </c>
      <c r="D14" s="65" t="s">
        <v>127</v>
      </c>
      <c r="E14" s="65" t="s">
        <v>127</v>
      </c>
      <c r="F14" s="16">
        <f>HLOOKUP(F$32,$B$126:$L$143,9,FALSE)</f>
        <v>0.26562094068915176</v>
      </c>
      <c r="G14" s="16">
        <f>HLOOKUP(G$32,$B$148:$L$165,9,FALSE)</f>
        <v>0.24689466437056662</v>
      </c>
    </row>
    <row r="15" spans="1:7" ht="12.75">
      <c r="A15" s="34" t="s">
        <v>126</v>
      </c>
      <c r="B15" s="18">
        <f aca="true" t="shared" si="1" ref="B15:G15">SUM(B13:B14)</f>
        <v>17.602632601133088</v>
      </c>
      <c r="C15" s="18">
        <f t="shared" si="1"/>
        <v>1.9620418238743662</v>
      </c>
      <c r="D15" s="18">
        <f t="shared" si="1"/>
        <v>5.373592876453633</v>
      </c>
      <c r="E15" s="18">
        <f t="shared" si="1"/>
        <v>0.016542110128217873</v>
      </c>
      <c r="F15" s="18">
        <f t="shared" si="1"/>
        <v>0.31461365873867464</v>
      </c>
      <c r="G15" s="18">
        <f t="shared" si="1"/>
        <v>0.4044893060714726</v>
      </c>
    </row>
    <row r="16" spans="1:7" ht="12.75">
      <c r="A16" s="34" t="s">
        <v>302</v>
      </c>
      <c r="B16" s="18">
        <f aca="true" t="shared" si="2" ref="B16:G16">B12+B15</f>
        <v>46.936742582077244</v>
      </c>
      <c r="C16" s="18">
        <f t="shared" si="2"/>
        <v>12.07218522089424</v>
      </c>
      <c r="D16" s="18">
        <f t="shared" si="2"/>
        <v>55.89933780098023</v>
      </c>
      <c r="E16" s="18">
        <f t="shared" si="2"/>
        <v>0.06281615557623126</v>
      </c>
      <c r="F16" s="18">
        <f t="shared" si="2"/>
        <v>1.737637634783741</v>
      </c>
      <c r="G16" s="18">
        <f t="shared" si="2"/>
        <v>3.635347654329768</v>
      </c>
    </row>
    <row r="17" spans="1:7" ht="12.75">
      <c r="A17" s="61" t="s">
        <v>298</v>
      </c>
      <c r="B17" s="18"/>
      <c r="C17" s="18"/>
      <c r="D17" s="18"/>
      <c r="E17" s="18"/>
      <c r="F17" s="18"/>
      <c r="G17" s="18"/>
    </row>
    <row r="18" spans="1:7" ht="12.75">
      <c r="A18" s="15" t="s">
        <v>135</v>
      </c>
      <c r="B18" s="16">
        <f>HLOOKUP(B$32,$B$40:$L$54,10,FALSE)</f>
        <v>31.53734289325394</v>
      </c>
      <c r="C18" s="16">
        <f>HLOOKUP(C$32,$B$58:$L$76,12,FALSE)</f>
        <v>11.000009640412955</v>
      </c>
      <c r="D18" s="16">
        <f>HLOOKUP(D$32,$B$85:$L$98,10,FALSE)</f>
        <v>57.81765639493266</v>
      </c>
      <c r="E18" s="16">
        <f>HLOOKUP(E$32,$B$103:$L$116,10,FALSE)</f>
        <v>0.05251089105616637</v>
      </c>
      <c r="F18" s="16">
        <f>HLOOKUP(F$32,$B$126:$L$143,12,FALSE)</f>
        <v>4.1590893953512085</v>
      </c>
      <c r="G18" s="16">
        <f>HLOOKUP(G$32,$B$148:$L$165,12,FALSE)</f>
        <v>3.826362243723112</v>
      </c>
    </row>
    <row r="19" spans="1:7" ht="12.75">
      <c r="A19" s="15" t="s">
        <v>136</v>
      </c>
      <c r="B19" s="16">
        <f>HLOOKUP(B$32,$B$40:$L$54,11,FALSE)</f>
        <v>0</v>
      </c>
      <c r="C19" s="16">
        <f>HLOOKUP(C$32,$B$58:$L$76,13,FALSE)</f>
        <v>0</v>
      </c>
      <c r="D19" s="16">
        <f>HLOOKUP(D$32,$B$85:$L$98,11,FALSE)</f>
        <v>0</v>
      </c>
      <c r="E19" s="16">
        <f>HLOOKUP(E$32,$B$103:$L$116,11,FALSE)</f>
        <v>0</v>
      </c>
      <c r="F19" s="16">
        <f>HLOOKUP(F$32,$B$126:$L$143,13,FALSE)</f>
        <v>0</v>
      </c>
      <c r="G19" s="16">
        <f>HLOOKUP(G$32,$B$148:$L$165,13,FALSE)</f>
        <v>0</v>
      </c>
    </row>
    <row r="20" spans="1:7" ht="12.75">
      <c r="A20" s="15" t="s">
        <v>122</v>
      </c>
      <c r="B20" s="16">
        <f>HLOOKUP(B$32,$B$40:$L$54,12,FALSE)</f>
        <v>0.8796065202266177</v>
      </c>
      <c r="C20" s="16">
        <f>HLOOKUP(C$32,$B$58:$L$76,14,FALSE)</f>
        <v>0.10751036477487327</v>
      </c>
      <c r="D20" s="16">
        <f>HLOOKUP(D$32,$B$85:$L$98,12,FALSE)</f>
        <v>0.7943525752907264</v>
      </c>
      <c r="E20" s="16">
        <f>HLOOKUP(E$32,$B$103:$L$116,12,FALSE)</f>
        <v>0.0014544220256435744</v>
      </c>
      <c r="F20" s="16">
        <f>HLOOKUP(F$32,$B$126:$L$143,14,FALSE)</f>
        <v>0.017678326104938438</v>
      </c>
      <c r="G20" s="16">
        <f>HLOOKUP(G$32,$B$148:$L$165,14,FALSE)</f>
        <v>0.016367111403085458</v>
      </c>
    </row>
    <row r="21" spans="1:7" ht="12.75">
      <c r="A21" s="15" t="s">
        <v>304</v>
      </c>
      <c r="B21" s="65" t="s">
        <v>127</v>
      </c>
      <c r="C21" s="65" t="s">
        <v>127</v>
      </c>
      <c r="D21" s="65" t="s">
        <v>127</v>
      </c>
      <c r="E21" s="65" t="s">
        <v>127</v>
      </c>
      <c r="F21" s="16">
        <f>HLOOKUP(F$32,$B$126:$L$143,15,FALSE)</f>
        <v>8.30504394232543</v>
      </c>
      <c r="G21" s="16">
        <f>HLOOKUP(G$32,$B$148:$L$165,15,FALSE)</f>
        <v>0.466094286180196</v>
      </c>
    </row>
    <row r="22" spans="1:7" ht="12.75">
      <c r="A22" s="15" t="s">
        <v>123</v>
      </c>
      <c r="B22" s="65" t="s">
        <v>127</v>
      </c>
      <c r="C22" s="16">
        <f>HLOOKUP(C$32,$B$58:$L$76,15,FALSE)</f>
        <v>0</v>
      </c>
      <c r="D22" s="65" t="s">
        <v>127</v>
      </c>
      <c r="E22" s="65" t="s">
        <v>127</v>
      </c>
      <c r="F22" s="65" t="s">
        <v>127</v>
      </c>
      <c r="G22" s="65" t="s">
        <v>127</v>
      </c>
    </row>
    <row r="23" spans="1:7" ht="12.75">
      <c r="A23" s="15" t="s">
        <v>124</v>
      </c>
      <c r="B23" s="65" t="s">
        <v>127</v>
      </c>
      <c r="C23" s="16">
        <f>HLOOKUP(C$32,$B$58:$L$76,16,FALSE)</f>
        <v>0</v>
      </c>
      <c r="D23" s="65" t="s">
        <v>127</v>
      </c>
      <c r="E23" s="65" t="s">
        <v>127</v>
      </c>
      <c r="F23" s="65" t="s">
        <v>127</v>
      </c>
      <c r="G23" s="65" t="s">
        <v>127</v>
      </c>
    </row>
    <row r="24" spans="1:7" ht="12.75">
      <c r="A24" s="34" t="s">
        <v>75</v>
      </c>
      <c r="B24" s="18">
        <f aca="true" t="shared" si="3" ref="B24:G24">SUM(B18:B23)</f>
        <v>32.41694941348056</v>
      </c>
      <c r="C24" s="18">
        <f t="shared" si="3"/>
        <v>11.107520005187828</v>
      </c>
      <c r="D24" s="18">
        <f t="shared" si="3"/>
        <v>58.612008970223386</v>
      </c>
      <c r="E24" s="18">
        <f t="shared" si="3"/>
        <v>0.05396531308180994</v>
      </c>
      <c r="F24" s="18">
        <f t="shared" si="3"/>
        <v>12.481811663781578</v>
      </c>
      <c r="G24" s="18">
        <f t="shared" si="3"/>
        <v>4.308823641306393</v>
      </c>
    </row>
    <row r="25" spans="1:7" ht="12.75">
      <c r="A25" s="15" t="s">
        <v>125</v>
      </c>
      <c r="B25" s="16">
        <f>HLOOKUP(B$32,$B$40:$L$54,14,FALSE)</f>
        <v>21.89208150283272</v>
      </c>
      <c r="C25" s="16">
        <f>HLOOKUP(C$32,$B$58:$L$76,18,FALSE)</f>
        <v>2.5194295596859155</v>
      </c>
      <c r="D25" s="16">
        <f>HLOOKUP(D$32,$B$85:$L$98,14,FALSE)</f>
        <v>11.08625719113408</v>
      </c>
      <c r="E25" s="16">
        <f>HLOOKUP(E$32,$B$103:$L$116,14,FALSE)</f>
        <v>0.025830275320544677</v>
      </c>
      <c r="F25" s="16">
        <f>HLOOKUP(F$32,$B$126:$L$143,17,FALSE)</f>
        <v>0.2889351991300682</v>
      </c>
      <c r="G25" s="16">
        <f>HLOOKUP(G$32,$B$148:$L$165,17,FALSE)</f>
        <v>0.267108525531439</v>
      </c>
    </row>
    <row r="26" spans="1:7" ht="12.75">
      <c r="A26" s="15" t="s">
        <v>193</v>
      </c>
      <c r="B26" s="65" t="s">
        <v>127</v>
      </c>
      <c r="C26" s="65" t="s">
        <v>127</v>
      </c>
      <c r="D26" s="65" t="s">
        <v>127</v>
      </c>
      <c r="E26" s="65" t="s">
        <v>127</v>
      </c>
      <c r="F26" s="16">
        <f>HLOOKUP(F$32,$B$126:$L$143,18,FALSE)</f>
        <v>1.88999515490358</v>
      </c>
      <c r="G26" s="16">
        <f>HLOOKUP(G$32,$B$148:$L$165,18,FALSE)</f>
        <v>0.31940918117870504</v>
      </c>
    </row>
    <row r="27" spans="1:7" ht="12.75">
      <c r="A27" s="34" t="s">
        <v>126</v>
      </c>
      <c r="B27" s="18">
        <f aca="true" t="shared" si="4" ref="B27:G27">SUM(B25:B26)</f>
        <v>21.89208150283272</v>
      </c>
      <c r="C27" s="18">
        <f t="shared" si="4"/>
        <v>2.5194295596859155</v>
      </c>
      <c r="D27" s="18">
        <f t="shared" si="4"/>
        <v>11.08625719113408</v>
      </c>
      <c r="E27" s="18">
        <f t="shared" si="4"/>
        <v>0.025830275320544677</v>
      </c>
      <c r="F27" s="18">
        <f t="shared" si="4"/>
        <v>2.1789303540336484</v>
      </c>
      <c r="G27" s="18">
        <f t="shared" si="4"/>
        <v>0.586517706710144</v>
      </c>
    </row>
    <row r="28" spans="1:7" ht="12.75">
      <c r="A28" s="34" t="s">
        <v>303</v>
      </c>
      <c r="B28" s="18">
        <f aca="true" t="shared" si="5" ref="B28:G28">B24+B27</f>
        <v>54.309030916313276</v>
      </c>
      <c r="C28" s="18">
        <f t="shared" si="5"/>
        <v>13.626949564873744</v>
      </c>
      <c r="D28" s="18">
        <f t="shared" si="5"/>
        <v>69.69826616135747</v>
      </c>
      <c r="E28" s="18">
        <f t="shared" si="5"/>
        <v>0.07979558840235462</v>
      </c>
      <c r="F28" s="18">
        <f t="shared" si="5"/>
        <v>14.660742017815226</v>
      </c>
      <c r="G28" s="18">
        <f t="shared" si="5"/>
        <v>4.8953413480165375</v>
      </c>
    </row>
    <row r="29" spans="1:7" ht="12.75">
      <c r="A29" s="34" t="s">
        <v>42</v>
      </c>
      <c r="B29" s="18">
        <f aca="true" t="shared" si="6" ref="B29:G29">B16+B28</f>
        <v>101.24577349839052</v>
      </c>
      <c r="C29" s="18">
        <f t="shared" si="6"/>
        <v>25.699134785767985</v>
      </c>
      <c r="D29" s="18">
        <f t="shared" si="6"/>
        <v>125.5976039623377</v>
      </c>
      <c r="E29" s="18">
        <f t="shared" si="6"/>
        <v>0.1426117439785859</v>
      </c>
      <c r="F29" s="18">
        <f t="shared" si="6"/>
        <v>16.398379652598965</v>
      </c>
      <c r="G29" s="18">
        <f t="shared" si="6"/>
        <v>8.530689002346305</v>
      </c>
    </row>
    <row r="30" spans="1:7" ht="12.75">
      <c r="A30" s="66" t="s">
        <v>163</v>
      </c>
      <c r="B30" s="67">
        <v>550</v>
      </c>
      <c r="C30" s="67">
        <v>75</v>
      </c>
      <c r="D30" s="67">
        <v>100</v>
      </c>
      <c r="E30" s="67">
        <v>150</v>
      </c>
      <c r="F30" s="67">
        <v>150</v>
      </c>
      <c r="G30" s="67">
        <v>150</v>
      </c>
    </row>
    <row r="31" spans="1:7" ht="12.75">
      <c r="A31" s="34" t="s">
        <v>164</v>
      </c>
      <c r="B31" s="68" t="str">
        <f aca="true" t="shared" si="7" ref="B31:G31">IF(B29&gt;B30,"Yes","No")</f>
        <v>No</v>
      </c>
      <c r="C31" s="68" t="str">
        <f t="shared" si="7"/>
        <v>No</v>
      </c>
      <c r="D31" s="68" t="str">
        <f t="shared" si="7"/>
        <v>Yes</v>
      </c>
      <c r="E31" s="68" t="str">
        <f t="shared" si="7"/>
        <v>No</v>
      </c>
      <c r="F31" s="68" t="str">
        <f t="shared" si="7"/>
        <v>No</v>
      </c>
      <c r="G31" s="68" t="str">
        <f t="shared" si="7"/>
        <v>No</v>
      </c>
    </row>
    <row r="32" spans="2:7" ht="12.75" hidden="1">
      <c r="B32" s="56">
        <f>MAX(B55:L55)</f>
        <v>101.24577349839052</v>
      </c>
      <c r="C32" s="56">
        <f>MAX(B77:L77)</f>
        <v>25.699134785767985</v>
      </c>
      <c r="D32" s="56">
        <f>MAX(B100:L100)</f>
        <v>125.5976039623377</v>
      </c>
      <c r="E32" s="56">
        <f>MAX(B118:L118)</f>
        <v>0.1426117439785859</v>
      </c>
      <c r="F32" s="56">
        <f>MAX(B145:L145)</f>
        <v>16.39837965259897</v>
      </c>
      <c r="G32" s="56">
        <f>MAX(B167:L167)</f>
        <v>8.530689002346305</v>
      </c>
    </row>
    <row r="33" spans="1:6" ht="12.75">
      <c r="A33" s="19" t="s">
        <v>43</v>
      </c>
      <c r="B33" s="56"/>
      <c r="C33" s="56"/>
      <c r="D33" s="56"/>
      <c r="E33" s="56"/>
      <c r="F33" s="56"/>
    </row>
    <row r="35" spans="1:14" ht="12.75">
      <c r="A35" s="133" t="s">
        <v>213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48"/>
      <c r="N35" s="48"/>
    </row>
    <row r="36" spans="1:14" ht="12.75">
      <c r="A36" s="134" t="str">
        <f>$B$1&amp;" Emissions Summary"</f>
        <v>Mira Loma Construction Emissions Summary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33"/>
      <c r="N36" s="33"/>
    </row>
    <row r="37" spans="1:14" ht="12.75">
      <c r="A37" s="132" t="s">
        <v>44</v>
      </c>
      <c r="B37" s="132" t="s">
        <v>41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7"/>
      <c r="N37" s="7"/>
    </row>
    <row r="38" spans="1:12" ht="12.75">
      <c r="A38" s="135"/>
      <c r="B38" s="60">
        <f>DATE(2007,2,26)</f>
        <v>39139</v>
      </c>
      <c r="C38" s="60">
        <f aca="true" t="shared" si="8" ref="C38:L38">B38+14</f>
        <v>39153</v>
      </c>
      <c r="D38" s="60">
        <f t="shared" si="8"/>
        <v>39167</v>
      </c>
      <c r="E38" s="60">
        <f t="shared" si="8"/>
        <v>39181</v>
      </c>
      <c r="F38" s="60">
        <f t="shared" si="8"/>
        <v>39195</v>
      </c>
      <c r="G38" s="60">
        <f t="shared" si="8"/>
        <v>39209</v>
      </c>
      <c r="H38" s="60">
        <f t="shared" si="8"/>
        <v>39223</v>
      </c>
      <c r="I38" s="60">
        <f t="shared" si="8"/>
        <v>39237</v>
      </c>
      <c r="J38" s="60">
        <f t="shared" si="8"/>
        <v>39251</v>
      </c>
      <c r="K38" s="60">
        <f t="shared" si="8"/>
        <v>39265</v>
      </c>
      <c r="L38" s="60">
        <f t="shared" si="8"/>
        <v>39279</v>
      </c>
    </row>
    <row r="39" spans="1:12" ht="12.75">
      <c r="A39" s="34" t="s">
        <v>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 hidden="1">
      <c r="A40" s="34"/>
      <c r="B40" s="64">
        <f aca="true" t="shared" si="9" ref="B40:L40">B55</f>
        <v>65.40967091979074</v>
      </c>
      <c r="C40" s="64">
        <f t="shared" si="9"/>
        <v>85.6900954519965</v>
      </c>
      <c r="D40" s="64">
        <f t="shared" si="9"/>
        <v>92.79954515793634</v>
      </c>
      <c r="E40" s="64">
        <f t="shared" si="9"/>
        <v>101.24577349839052</v>
      </c>
      <c r="F40" s="64">
        <f t="shared" si="9"/>
        <v>40.58315060725508</v>
      </c>
      <c r="G40" s="64">
        <f t="shared" si="9"/>
        <v>26.7384569130379</v>
      </c>
      <c r="H40" s="64">
        <f t="shared" si="9"/>
        <v>23.076932067876488</v>
      </c>
      <c r="I40" s="64">
        <f t="shared" si="9"/>
        <v>19.487332067876487</v>
      </c>
      <c r="J40" s="64">
        <f t="shared" si="9"/>
        <v>2.1153</v>
      </c>
      <c r="K40" s="64">
        <f t="shared" si="9"/>
        <v>0</v>
      </c>
      <c r="L40" s="64">
        <f t="shared" si="9"/>
        <v>0</v>
      </c>
    </row>
    <row r="41" spans="1:12" ht="12.75">
      <c r="A41" s="34" t="s">
        <v>297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>
      <c r="A42" s="15" t="s">
        <v>156</v>
      </c>
      <c r="B42" s="35">
        <f aca="true" t="shared" si="10" ref="B42:L42">C255</f>
        <v>7.8119237029109225</v>
      </c>
      <c r="C42" s="35">
        <f t="shared" si="10"/>
        <v>18.660534131150857</v>
      </c>
      <c r="D42" s="35">
        <f t="shared" si="10"/>
        <v>22.18038383709069</v>
      </c>
      <c r="E42" s="35">
        <f t="shared" si="10"/>
        <v>28.372609980944155</v>
      </c>
      <c r="F42" s="35">
        <f t="shared" si="10"/>
        <v>22.916418006121987</v>
      </c>
      <c r="G42" s="35">
        <f t="shared" si="10"/>
        <v>15.052640612471357</v>
      </c>
      <c r="H42" s="35">
        <f t="shared" si="10"/>
        <v>11.391115767309943</v>
      </c>
      <c r="I42" s="35">
        <f t="shared" si="10"/>
        <v>11.391115767309943</v>
      </c>
      <c r="J42" s="35">
        <f t="shared" si="10"/>
        <v>0</v>
      </c>
      <c r="K42" s="35">
        <f t="shared" si="10"/>
        <v>0</v>
      </c>
      <c r="L42" s="35">
        <f t="shared" si="10"/>
        <v>0</v>
      </c>
    </row>
    <row r="43" spans="1:12" ht="12.75">
      <c r="A43" s="15" t="s">
        <v>157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ht="12.75">
      <c r="A44" s="15" t="s">
        <v>158</v>
      </c>
      <c r="B44" s="35">
        <f aca="true" t="shared" si="11" ref="B44:L44">C262</f>
        <v>0.3205</v>
      </c>
      <c r="C44" s="35">
        <f t="shared" si="11"/>
        <v>0.641</v>
      </c>
      <c r="D44" s="35">
        <f t="shared" si="11"/>
        <v>0.641</v>
      </c>
      <c r="E44" s="35">
        <f t="shared" si="11"/>
        <v>0.9615</v>
      </c>
      <c r="F44" s="35">
        <f t="shared" si="11"/>
        <v>0.9615</v>
      </c>
      <c r="G44" s="35">
        <f t="shared" si="11"/>
        <v>0.641</v>
      </c>
      <c r="H44" s="35">
        <f t="shared" si="11"/>
        <v>0.641</v>
      </c>
      <c r="I44" s="35">
        <f t="shared" si="11"/>
        <v>0.641</v>
      </c>
      <c r="J44" s="35">
        <f t="shared" si="11"/>
        <v>0.3205</v>
      </c>
      <c r="K44" s="35">
        <f t="shared" si="11"/>
        <v>0</v>
      </c>
      <c r="L44" s="35">
        <f t="shared" si="11"/>
        <v>0</v>
      </c>
    </row>
    <row r="45" spans="1:12" ht="12.75">
      <c r="A45" s="34" t="s">
        <v>75</v>
      </c>
      <c r="B45" s="18">
        <f>SUM(B42:B44)</f>
        <v>8.132423702910923</v>
      </c>
      <c r="C45" s="18">
        <f aca="true" t="shared" si="12" ref="C45:L45">SUM(C42:C44)</f>
        <v>19.30153413115086</v>
      </c>
      <c r="D45" s="18">
        <f t="shared" si="12"/>
        <v>22.821383837090693</v>
      </c>
      <c r="E45" s="18">
        <f t="shared" si="12"/>
        <v>29.334109980944156</v>
      </c>
      <c r="F45" s="18">
        <f t="shared" si="12"/>
        <v>23.877918006121988</v>
      </c>
      <c r="G45" s="18">
        <f t="shared" si="12"/>
        <v>15.693640612471357</v>
      </c>
      <c r="H45" s="18">
        <f t="shared" si="12"/>
        <v>12.032115767309943</v>
      </c>
      <c r="I45" s="18">
        <f t="shared" si="12"/>
        <v>12.032115767309943</v>
      </c>
      <c r="J45" s="18">
        <f t="shared" si="12"/>
        <v>0.3205</v>
      </c>
      <c r="K45" s="18">
        <f t="shared" si="12"/>
        <v>0</v>
      </c>
      <c r="L45" s="18">
        <f t="shared" si="12"/>
        <v>0</v>
      </c>
    </row>
    <row r="46" spans="1:12" ht="12.75">
      <c r="A46" s="15" t="s">
        <v>159</v>
      </c>
      <c r="B46" s="35">
        <f aca="true" t="shared" si="13" ref="B46:L46">C263</f>
        <v>2.968216300566544</v>
      </c>
      <c r="C46" s="35">
        <f t="shared" si="13"/>
        <v>12.079530404532353</v>
      </c>
      <c r="D46" s="35">
        <f t="shared" si="13"/>
        <v>15.669130404532353</v>
      </c>
      <c r="E46" s="35">
        <f t="shared" si="13"/>
        <v>17.602632601133088</v>
      </c>
      <c r="F46" s="35">
        <f t="shared" si="13"/>
        <v>16.705232601133087</v>
      </c>
      <c r="G46" s="35">
        <f t="shared" si="13"/>
        <v>11.044816300566545</v>
      </c>
      <c r="H46" s="35">
        <f t="shared" si="13"/>
        <v>11.044816300566545</v>
      </c>
      <c r="I46" s="35">
        <f t="shared" si="13"/>
        <v>7.455216300566544</v>
      </c>
      <c r="J46" s="35">
        <f t="shared" si="13"/>
        <v>1.7948</v>
      </c>
      <c r="K46" s="35">
        <f t="shared" si="13"/>
        <v>0</v>
      </c>
      <c r="L46" s="35">
        <f t="shared" si="13"/>
        <v>0</v>
      </c>
    </row>
    <row r="47" spans="1:12" ht="12.75">
      <c r="A47" s="34" t="s">
        <v>126</v>
      </c>
      <c r="B47" s="18">
        <f>B46</f>
        <v>2.968216300566544</v>
      </c>
      <c r="C47" s="18">
        <f aca="true" t="shared" si="14" ref="C47:L47">C46</f>
        <v>12.079530404532353</v>
      </c>
      <c r="D47" s="18">
        <f t="shared" si="14"/>
        <v>15.669130404532353</v>
      </c>
      <c r="E47" s="18">
        <f t="shared" si="14"/>
        <v>17.602632601133088</v>
      </c>
      <c r="F47" s="18">
        <f t="shared" si="14"/>
        <v>16.705232601133087</v>
      </c>
      <c r="G47" s="18">
        <f t="shared" si="14"/>
        <v>11.044816300566545</v>
      </c>
      <c r="H47" s="18">
        <f t="shared" si="14"/>
        <v>11.044816300566545</v>
      </c>
      <c r="I47" s="18">
        <f t="shared" si="14"/>
        <v>7.455216300566544</v>
      </c>
      <c r="J47" s="18">
        <f t="shared" si="14"/>
        <v>1.7948</v>
      </c>
      <c r="K47" s="18">
        <f t="shared" si="14"/>
        <v>0</v>
      </c>
      <c r="L47" s="18">
        <f t="shared" si="14"/>
        <v>0</v>
      </c>
    </row>
    <row r="48" spans="1:12" ht="12.75">
      <c r="A48" s="34" t="s">
        <v>298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.75">
      <c r="A49" s="15" t="s">
        <v>156</v>
      </c>
      <c r="B49" s="35">
        <f>C275</f>
        <v>31.53734289325394</v>
      </c>
      <c r="C49" s="35">
        <f aca="true" t="shared" si="15" ref="C49:L49">D275</f>
        <v>31.53734289325394</v>
      </c>
      <c r="D49" s="35">
        <f t="shared" si="15"/>
        <v>31.53734289325394</v>
      </c>
      <c r="E49" s="35">
        <f t="shared" si="15"/>
        <v>31.53734289325394</v>
      </c>
      <c r="F49" s="35">
        <f t="shared" si="15"/>
        <v>0</v>
      </c>
      <c r="G49" s="35">
        <f t="shared" si="15"/>
        <v>0</v>
      </c>
      <c r="H49" s="35">
        <f t="shared" si="15"/>
        <v>0</v>
      </c>
      <c r="I49" s="35">
        <f t="shared" si="15"/>
        <v>0</v>
      </c>
      <c r="J49" s="35">
        <f t="shared" si="15"/>
        <v>0</v>
      </c>
      <c r="K49" s="35">
        <f t="shared" si="15"/>
        <v>0</v>
      </c>
      <c r="L49" s="35">
        <f t="shared" si="15"/>
        <v>0</v>
      </c>
    </row>
    <row r="50" spans="1:12" ht="12.75">
      <c r="A50" s="15" t="s">
        <v>157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</row>
    <row r="51" spans="1:12" ht="12.75">
      <c r="A51" s="15" t="s">
        <v>158</v>
      </c>
      <c r="B51" s="35">
        <f>C283</f>
        <v>0.8796065202266177</v>
      </c>
      <c r="C51" s="35">
        <f aca="true" t="shared" si="16" ref="C51:L51">D283</f>
        <v>0.8796065202266177</v>
      </c>
      <c r="D51" s="35">
        <f t="shared" si="16"/>
        <v>0.8796065202266177</v>
      </c>
      <c r="E51" s="35">
        <f t="shared" si="16"/>
        <v>0.8796065202266177</v>
      </c>
      <c r="F51" s="35">
        <f t="shared" si="16"/>
        <v>0</v>
      </c>
      <c r="G51" s="35">
        <f t="shared" si="16"/>
        <v>0</v>
      </c>
      <c r="H51" s="35">
        <f t="shared" si="16"/>
        <v>0</v>
      </c>
      <c r="I51" s="35">
        <f t="shared" si="16"/>
        <v>0</v>
      </c>
      <c r="J51" s="35">
        <f t="shared" si="16"/>
        <v>0</v>
      </c>
      <c r="K51" s="35">
        <f t="shared" si="16"/>
        <v>0</v>
      </c>
      <c r="L51" s="35">
        <f t="shared" si="16"/>
        <v>0</v>
      </c>
    </row>
    <row r="52" spans="1:12" ht="12.75">
      <c r="A52" s="34" t="s">
        <v>75</v>
      </c>
      <c r="B52" s="18">
        <f>SUM(B49:B51)</f>
        <v>32.41694941348056</v>
      </c>
      <c r="C52" s="18">
        <f aca="true" t="shared" si="17" ref="C52:L52">SUM(C49:C51)</f>
        <v>32.41694941348056</v>
      </c>
      <c r="D52" s="18">
        <f t="shared" si="17"/>
        <v>32.41694941348056</v>
      </c>
      <c r="E52" s="18">
        <f t="shared" si="17"/>
        <v>32.41694941348056</v>
      </c>
      <c r="F52" s="18">
        <f t="shared" si="17"/>
        <v>0</v>
      </c>
      <c r="G52" s="18">
        <f t="shared" si="17"/>
        <v>0</v>
      </c>
      <c r="H52" s="18">
        <f t="shared" si="17"/>
        <v>0</v>
      </c>
      <c r="I52" s="18">
        <f t="shared" si="17"/>
        <v>0</v>
      </c>
      <c r="J52" s="18">
        <f t="shared" si="17"/>
        <v>0</v>
      </c>
      <c r="K52" s="18">
        <f t="shared" si="17"/>
        <v>0</v>
      </c>
      <c r="L52" s="18">
        <f t="shared" si="17"/>
        <v>0</v>
      </c>
    </row>
    <row r="53" spans="1:12" ht="12.75">
      <c r="A53" s="15" t="s">
        <v>159</v>
      </c>
      <c r="B53" s="35">
        <f>C284</f>
        <v>21.89208150283272</v>
      </c>
      <c r="C53" s="35">
        <f aca="true" t="shared" si="18" ref="C53:L53">D284</f>
        <v>21.89208150283272</v>
      </c>
      <c r="D53" s="35">
        <f t="shared" si="18"/>
        <v>21.89208150283272</v>
      </c>
      <c r="E53" s="35">
        <f t="shared" si="18"/>
        <v>21.89208150283272</v>
      </c>
      <c r="F53" s="35">
        <f t="shared" si="18"/>
        <v>0</v>
      </c>
      <c r="G53" s="35">
        <f t="shared" si="18"/>
        <v>0</v>
      </c>
      <c r="H53" s="35">
        <f t="shared" si="18"/>
        <v>0</v>
      </c>
      <c r="I53" s="35">
        <f t="shared" si="18"/>
        <v>0</v>
      </c>
      <c r="J53" s="35">
        <f t="shared" si="18"/>
        <v>0</v>
      </c>
      <c r="K53" s="35">
        <f t="shared" si="18"/>
        <v>0</v>
      </c>
      <c r="L53" s="35">
        <f t="shared" si="18"/>
        <v>0</v>
      </c>
    </row>
    <row r="54" spans="1:12" ht="12.75">
      <c r="A54" s="34" t="s">
        <v>126</v>
      </c>
      <c r="B54" s="18">
        <f>B53</f>
        <v>21.89208150283272</v>
      </c>
      <c r="C54" s="18">
        <f aca="true" t="shared" si="19" ref="C54:L54">C53</f>
        <v>21.89208150283272</v>
      </c>
      <c r="D54" s="18">
        <f t="shared" si="19"/>
        <v>21.89208150283272</v>
      </c>
      <c r="E54" s="18">
        <f t="shared" si="19"/>
        <v>21.89208150283272</v>
      </c>
      <c r="F54" s="18">
        <f t="shared" si="19"/>
        <v>0</v>
      </c>
      <c r="G54" s="18">
        <f t="shared" si="19"/>
        <v>0</v>
      </c>
      <c r="H54" s="18">
        <f t="shared" si="19"/>
        <v>0</v>
      </c>
      <c r="I54" s="18">
        <f t="shared" si="19"/>
        <v>0</v>
      </c>
      <c r="J54" s="18">
        <f t="shared" si="19"/>
        <v>0</v>
      </c>
      <c r="K54" s="18">
        <f t="shared" si="19"/>
        <v>0</v>
      </c>
      <c r="L54" s="18">
        <f t="shared" si="19"/>
        <v>0</v>
      </c>
    </row>
    <row r="55" spans="1:12" ht="12.75">
      <c r="A55" s="17" t="s">
        <v>76</v>
      </c>
      <c r="B55" s="18">
        <f>B45+B47+B52+B54</f>
        <v>65.40967091979074</v>
      </c>
      <c r="C55" s="18">
        <f aca="true" t="shared" si="20" ref="C55:L55">C45+C47+C52+C54</f>
        <v>85.6900954519965</v>
      </c>
      <c r="D55" s="18">
        <f t="shared" si="20"/>
        <v>92.79954515793634</v>
      </c>
      <c r="E55" s="18">
        <f t="shared" si="20"/>
        <v>101.24577349839052</v>
      </c>
      <c r="F55" s="18">
        <f t="shared" si="20"/>
        <v>40.58315060725508</v>
      </c>
      <c r="G55" s="18">
        <f t="shared" si="20"/>
        <v>26.7384569130379</v>
      </c>
      <c r="H55" s="18">
        <f t="shared" si="20"/>
        <v>23.076932067876488</v>
      </c>
      <c r="I55" s="18">
        <f t="shared" si="20"/>
        <v>19.487332067876487</v>
      </c>
      <c r="J55" s="18">
        <f t="shared" si="20"/>
        <v>2.1153</v>
      </c>
      <c r="K55" s="18">
        <f t="shared" si="20"/>
        <v>0</v>
      </c>
      <c r="L55" s="18">
        <f t="shared" si="20"/>
        <v>0</v>
      </c>
    </row>
    <row r="56" spans="1:12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7" t="s">
        <v>24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 hidden="1">
      <c r="A58" s="17"/>
      <c r="B58" s="35">
        <f>B77</f>
        <v>17.220027173823915</v>
      </c>
      <c r="C58" s="35">
        <f aca="true" t="shared" si="21" ref="C58:L58">C77</f>
        <v>22.650423184697235</v>
      </c>
      <c r="D58" s="35">
        <f t="shared" si="21"/>
        <v>23.764917441708096</v>
      </c>
      <c r="E58" s="35">
        <f t="shared" si="21"/>
        <v>25.699134785767985</v>
      </c>
      <c r="F58" s="35">
        <f t="shared" si="21"/>
        <v>10.238108530324883</v>
      </c>
      <c r="G58" s="35">
        <f t="shared" si="21"/>
        <v>7.014659692703807</v>
      </c>
      <c r="H58" s="35">
        <f t="shared" si="21"/>
        <v>5.395723261039819</v>
      </c>
      <c r="I58" s="35">
        <f t="shared" si="21"/>
        <v>5.008483261039819</v>
      </c>
      <c r="J58" s="35">
        <f t="shared" si="21"/>
        <v>8.628195</v>
      </c>
      <c r="K58" s="35">
        <f t="shared" si="21"/>
        <v>0</v>
      </c>
      <c r="L58" s="35">
        <f t="shared" si="21"/>
        <v>0</v>
      </c>
    </row>
    <row r="59" spans="1:12" ht="12.75">
      <c r="A59" s="34" t="s">
        <v>297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15" t="s">
        <v>156</v>
      </c>
      <c r="B60" s="35">
        <f>C299</f>
        <v>3.1616365041755246</v>
      </c>
      <c r="C60" s="35">
        <f aca="true" t="shared" si="22" ref="C60:L60">D299</f>
        <v>6.558806324326026</v>
      </c>
      <c r="D60" s="35">
        <f t="shared" si="22"/>
        <v>8.126060581336887</v>
      </c>
      <c r="E60" s="35">
        <f t="shared" si="22"/>
        <v>10.006418397019875</v>
      </c>
      <c r="F60" s="35">
        <f t="shared" si="22"/>
        <v>8.269151706450517</v>
      </c>
      <c r="G60" s="35">
        <f t="shared" si="22"/>
        <v>5.722463780766624</v>
      </c>
      <c r="H60" s="35">
        <f t="shared" si="22"/>
        <v>4.103527349102636</v>
      </c>
      <c r="I60" s="35">
        <f t="shared" si="22"/>
        <v>4.103527349102636</v>
      </c>
      <c r="J60" s="35">
        <f t="shared" si="22"/>
        <v>0</v>
      </c>
      <c r="K60" s="35">
        <f t="shared" si="22"/>
        <v>0</v>
      </c>
      <c r="L60" s="35">
        <f t="shared" si="22"/>
        <v>0</v>
      </c>
    </row>
    <row r="61" spans="1:12" ht="12.75">
      <c r="A61" s="15" t="s">
        <v>157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</row>
    <row r="62" spans="1:12" ht="12.75">
      <c r="A62" s="15" t="s">
        <v>158</v>
      </c>
      <c r="B62" s="35">
        <f>C306</f>
        <v>0.034574999999999995</v>
      </c>
      <c r="C62" s="35">
        <f aca="true" t="shared" si="23" ref="C62:L62">D306</f>
        <v>0.06914999999999999</v>
      </c>
      <c r="D62" s="35">
        <f t="shared" si="23"/>
        <v>0.06914999999999999</v>
      </c>
      <c r="E62" s="35">
        <f t="shared" si="23"/>
        <v>0.103725</v>
      </c>
      <c r="F62" s="35">
        <f t="shared" si="23"/>
        <v>0.103725</v>
      </c>
      <c r="G62" s="35">
        <f t="shared" si="23"/>
        <v>0.06914999999999999</v>
      </c>
      <c r="H62" s="35">
        <f t="shared" si="23"/>
        <v>0.06914999999999999</v>
      </c>
      <c r="I62" s="35">
        <f t="shared" si="23"/>
        <v>0.06914999999999999</v>
      </c>
      <c r="J62" s="35">
        <f t="shared" si="23"/>
        <v>0.034574999999999995</v>
      </c>
      <c r="K62" s="35">
        <f t="shared" si="23"/>
        <v>0</v>
      </c>
      <c r="L62" s="35">
        <f t="shared" si="23"/>
        <v>0</v>
      </c>
    </row>
    <row r="63" spans="1:12" ht="12.75">
      <c r="A63" s="15" t="s">
        <v>160</v>
      </c>
      <c r="B63" s="35">
        <f>B600</f>
        <v>0</v>
      </c>
      <c r="C63" s="35">
        <f aca="true" t="shared" si="24" ref="C63:L63">C600</f>
        <v>0.84</v>
      </c>
      <c r="D63" s="35">
        <f t="shared" si="24"/>
        <v>0</v>
      </c>
      <c r="E63" s="35">
        <f t="shared" si="24"/>
        <v>0</v>
      </c>
      <c r="F63" s="35">
        <f t="shared" si="24"/>
        <v>0</v>
      </c>
      <c r="G63" s="35">
        <f t="shared" si="24"/>
        <v>0</v>
      </c>
      <c r="H63" s="35">
        <f t="shared" si="24"/>
        <v>0</v>
      </c>
      <c r="I63" s="35">
        <f t="shared" si="24"/>
        <v>0</v>
      </c>
      <c r="J63" s="35">
        <f t="shared" si="24"/>
        <v>8.4</v>
      </c>
      <c r="K63" s="35">
        <f t="shared" si="24"/>
        <v>0</v>
      </c>
      <c r="L63" s="35">
        <f t="shared" si="24"/>
        <v>0</v>
      </c>
    </row>
    <row r="64" spans="1:12" ht="12.75">
      <c r="A64" s="15" t="s">
        <v>161</v>
      </c>
      <c r="B64" s="35">
        <f>B611</f>
        <v>0</v>
      </c>
      <c r="C64" s="35">
        <f aca="true" t="shared" si="25" ref="C64:L64">C611</f>
        <v>0</v>
      </c>
      <c r="D64" s="35">
        <f t="shared" si="25"/>
        <v>0</v>
      </c>
      <c r="E64" s="35">
        <f t="shared" si="25"/>
        <v>0</v>
      </c>
      <c r="F64" s="35">
        <f t="shared" si="25"/>
        <v>0</v>
      </c>
      <c r="G64" s="35">
        <f t="shared" si="25"/>
        <v>0</v>
      </c>
      <c r="H64" s="35">
        <f t="shared" si="25"/>
        <v>0</v>
      </c>
      <c r="I64" s="35">
        <f t="shared" si="25"/>
        <v>0</v>
      </c>
      <c r="J64" s="35">
        <f t="shared" si="25"/>
        <v>0</v>
      </c>
      <c r="K64" s="35">
        <f t="shared" si="25"/>
        <v>0</v>
      </c>
      <c r="L64" s="35">
        <f t="shared" si="25"/>
        <v>0</v>
      </c>
    </row>
    <row r="65" spans="1:12" ht="12.75">
      <c r="A65" s="34" t="s">
        <v>75</v>
      </c>
      <c r="B65" s="18">
        <f>SUM(B60:B64)</f>
        <v>3.1962115041755244</v>
      </c>
      <c r="C65" s="18">
        <f aca="true" t="shared" si="26" ref="C65:L65">SUM(C60:C64)</f>
        <v>7.467956324326026</v>
      </c>
      <c r="D65" s="18">
        <f t="shared" si="26"/>
        <v>8.195210581336887</v>
      </c>
      <c r="E65" s="18">
        <f t="shared" si="26"/>
        <v>10.110143397019876</v>
      </c>
      <c r="F65" s="18">
        <f t="shared" si="26"/>
        <v>8.372876706450517</v>
      </c>
      <c r="G65" s="18">
        <f t="shared" si="26"/>
        <v>5.791613780766624</v>
      </c>
      <c r="H65" s="18">
        <f t="shared" si="26"/>
        <v>4.172677349102636</v>
      </c>
      <c r="I65" s="18">
        <f t="shared" si="26"/>
        <v>4.172677349102636</v>
      </c>
      <c r="J65" s="18">
        <f t="shared" si="26"/>
        <v>8.434575</v>
      </c>
      <c r="K65" s="18">
        <f t="shared" si="26"/>
        <v>0</v>
      </c>
      <c r="L65" s="18">
        <f t="shared" si="26"/>
        <v>0</v>
      </c>
    </row>
    <row r="66" spans="1:12" ht="12.75">
      <c r="A66" s="15" t="s">
        <v>159</v>
      </c>
      <c r="B66" s="35">
        <f>C307</f>
        <v>0.35175591193718314</v>
      </c>
      <c r="C66" s="35">
        <f aca="true" t="shared" si="27" ref="C66:L66">D307</f>
        <v>1.5555172954974656</v>
      </c>
      <c r="D66" s="35">
        <f t="shared" si="27"/>
        <v>1.9427572954974655</v>
      </c>
      <c r="E66" s="35">
        <f t="shared" si="27"/>
        <v>1.9620418238743662</v>
      </c>
      <c r="F66" s="35">
        <f t="shared" si="27"/>
        <v>1.8652318238743661</v>
      </c>
      <c r="G66" s="35">
        <f t="shared" si="27"/>
        <v>1.223045911937183</v>
      </c>
      <c r="H66" s="35">
        <f t="shared" si="27"/>
        <v>1.223045911937183</v>
      </c>
      <c r="I66" s="35">
        <f t="shared" si="27"/>
        <v>0.8358059119371831</v>
      </c>
      <c r="J66" s="35">
        <f t="shared" si="27"/>
        <v>0.19362</v>
      </c>
      <c r="K66" s="35">
        <f t="shared" si="27"/>
        <v>0</v>
      </c>
      <c r="L66" s="35">
        <f t="shared" si="27"/>
        <v>0</v>
      </c>
    </row>
    <row r="67" spans="1:12" ht="12.75">
      <c r="A67" s="34" t="s">
        <v>126</v>
      </c>
      <c r="B67" s="18">
        <f>B66</f>
        <v>0.35175591193718314</v>
      </c>
      <c r="C67" s="18">
        <f aca="true" t="shared" si="28" ref="C67:L67">C66</f>
        <v>1.5555172954974656</v>
      </c>
      <c r="D67" s="18">
        <f t="shared" si="28"/>
        <v>1.9427572954974655</v>
      </c>
      <c r="E67" s="18">
        <f t="shared" si="28"/>
        <v>1.9620418238743662</v>
      </c>
      <c r="F67" s="18">
        <f t="shared" si="28"/>
        <v>1.8652318238743661</v>
      </c>
      <c r="G67" s="18">
        <f t="shared" si="28"/>
        <v>1.223045911937183</v>
      </c>
      <c r="H67" s="18">
        <f t="shared" si="28"/>
        <v>1.223045911937183</v>
      </c>
      <c r="I67" s="18">
        <f t="shared" si="28"/>
        <v>0.8358059119371831</v>
      </c>
      <c r="J67" s="18">
        <f t="shared" si="28"/>
        <v>0.19362</v>
      </c>
      <c r="K67" s="18">
        <f t="shared" si="28"/>
        <v>0</v>
      </c>
      <c r="L67" s="18">
        <f t="shared" si="28"/>
        <v>0</v>
      </c>
    </row>
    <row r="68" spans="1:12" ht="12.75">
      <c r="A68" s="34" t="s">
        <v>298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2.75">
      <c r="A69" s="15" t="s">
        <v>156</v>
      </c>
      <c r="B69" s="35">
        <f>C319</f>
        <v>11.000009640412955</v>
      </c>
      <c r="C69" s="35">
        <f aca="true" t="shared" si="29" ref="C69:L69">D319</f>
        <v>11.000009640412955</v>
      </c>
      <c r="D69" s="35">
        <f t="shared" si="29"/>
        <v>11.000009640412955</v>
      </c>
      <c r="E69" s="35">
        <f t="shared" si="29"/>
        <v>11.000009640412955</v>
      </c>
      <c r="F69" s="35">
        <f t="shared" si="29"/>
        <v>0</v>
      </c>
      <c r="G69" s="35">
        <f t="shared" si="29"/>
        <v>0</v>
      </c>
      <c r="H69" s="35">
        <f t="shared" si="29"/>
        <v>0</v>
      </c>
      <c r="I69" s="35">
        <f t="shared" si="29"/>
        <v>0</v>
      </c>
      <c r="J69" s="35">
        <f t="shared" si="29"/>
        <v>0</v>
      </c>
      <c r="K69" s="35">
        <f t="shared" si="29"/>
        <v>0</v>
      </c>
      <c r="L69" s="35">
        <f t="shared" si="29"/>
        <v>0</v>
      </c>
    </row>
    <row r="70" spans="1:12" ht="12.75">
      <c r="A70" s="15" t="s">
        <v>157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</row>
    <row r="71" spans="1:12" ht="12.75">
      <c r="A71" s="15" t="s">
        <v>158</v>
      </c>
      <c r="B71" s="35">
        <f>C327</f>
        <v>0.10751036477487327</v>
      </c>
      <c r="C71" s="35">
        <f aca="true" t="shared" si="30" ref="C71:L71">D327</f>
        <v>0.10751036477487327</v>
      </c>
      <c r="D71" s="35">
        <f t="shared" si="30"/>
        <v>0.10751036477487327</v>
      </c>
      <c r="E71" s="35">
        <f t="shared" si="30"/>
        <v>0.10751036477487327</v>
      </c>
      <c r="F71" s="35">
        <f t="shared" si="30"/>
        <v>0</v>
      </c>
      <c r="G71" s="35">
        <f t="shared" si="30"/>
        <v>0</v>
      </c>
      <c r="H71" s="35">
        <f t="shared" si="30"/>
        <v>0</v>
      </c>
      <c r="I71" s="35">
        <f t="shared" si="30"/>
        <v>0</v>
      </c>
      <c r="J71" s="35">
        <f t="shared" si="30"/>
        <v>0</v>
      </c>
      <c r="K71" s="35">
        <f t="shared" si="30"/>
        <v>0</v>
      </c>
      <c r="L71" s="35">
        <f t="shared" si="30"/>
        <v>0</v>
      </c>
    </row>
    <row r="72" spans="1:12" ht="12.75">
      <c r="A72" s="15" t="s">
        <v>160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</row>
    <row r="73" spans="1:12" ht="12.75">
      <c r="A73" s="15" t="s">
        <v>161</v>
      </c>
      <c r="B73" s="35">
        <f>B616</f>
        <v>0.04511019283746557</v>
      </c>
      <c r="C73" s="35">
        <f aca="true" t="shared" si="31" ref="C73:L73">C616</f>
        <v>0</v>
      </c>
      <c r="D73" s="35">
        <f t="shared" si="31"/>
        <v>0</v>
      </c>
      <c r="E73" s="35">
        <f t="shared" si="31"/>
        <v>0</v>
      </c>
      <c r="F73" s="35">
        <f t="shared" si="31"/>
        <v>0</v>
      </c>
      <c r="G73" s="35">
        <f t="shared" si="31"/>
        <v>0</v>
      </c>
      <c r="H73" s="35">
        <f t="shared" si="31"/>
        <v>0</v>
      </c>
      <c r="I73" s="35">
        <f t="shared" si="31"/>
        <v>0</v>
      </c>
      <c r="J73" s="35">
        <f t="shared" si="31"/>
        <v>0</v>
      </c>
      <c r="K73" s="35">
        <f t="shared" si="31"/>
        <v>0</v>
      </c>
      <c r="L73" s="35">
        <f t="shared" si="31"/>
        <v>0</v>
      </c>
    </row>
    <row r="74" spans="1:12" ht="12.75">
      <c r="A74" s="34" t="s">
        <v>75</v>
      </c>
      <c r="B74" s="18">
        <f>SUM(B69:B73)</f>
        <v>11.152630198025294</v>
      </c>
      <c r="C74" s="18">
        <f aca="true" t="shared" si="32" ref="C74:L74">SUM(C69:C73)</f>
        <v>11.107520005187828</v>
      </c>
      <c r="D74" s="18">
        <f t="shared" si="32"/>
        <v>11.107520005187828</v>
      </c>
      <c r="E74" s="18">
        <f t="shared" si="32"/>
        <v>11.107520005187828</v>
      </c>
      <c r="F74" s="18">
        <f t="shared" si="32"/>
        <v>0</v>
      </c>
      <c r="G74" s="18">
        <f t="shared" si="32"/>
        <v>0</v>
      </c>
      <c r="H74" s="18">
        <f t="shared" si="32"/>
        <v>0</v>
      </c>
      <c r="I74" s="18">
        <f t="shared" si="32"/>
        <v>0</v>
      </c>
      <c r="J74" s="18">
        <f t="shared" si="32"/>
        <v>0</v>
      </c>
      <c r="K74" s="18">
        <f t="shared" si="32"/>
        <v>0</v>
      </c>
      <c r="L74" s="18">
        <f t="shared" si="32"/>
        <v>0</v>
      </c>
    </row>
    <row r="75" spans="1:12" ht="12.75">
      <c r="A75" s="15" t="s">
        <v>159</v>
      </c>
      <c r="B75" s="35">
        <f>C328</f>
        <v>2.5194295596859155</v>
      </c>
      <c r="C75" s="35">
        <f aca="true" t="shared" si="33" ref="C75:L75">D328</f>
        <v>2.5194295596859155</v>
      </c>
      <c r="D75" s="35">
        <f t="shared" si="33"/>
        <v>2.5194295596859155</v>
      </c>
      <c r="E75" s="35">
        <f t="shared" si="33"/>
        <v>2.5194295596859155</v>
      </c>
      <c r="F75" s="35">
        <f t="shared" si="33"/>
        <v>0</v>
      </c>
      <c r="G75" s="35">
        <f t="shared" si="33"/>
        <v>0</v>
      </c>
      <c r="H75" s="35">
        <f t="shared" si="33"/>
        <v>0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</row>
    <row r="76" spans="1:12" ht="12.75">
      <c r="A76" s="34" t="s">
        <v>126</v>
      </c>
      <c r="B76" s="18">
        <f>B75</f>
        <v>2.5194295596859155</v>
      </c>
      <c r="C76" s="18">
        <f aca="true" t="shared" si="34" ref="C76:L76">C75</f>
        <v>2.5194295596859155</v>
      </c>
      <c r="D76" s="18">
        <f t="shared" si="34"/>
        <v>2.5194295596859155</v>
      </c>
      <c r="E76" s="18">
        <f t="shared" si="34"/>
        <v>2.5194295596859155</v>
      </c>
      <c r="F76" s="18">
        <f t="shared" si="34"/>
        <v>0</v>
      </c>
      <c r="G76" s="18">
        <f t="shared" si="34"/>
        <v>0</v>
      </c>
      <c r="H76" s="18">
        <f t="shared" si="34"/>
        <v>0</v>
      </c>
      <c r="I76" s="18">
        <f t="shared" si="34"/>
        <v>0</v>
      </c>
      <c r="J76" s="18">
        <f t="shared" si="34"/>
        <v>0</v>
      </c>
      <c r="K76" s="18">
        <f t="shared" si="34"/>
        <v>0</v>
      </c>
      <c r="L76" s="18">
        <f t="shared" si="34"/>
        <v>0</v>
      </c>
    </row>
    <row r="77" spans="1:12" ht="12.75">
      <c r="A77" s="17" t="s">
        <v>77</v>
      </c>
      <c r="B77" s="18">
        <f>B65+B67+B74+B76</f>
        <v>17.220027173823915</v>
      </c>
      <c r="C77" s="18">
        <f aca="true" t="shared" si="35" ref="C77:L77">C65+C67+C74+C76</f>
        <v>22.650423184697235</v>
      </c>
      <c r="D77" s="18">
        <f t="shared" si="35"/>
        <v>23.764917441708096</v>
      </c>
      <c r="E77" s="18">
        <f t="shared" si="35"/>
        <v>25.699134785767985</v>
      </c>
      <c r="F77" s="18">
        <f t="shared" si="35"/>
        <v>10.238108530324883</v>
      </c>
      <c r="G77" s="18">
        <f t="shared" si="35"/>
        <v>7.014659692703807</v>
      </c>
      <c r="H77" s="18">
        <f t="shared" si="35"/>
        <v>5.395723261039819</v>
      </c>
      <c r="I77" s="18">
        <f t="shared" si="35"/>
        <v>5.008483261039819</v>
      </c>
      <c r="J77" s="18">
        <f t="shared" si="35"/>
        <v>8.628195</v>
      </c>
      <c r="K77" s="18">
        <f t="shared" si="35"/>
        <v>0</v>
      </c>
      <c r="L77" s="18">
        <f t="shared" si="35"/>
        <v>0</v>
      </c>
    </row>
    <row r="78" spans="1:12" ht="12.75">
      <c r="A78" s="123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123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2.75">
      <c r="A80" s="140" t="str">
        <f>A35&amp;" (continued)"</f>
        <v>Table C.1.1 B (continued)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1:12" ht="12.75">
      <c r="A81" s="140" t="str">
        <f>A36</f>
        <v>Mira Loma Construction Emissions Summary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1:12" ht="12.75">
      <c r="A82" s="132" t="s">
        <v>44</v>
      </c>
      <c r="B82" s="132" t="s">
        <v>41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ht="12.75">
      <c r="A83" s="135"/>
      <c r="B83" s="60">
        <f>DATE(2007,2,26)</f>
        <v>39139</v>
      </c>
      <c r="C83" s="60">
        <f aca="true" t="shared" si="36" ref="C83:L83">B83+14</f>
        <v>39153</v>
      </c>
      <c r="D83" s="60">
        <f t="shared" si="36"/>
        <v>39167</v>
      </c>
      <c r="E83" s="60">
        <f t="shared" si="36"/>
        <v>39181</v>
      </c>
      <c r="F83" s="60">
        <f t="shared" si="36"/>
        <v>39195</v>
      </c>
      <c r="G83" s="60">
        <f t="shared" si="36"/>
        <v>39209</v>
      </c>
      <c r="H83" s="60">
        <f t="shared" si="36"/>
        <v>39223</v>
      </c>
      <c r="I83" s="60">
        <f t="shared" si="36"/>
        <v>39237</v>
      </c>
      <c r="J83" s="60">
        <f t="shared" si="36"/>
        <v>39251</v>
      </c>
      <c r="K83" s="60">
        <f t="shared" si="36"/>
        <v>39265</v>
      </c>
      <c r="L83" s="60">
        <f t="shared" si="36"/>
        <v>39279</v>
      </c>
    </row>
    <row r="84" spans="1:12" ht="12.75">
      <c r="A84" s="17" t="s">
        <v>21</v>
      </c>
      <c r="B84" s="18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2.75" hidden="1">
      <c r="A85" s="17"/>
      <c r="B85" s="35">
        <f>B100</f>
        <v>80.85762295202463</v>
      </c>
      <c r="C85" s="35">
        <f aca="true" t="shared" si="37" ref="C85:L85">C100</f>
        <v>114.70901982370124</v>
      </c>
      <c r="D85" s="35">
        <f t="shared" si="37"/>
        <v>118.05153810578341</v>
      </c>
      <c r="E85" s="35">
        <f t="shared" si="37"/>
        <v>125.5976039623377</v>
      </c>
      <c r="F85" s="35">
        <f t="shared" si="37"/>
        <v>40.40020695855962</v>
      </c>
      <c r="G85" s="35">
        <f t="shared" si="37"/>
        <v>24.034886570479852</v>
      </c>
      <c r="H85" s="35">
        <f t="shared" si="37"/>
        <v>20.859461429109814</v>
      </c>
      <c r="I85" s="35">
        <f t="shared" si="37"/>
        <v>20.478381429109813</v>
      </c>
      <c r="J85" s="35">
        <f t="shared" si="37"/>
        <v>0.22456500000000001</v>
      </c>
      <c r="K85" s="35">
        <f t="shared" si="37"/>
        <v>0</v>
      </c>
      <c r="L85" s="35">
        <f t="shared" si="37"/>
        <v>0</v>
      </c>
    </row>
    <row r="86" spans="1:12" ht="12.75">
      <c r="A86" s="34" t="s">
        <v>297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2.75">
      <c r="A87" s="15" t="s">
        <v>156</v>
      </c>
      <c r="B87" s="35">
        <f>C343</f>
        <v>9.057790352440348</v>
      </c>
      <c r="C87" s="35">
        <f aca="true" t="shared" si="38" ref="C87:L87">D343</f>
        <v>29.640882156529244</v>
      </c>
      <c r="D87" s="35">
        <f t="shared" si="38"/>
        <v>32.60232043861141</v>
      </c>
      <c r="E87" s="35">
        <f t="shared" si="38"/>
        <v>50.42366992452659</v>
      </c>
      <c r="F87" s="35">
        <f t="shared" si="38"/>
        <v>35.01980908210599</v>
      </c>
      <c r="G87" s="35">
        <f t="shared" si="38"/>
        <v>21.041865132253037</v>
      </c>
      <c r="H87" s="35">
        <f t="shared" si="38"/>
        <v>17.866439990883</v>
      </c>
      <c r="I87" s="35">
        <f t="shared" si="38"/>
        <v>17.866439990883</v>
      </c>
      <c r="J87" s="35">
        <f t="shared" si="38"/>
        <v>0</v>
      </c>
      <c r="K87" s="35">
        <f t="shared" si="38"/>
        <v>0</v>
      </c>
      <c r="L87" s="35">
        <f t="shared" si="38"/>
        <v>0</v>
      </c>
    </row>
    <row r="88" spans="1:12" ht="12.75">
      <c r="A88" s="15" t="s">
        <v>157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</row>
    <row r="89" spans="1:12" ht="12.75">
      <c r="A89" s="15" t="s">
        <v>158</v>
      </c>
      <c r="B89" s="35">
        <f>C350</f>
        <v>0.034025</v>
      </c>
      <c r="C89" s="35">
        <f aca="true" t="shared" si="39" ref="C89:L89">D350</f>
        <v>0.06805</v>
      </c>
      <c r="D89" s="35">
        <f t="shared" si="39"/>
        <v>0.06805</v>
      </c>
      <c r="E89" s="35">
        <f t="shared" si="39"/>
        <v>0.102075</v>
      </c>
      <c r="F89" s="35">
        <f t="shared" si="39"/>
        <v>0.102075</v>
      </c>
      <c r="G89" s="35">
        <f t="shared" si="39"/>
        <v>0.06805</v>
      </c>
      <c r="H89" s="35">
        <f t="shared" si="39"/>
        <v>0.06805</v>
      </c>
      <c r="I89" s="35">
        <f t="shared" si="39"/>
        <v>0.06805</v>
      </c>
      <c r="J89" s="35">
        <f t="shared" si="39"/>
        <v>0.034025</v>
      </c>
      <c r="K89" s="35">
        <f t="shared" si="39"/>
        <v>0</v>
      </c>
      <c r="L89" s="35">
        <f t="shared" si="39"/>
        <v>0</v>
      </c>
    </row>
    <row r="90" spans="1:12" ht="12.75">
      <c r="A90" s="34" t="s">
        <v>75</v>
      </c>
      <c r="B90" s="18">
        <f>SUM(B87:B89)</f>
        <v>9.091815352440348</v>
      </c>
      <c r="C90" s="18">
        <f aca="true" t="shared" si="40" ref="C90:L90">SUM(C87:C89)</f>
        <v>29.708932156529244</v>
      </c>
      <c r="D90" s="18">
        <f t="shared" si="40"/>
        <v>32.67037043861141</v>
      </c>
      <c r="E90" s="18">
        <f t="shared" si="40"/>
        <v>50.52574492452659</v>
      </c>
      <c r="F90" s="18">
        <f t="shared" si="40"/>
        <v>35.12188408210599</v>
      </c>
      <c r="G90" s="18">
        <f t="shared" si="40"/>
        <v>21.109915132253036</v>
      </c>
      <c r="H90" s="18">
        <f t="shared" si="40"/>
        <v>17.934489990882998</v>
      </c>
      <c r="I90" s="18">
        <f t="shared" si="40"/>
        <v>17.934489990882998</v>
      </c>
      <c r="J90" s="18">
        <f t="shared" si="40"/>
        <v>0.034025</v>
      </c>
      <c r="K90" s="18">
        <f t="shared" si="40"/>
        <v>0</v>
      </c>
      <c r="L90" s="18">
        <f t="shared" si="40"/>
        <v>0</v>
      </c>
    </row>
    <row r="91" spans="1:12" ht="12.75">
      <c r="A91" s="15" t="s">
        <v>159</v>
      </c>
      <c r="B91" s="35">
        <f>C351</f>
        <v>2.0675414382268165</v>
      </c>
      <c r="C91" s="35">
        <f aca="true" t="shared" si="41" ref="C91:L91">D351</f>
        <v>15.30182150581453</v>
      </c>
      <c r="D91" s="35">
        <f t="shared" si="41"/>
        <v>15.682901505814531</v>
      </c>
      <c r="E91" s="35">
        <f t="shared" si="41"/>
        <v>5.373592876453633</v>
      </c>
      <c r="F91" s="35">
        <f t="shared" si="41"/>
        <v>5.2783228764536325</v>
      </c>
      <c r="G91" s="35">
        <f t="shared" si="41"/>
        <v>2.9249714382268164</v>
      </c>
      <c r="H91" s="35">
        <f t="shared" si="41"/>
        <v>2.9249714382268164</v>
      </c>
      <c r="I91" s="35">
        <f t="shared" si="41"/>
        <v>2.5438914382268165</v>
      </c>
      <c r="J91" s="35">
        <f t="shared" si="41"/>
        <v>0.19054000000000001</v>
      </c>
      <c r="K91" s="35">
        <f t="shared" si="41"/>
        <v>0</v>
      </c>
      <c r="L91" s="35">
        <f t="shared" si="41"/>
        <v>0</v>
      </c>
    </row>
    <row r="92" spans="1:12" ht="12.75">
      <c r="A92" s="34" t="s">
        <v>126</v>
      </c>
      <c r="B92" s="18">
        <f>B91</f>
        <v>2.0675414382268165</v>
      </c>
      <c r="C92" s="18">
        <f aca="true" t="shared" si="42" ref="C92:L92">C91</f>
        <v>15.30182150581453</v>
      </c>
      <c r="D92" s="18">
        <f t="shared" si="42"/>
        <v>15.682901505814531</v>
      </c>
      <c r="E92" s="18">
        <f t="shared" si="42"/>
        <v>5.373592876453633</v>
      </c>
      <c r="F92" s="18">
        <f t="shared" si="42"/>
        <v>5.2783228764536325</v>
      </c>
      <c r="G92" s="18">
        <f t="shared" si="42"/>
        <v>2.9249714382268164</v>
      </c>
      <c r="H92" s="18">
        <f t="shared" si="42"/>
        <v>2.9249714382268164</v>
      </c>
      <c r="I92" s="18">
        <f t="shared" si="42"/>
        <v>2.5438914382268165</v>
      </c>
      <c r="J92" s="18">
        <f t="shared" si="42"/>
        <v>0.19054000000000001</v>
      </c>
      <c r="K92" s="18">
        <f t="shared" si="42"/>
        <v>0</v>
      </c>
      <c r="L92" s="18">
        <f t="shared" si="42"/>
        <v>0</v>
      </c>
    </row>
    <row r="93" spans="1:12" ht="12.75">
      <c r="A93" s="34" t="s">
        <v>298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2.75">
      <c r="A94" s="15" t="s">
        <v>156</v>
      </c>
      <c r="B94" s="35">
        <f>C363</f>
        <v>57.81765639493266</v>
      </c>
      <c r="C94" s="35">
        <f aca="true" t="shared" si="43" ref="C94:L94">D363</f>
        <v>57.81765639493266</v>
      </c>
      <c r="D94" s="35">
        <f t="shared" si="43"/>
        <v>57.81765639493266</v>
      </c>
      <c r="E94" s="35">
        <f t="shared" si="43"/>
        <v>57.81765639493266</v>
      </c>
      <c r="F94" s="35">
        <f t="shared" si="43"/>
        <v>0</v>
      </c>
      <c r="G94" s="35">
        <f t="shared" si="43"/>
        <v>0</v>
      </c>
      <c r="H94" s="35">
        <f t="shared" si="43"/>
        <v>0</v>
      </c>
      <c r="I94" s="35">
        <f t="shared" si="43"/>
        <v>0</v>
      </c>
      <c r="J94" s="35">
        <f t="shared" si="43"/>
        <v>0</v>
      </c>
      <c r="K94" s="35">
        <f t="shared" si="43"/>
        <v>0</v>
      </c>
      <c r="L94" s="35">
        <f t="shared" si="43"/>
        <v>0</v>
      </c>
    </row>
    <row r="95" spans="1:12" ht="12.75">
      <c r="A95" s="15" t="s">
        <v>157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</row>
    <row r="96" spans="1:12" ht="12.75">
      <c r="A96" s="15" t="s">
        <v>158</v>
      </c>
      <c r="B96" s="35">
        <f>C371</f>
        <v>0.7943525752907264</v>
      </c>
      <c r="C96" s="35">
        <f aca="true" t="shared" si="44" ref="C96:L96">D371</f>
        <v>0.7943525752907264</v>
      </c>
      <c r="D96" s="35">
        <f t="shared" si="44"/>
        <v>0.7943525752907264</v>
      </c>
      <c r="E96" s="35">
        <f t="shared" si="44"/>
        <v>0.7943525752907264</v>
      </c>
      <c r="F96" s="35">
        <f t="shared" si="44"/>
        <v>0</v>
      </c>
      <c r="G96" s="35">
        <f t="shared" si="44"/>
        <v>0</v>
      </c>
      <c r="H96" s="35">
        <f t="shared" si="44"/>
        <v>0</v>
      </c>
      <c r="I96" s="35">
        <f t="shared" si="44"/>
        <v>0</v>
      </c>
      <c r="J96" s="35">
        <f t="shared" si="44"/>
        <v>0</v>
      </c>
      <c r="K96" s="35">
        <f t="shared" si="44"/>
        <v>0</v>
      </c>
      <c r="L96" s="35">
        <f t="shared" si="44"/>
        <v>0</v>
      </c>
    </row>
    <row r="97" spans="1:12" ht="12.75">
      <c r="A97" s="34" t="s">
        <v>75</v>
      </c>
      <c r="B97" s="18">
        <f>SUM(B94:B96)</f>
        <v>58.612008970223386</v>
      </c>
      <c r="C97" s="18">
        <f aca="true" t="shared" si="45" ref="C97:L97">SUM(C94:C96)</f>
        <v>58.612008970223386</v>
      </c>
      <c r="D97" s="18">
        <f t="shared" si="45"/>
        <v>58.612008970223386</v>
      </c>
      <c r="E97" s="18">
        <f t="shared" si="45"/>
        <v>58.612008970223386</v>
      </c>
      <c r="F97" s="18">
        <f t="shared" si="45"/>
        <v>0</v>
      </c>
      <c r="G97" s="18">
        <f t="shared" si="45"/>
        <v>0</v>
      </c>
      <c r="H97" s="18">
        <f t="shared" si="45"/>
        <v>0</v>
      </c>
      <c r="I97" s="18">
        <f t="shared" si="45"/>
        <v>0</v>
      </c>
      <c r="J97" s="18">
        <f t="shared" si="45"/>
        <v>0</v>
      </c>
      <c r="K97" s="18">
        <f t="shared" si="45"/>
        <v>0</v>
      </c>
      <c r="L97" s="18">
        <f t="shared" si="45"/>
        <v>0</v>
      </c>
    </row>
    <row r="98" spans="1:12" ht="12.75">
      <c r="A98" s="15" t="s">
        <v>159</v>
      </c>
      <c r="B98" s="35">
        <f>C372</f>
        <v>11.08625719113408</v>
      </c>
      <c r="C98" s="35">
        <f aca="true" t="shared" si="46" ref="C98:L98">D372</f>
        <v>11.08625719113408</v>
      </c>
      <c r="D98" s="35">
        <f t="shared" si="46"/>
        <v>11.08625719113408</v>
      </c>
      <c r="E98" s="35">
        <f t="shared" si="46"/>
        <v>11.08625719113408</v>
      </c>
      <c r="F98" s="35">
        <f t="shared" si="46"/>
        <v>0</v>
      </c>
      <c r="G98" s="35">
        <f t="shared" si="46"/>
        <v>0</v>
      </c>
      <c r="H98" s="35">
        <f t="shared" si="46"/>
        <v>0</v>
      </c>
      <c r="I98" s="35">
        <f t="shared" si="46"/>
        <v>0</v>
      </c>
      <c r="J98" s="35">
        <f t="shared" si="46"/>
        <v>0</v>
      </c>
      <c r="K98" s="35">
        <f t="shared" si="46"/>
        <v>0</v>
      </c>
      <c r="L98" s="35">
        <f t="shared" si="46"/>
        <v>0</v>
      </c>
    </row>
    <row r="99" spans="1:12" ht="12.75">
      <c r="A99" s="34" t="s">
        <v>126</v>
      </c>
      <c r="B99" s="18">
        <f>B98</f>
        <v>11.08625719113408</v>
      </c>
      <c r="C99" s="18">
        <f aca="true" t="shared" si="47" ref="C99:L99">C98</f>
        <v>11.08625719113408</v>
      </c>
      <c r="D99" s="18">
        <f t="shared" si="47"/>
        <v>11.08625719113408</v>
      </c>
      <c r="E99" s="18">
        <f t="shared" si="47"/>
        <v>11.08625719113408</v>
      </c>
      <c r="F99" s="18">
        <f t="shared" si="47"/>
        <v>0</v>
      </c>
      <c r="G99" s="18">
        <f t="shared" si="47"/>
        <v>0</v>
      </c>
      <c r="H99" s="18">
        <f t="shared" si="47"/>
        <v>0</v>
      </c>
      <c r="I99" s="18">
        <f t="shared" si="47"/>
        <v>0</v>
      </c>
      <c r="J99" s="18">
        <f t="shared" si="47"/>
        <v>0</v>
      </c>
      <c r="K99" s="18">
        <f t="shared" si="47"/>
        <v>0</v>
      </c>
      <c r="L99" s="18">
        <f t="shared" si="47"/>
        <v>0</v>
      </c>
    </row>
    <row r="100" spans="1:12" ht="12.75">
      <c r="A100" s="17" t="s">
        <v>78</v>
      </c>
      <c r="B100" s="18">
        <f>B90+B92+B97+B99</f>
        <v>80.85762295202463</v>
      </c>
      <c r="C100" s="18">
        <f aca="true" t="shared" si="48" ref="C100:L100">C90+C92+C97+C99</f>
        <v>114.70901982370124</v>
      </c>
      <c r="D100" s="18">
        <f t="shared" si="48"/>
        <v>118.05153810578341</v>
      </c>
      <c r="E100" s="18">
        <f t="shared" si="48"/>
        <v>125.5976039623377</v>
      </c>
      <c r="F100" s="18">
        <f t="shared" si="48"/>
        <v>40.40020695855962</v>
      </c>
      <c r="G100" s="18">
        <f t="shared" si="48"/>
        <v>24.034886570479852</v>
      </c>
      <c r="H100" s="18">
        <f t="shared" si="48"/>
        <v>20.859461429109814</v>
      </c>
      <c r="I100" s="18">
        <f t="shared" si="48"/>
        <v>20.478381429109813</v>
      </c>
      <c r="J100" s="18">
        <f t="shared" si="48"/>
        <v>0.22456500000000001</v>
      </c>
      <c r="K100" s="18">
        <f t="shared" si="48"/>
        <v>0</v>
      </c>
      <c r="L100" s="18">
        <f t="shared" si="48"/>
        <v>0</v>
      </c>
    </row>
    <row r="101" spans="1:12" ht="12.75">
      <c r="A101" s="1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2.75">
      <c r="A102" s="17" t="s">
        <v>23</v>
      </c>
      <c r="B102" s="18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2.75" hidden="1">
      <c r="A103" s="17"/>
      <c r="B103" s="35">
        <f>B118</f>
        <v>0.09359176796197999</v>
      </c>
      <c r="C103" s="35">
        <f aca="true" t="shared" si="49" ref="C103:L103">C118</f>
        <v>0.13282885785088147</v>
      </c>
      <c r="D103" s="35">
        <f t="shared" si="49"/>
        <v>0.13880379957693714</v>
      </c>
      <c r="E103" s="35">
        <f t="shared" si="49"/>
        <v>0.1426117439785859</v>
      </c>
      <c r="F103" s="35">
        <f t="shared" si="49"/>
        <v>0.04919018932743411</v>
      </c>
      <c r="G103" s="35">
        <f t="shared" si="49"/>
        <v>0.03035351627450057</v>
      </c>
      <c r="H103" s="35">
        <f t="shared" si="49"/>
        <v>0.026612607552133006</v>
      </c>
      <c r="I103" s="35">
        <f t="shared" si="49"/>
        <v>0.024092607552133005</v>
      </c>
      <c r="J103" s="35">
        <f t="shared" si="49"/>
        <v>0.001485</v>
      </c>
      <c r="K103" s="35">
        <f t="shared" si="49"/>
        <v>0</v>
      </c>
      <c r="L103" s="35">
        <f t="shared" si="49"/>
        <v>0</v>
      </c>
    </row>
    <row r="104" spans="1:12" ht="12.75">
      <c r="A104" s="34" t="s">
        <v>297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2.75">
      <c r="A105" s="15" t="s">
        <v>156</v>
      </c>
      <c r="B105" s="35">
        <f>C387</f>
        <v>0.009395124495516433</v>
      </c>
      <c r="C105" s="35">
        <f aca="true" t="shared" si="50" ref="C105:L105">D387</f>
        <v>0.027364828935655373</v>
      </c>
      <c r="D105" s="35">
        <f t="shared" si="50"/>
        <v>0.030819770661711023</v>
      </c>
      <c r="E105" s="35">
        <f t="shared" si="50"/>
        <v>0.04559904544801338</v>
      </c>
      <c r="F105" s="35">
        <f t="shared" si="50"/>
        <v>0.032603079199216234</v>
      </c>
      <c r="G105" s="35">
        <f t="shared" si="50"/>
        <v>0.020057461210391633</v>
      </c>
      <c r="H105" s="35">
        <f t="shared" si="50"/>
        <v>0.01631655248802407</v>
      </c>
      <c r="I105" s="35">
        <f t="shared" si="50"/>
        <v>0.01631655248802407</v>
      </c>
      <c r="J105" s="35">
        <f t="shared" si="50"/>
        <v>0</v>
      </c>
      <c r="K105" s="35">
        <f t="shared" si="50"/>
        <v>0</v>
      </c>
      <c r="L105" s="35">
        <f t="shared" si="50"/>
        <v>0</v>
      </c>
    </row>
    <row r="106" spans="1:12" ht="12.75">
      <c r="A106" s="15" t="s">
        <v>157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</row>
    <row r="107" spans="1:12" ht="12.75">
      <c r="A107" s="15" t="s">
        <v>158</v>
      </c>
      <c r="B107" s="35">
        <f>C394</f>
        <v>0.000225</v>
      </c>
      <c r="C107" s="35">
        <f aca="true" t="shared" si="51" ref="C107:L107">D394</f>
        <v>0.00045</v>
      </c>
      <c r="D107" s="35">
        <f t="shared" si="51"/>
        <v>0.00045</v>
      </c>
      <c r="E107" s="35">
        <f t="shared" si="51"/>
        <v>0.000675</v>
      </c>
      <c r="F107" s="35">
        <f t="shared" si="51"/>
        <v>0.000675</v>
      </c>
      <c r="G107" s="35">
        <f t="shared" si="51"/>
        <v>0.00045</v>
      </c>
      <c r="H107" s="35">
        <f t="shared" si="51"/>
        <v>0.00045</v>
      </c>
      <c r="I107" s="35">
        <f t="shared" si="51"/>
        <v>0.00045</v>
      </c>
      <c r="J107" s="35">
        <f t="shared" si="51"/>
        <v>0.000225</v>
      </c>
      <c r="K107" s="35">
        <f t="shared" si="51"/>
        <v>0</v>
      </c>
      <c r="L107" s="35">
        <f t="shared" si="51"/>
        <v>0</v>
      </c>
    </row>
    <row r="108" spans="1:12" ht="12.75">
      <c r="A108" s="34" t="s">
        <v>75</v>
      </c>
      <c r="B108" s="18">
        <f>SUM(B105:B107)</f>
        <v>0.009620124495516432</v>
      </c>
      <c r="C108" s="18">
        <f aca="true" t="shared" si="52" ref="C108:L108">SUM(C105:C107)</f>
        <v>0.027814828935655372</v>
      </c>
      <c r="D108" s="18">
        <f t="shared" si="52"/>
        <v>0.03126977066171102</v>
      </c>
      <c r="E108" s="18">
        <f t="shared" si="52"/>
        <v>0.04627404544801338</v>
      </c>
      <c r="F108" s="18">
        <f t="shared" si="52"/>
        <v>0.033278079199216236</v>
      </c>
      <c r="G108" s="18">
        <f t="shared" si="52"/>
        <v>0.020507461210391632</v>
      </c>
      <c r="H108" s="18">
        <f t="shared" si="52"/>
        <v>0.01676655248802407</v>
      </c>
      <c r="I108" s="18">
        <f t="shared" si="52"/>
        <v>0.01676655248802407</v>
      </c>
      <c r="J108" s="18">
        <f t="shared" si="52"/>
        <v>0.000225</v>
      </c>
      <c r="K108" s="18">
        <f t="shared" si="52"/>
        <v>0</v>
      </c>
      <c r="L108" s="18">
        <f t="shared" si="52"/>
        <v>0</v>
      </c>
    </row>
    <row r="109" spans="1:12" ht="12.75">
      <c r="A109" s="15" t="s">
        <v>159</v>
      </c>
      <c r="B109" s="35">
        <f>C395</f>
        <v>0.004176055064108936</v>
      </c>
      <c r="C109" s="35">
        <f aca="true" t="shared" si="53" ref="C109:L109">D395</f>
        <v>0.025218440512871483</v>
      </c>
      <c r="D109" s="35">
        <f t="shared" si="53"/>
        <v>0.027738440512871484</v>
      </c>
      <c r="E109" s="35">
        <f t="shared" si="53"/>
        <v>0.016542110128217873</v>
      </c>
      <c r="F109" s="35">
        <f t="shared" si="53"/>
        <v>0.015912110128217874</v>
      </c>
      <c r="G109" s="35">
        <f t="shared" si="53"/>
        <v>0.009846055064108936</v>
      </c>
      <c r="H109" s="35">
        <f t="shared" si="53"/>
        <v>0.009846055064108936</v>
      </c>
      <c r="I109" s="35">
        <f t="shared" si="53"/>
        <v>0.007326055064108936</v>
      </c>
      <c r="J109" s="35">
        <f t="shared" si="53"/>
        <v>0.00126</v>
      </c>
      <c r="K109" s="35">
        <f t="shared" si="53"/>
        <v>0</v>
      </c>
      <c r="L109" s="35">
        <f t="shared" si="53"/>
        <v>0</v>
      </c>
    </row>
    <row r="110" spans="1:12" ht="12.75">
      <c r="A110" s="34" t="s">
        <v>126</v>
      </c>
      <c r="B110" s="18">
        <f>B109</f>
        <v>0.004176055064108936</v>
      </c>
      <c r="C110" s="18">
        <f aca="true" t="shared" si="54" ref="C110:L110">C109</f>
        <v>0.025218440512871483</v>
      </c>
      <c r="D110" s="18">
        <f t="shared" si="54"/>
        <v>0.027738440512871484</v>
      </c>
      <c r="E110" s="18">
        <f t="shared" si="54"/>
        <v>0.016542110128217873</v>
      </c>
      <c r="F110" s="18">
        <f t="shared" si="54"/>
        <v>0.015912110128217874</v>
      </c>
      <c r="G110" s="18">
        <f t="shared" si="54"/>
        <v>0.009846055064108936</v>
      </c>
      <c r="H110" s="18">
        <f t="shared" si="54"/>
        <v>0.009846055064108936</v>
      </c>
      <c r="I110" s="18">
        <f t="shared" si="54"/>
        <v>0.007326055064108936</v>
      </c>
      <c r="J110" s="18">
        <f t="shared" si="54"/>
        <v>0.00126</v>
      </c>
      <c r="K110" s="18">
        <f t="shared" si="54"/>
        <v>0</v>
      </c>
      <c r="L110" s="18">
        <f t="shared" si="54"/>
        <v>0</v>
      </c>
    </row>
    <row r="111" spans="1:12" ht="12.75">
      <c r="A111" s="34" t="s">
        <v>298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15" t="s">
        <v>156</v>
      </c>
      <c r="B112" s="35">
        <f>C407</f>
        <v>0.05251089105616637</v>
      </c>
      <c r="C112" s="35">
        <f aca="true" t="shared" si="55" ref="C112:L112">D407</f>
        <v>0.05251089105616637</v>
      </c>
      <c r="D112" s="35">
        <f t="shared" si="55"/>
        <v>0.05251089105616637</v>
      </c>
      <c r="E112" s="35">
        <f t="shared" si="55"/>
        <v>0.05251089105616637</v>
      </c>
      <c r="F112" s="35">
        <f t="shared" si="55"/>
        <v>0</v>
      </c>
      <c r="G112" s="35">
        <f t="shared" si="55"/>
        <v>0</v>
      </c>
      <c r="H112" s="35">
        <f t="shared" si="55"/>
        <v>0</v>
      </c>
      <c r="I112" s="35">
        <f t="shared" si="55"/>
        <v>0</v>
      </c>
      <c r="J112" s="35">
        <f t="shared" si="55"/>
        <v>0</v>
      </c>
      <c r="K112" s="35">
        <f t="shared" si="55"/>
        <v>0</v>
      </c>
      <c r="L112" s="35">
        <f t="shared" si="55"/>
        <v>0</v>
      </c>
    </row>
    <row r="113" spans="1:12" ht="12.75">
      <c r="A113" s="15" t="s">
        <v>157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</row>
    <row r="114" spans="1:12" ht="12.75">
      <c r="A114" s="15" t="s">
        <v>158</v>
      </c>
      <c r="B114" s="35">
        <f>C415</f>
        <v>0.0014544220256435744</v>
      </c>
      <c r="C114" s="35">
        <f aca="true" t="shared" si="56" ref="C114:L114">D415</f>
        <v>0.0014544220256435744</v>
      </c>
      <c r="D114" s="35">
        <f t="shared" si="56"/>
        <v>0.0014544220256435744</v>
      </c>
      <c r="E114" s="35">
        <f t="shared" si="56"/>
        <v>0.0014544220256435744</v>
      </c>
      <c r="F114" s="35">
        <f t="shared" si="56"/>
        <v>0</v>
      </c>
      <c r="G114" s="35">
        <f t="shared" si="56"/>
        <v>0</v>
      </c>
      <c r="H114" s="35">
        <f t="shared" si="56"/>
        <v>0</v>
      </c>
      <c r="I114" s="35">
        <f t="shared" si="56"/>
        <v>0</v>
      </c>
      <c r="J114" s="35">
        <f t="shared" si="56"/>
        <v>0</v>
      </c>
      <c r="K114" s="35">
        <f t="shared" si="56"/>
        <v>0</v>
      </c>
      <c r="L114" s="35">
        <f t="shared" si="56"/>
        <v>0</v>
      </c>
    </row>
    <row r="115" spans="1:12" ht="12.75">
      <c r="A115" s="34" t="s">
        <v>75</v>
      </c>
      <c r="B115" s="18">
        <f>SUM(B112:B114)</f>
        <v>0.05396531308180994</v>
      </c>
      <c r="C115" s="18">
        <f aca="true" t="shared" si="57" ref="C115:L115">SUM(C112:C114)</f>
        <v>0.05396531308180994</v>
      </c>
      <c r="D115" s="18">
        <f t="shared" si="57"/>
        <v>0.05396531308180994</v>
      </c>
      <c r="E115" s="18">
        <f t="shared" si="57"/>
        <v>0.05396531308180994</v>
      </c>
      <c r="F115" s="18">
        <f t="shared" si="57"/>
        <v>0</v>
      </c>
      <c r="G115" s="18">
        <f t="shared" si="57"/>
        <v>0</v>
      </c>
      <c r="H115" s="18">
        <f t="shared" si="57"/>
        <v>0</v>
      </c>
      <c r="I115" s="18">
        <f t="shared" si="57"/>
        <v>0</v>
      </c>
      <c r="J115" s="18">
        <f t="shared" si="57"/>
        <v>0</v>
      </c>
      <c r="K115" s="18">
        <f t="shared" si="57"/>
        <v>0</v>
      </c>
      <c r="L115" s="18">
        <f t="shared" si="57"/>
        <v>0</v>
      </c>
    </row>
    <row r="116" spans="1:12" ht="12.75">
      <c r="A116" s="15" t="s">
        <v>159</v>
      </c>
      <c r="B116" s="35">
        <f>C416</f>
        <v>0.025830275320544677</v>
      </c>
      <c r="C116" s="35">
        <f aca="true" t="shared" si="58" ref="C116:L116">D416</f>
        <v>0.025830275320544677</v>
      </c>
      <c r="D116" s="35">
        <f t="shared" si="58"/>
        <v>0.025830275320544677</v>
      </c>
      <c r="E116" s="35">
        <f t="shared" si="58"/>
        <v>0.025830275320544677</v>
      </c>
      <c r="F116" s="35">
        <f t="shared" si="58"/>
        <v>0</v>
      </c>
      <c r="G116" s="35">
        <f t="shared" si="58"/>
        <v>0</v>
      </c>
      <c r="H116" s="35">
        <f t="shared" si="58"/>
        <v>0</v>
      </c>
      <c r="I116" s="35">
        <f t="shared" si="58"/>
        <v>0</v>
      </c>
      <c r="J116" s="35">
        <f t="shared" si="58"/>
        <v>0</v>
      </c>
      <c r="K116" s="35">
        <f t="shared" si="58"/>
        <v>0</v>
      </c>
      <c r="L116" s="35">
        <f t="shared" si="58"/>
        <v>0</v>
      </c>
    </row>
    <row r="117" spans="1:12" ht="12.75">
      <c r="A117" s="34" t="s">
        <v>126</v>
      </c>
      <c r="B117" s="18">
        <f>B116</f>
        <v>0.025830275320544677</v>
      </c>
      <c r="C117" s="18">
        <f aca="true" t="shared" si="59" ref="C117:L117">C116</f>
        <v>0.025830275320544677</v>
      </c>
      <c r="D117" s="18">
        <f t="shared" si="59"/>
        <v>0.025830275320544677</v>
      </c>
      <c r="E117" s="18">
        <f t="shared" si="59"/>
        <v>0.025830275320544677</v>
      </c>
      <c r="F117" s="18">
        <f t="shared" si="59"/>
        <v>0</v>
      </c>
      <c r="G117" s="18">
        <f t="shared" si="59"/>
        <v>0</v>
      </c>
      <c r="H117" s="18">
        <f t="shared" si="59"/>
        <v>0</v>
      </c>
      <c r="I117" s="18">
        <f t="shared" si="59"/>
        <v>0</v>
      </c>
      <c r="J117" s="18">
        <f t="shared" si="59"/>
        <v>0</v>
      </c>
      <c r="K117" s="18">
        <f t="shared" si="59"/>
        <v>0</v>
      </c>
      <c r="L117" s="18">
        <f t="shared" si="59"/>
        <v>0</v>
      </c>
    </row>
    <row r="118" spans="1:12" ht="12.75">
      <c r="A118" s="17" t="s">
        <v>79</v>
      </c>
      <c r="B118" s="18">
        <f>B108+B110+B115+B117</f>
        <v>0.09359176796197999</v>
      </c>
      <c r="C118" s="18">
        <f aca="true" t="shared" si="60" ref="C118:L118">C108+C110+C115+C117</f>
        <v>0.13282885785088147</v>
      </c>
      <c r="D118" s="18">
        <f t="shared" si="60"/>
        <v>0.13880379957693714</v>
      </c>
      <c r="E118" s="18">
        <f t="shared" si="60"/>
        <v>0.1426117439785859</v>
      </c>
      <c r="F118" s="18">
        <f t="shared" si="60"/>
        <v>0.04919018932743411</v>
      </c>
      <c r="G118" s="18">
        <f t="shared" si="60"/>
        <v>0.03035351627450057</v>
      </c>
      <c r="H118" s="18">
        <f t="shared" si="60"/>
        <v>0.026612607552133006</v>
      </c>
      <c r="I118" s="18">
        <f t="shared" si="60"/>
        <v>0.024092607552133005</v>
      </c>
      <c r="J118" s="18">
        <f t="shared" si="60"/>
        <v>0.001485</v>
      </c>
      <c r="K118" s="18">
        <f t="shared" si="60"/>
        <v>0</v>
      </c>
      <c r="L118" s="18">
        <f t="shared" si="60"/>
        <v>0</v>
      </c>
    </row>
    <row r="119" spans="1:12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 ht="12.75">
      <c r="A121" s="140" t="str">
        <f>A80</f>
        <v>Table C.1.1 B (continued)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1:12" ht="12.75">
      <c r="A122" s="140" t="str">
        <f>A81</f>
        <v>Mira Loma Construction Emissions Summary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</row>
    <row r="123" spans="1:12" ht="12.75">
      <c r="A123" s="132" t="s">
        <v>44</v>
      </c>
      <c r="B123" s="132" t="s">
        <v>41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1:12" ht="12.75">
      <c r="A124" s="135"/>
      <c r="B124" s="60">
        <f>DATE(2007,2,26)</f>
        <v>39139</v>
      </c>
      <c r="C124" s="60">
        <f aca="true" t="shared" si="61" ref="C124:L124">B124+14</f>
        <v>39153</v>
      </c>
      <c r="D124" s="60">
        <f t="shared" si="61"/>
        <v>39167</v>
      </c>
      <c r="E124" s="60">
        <f t="shared" si="61"/>
        <v>39181</v>
      </c>
      <c r="F124" s="60">
        <f t="shared" si="61"/>
        <v>39195</v>
      </c>
      <c r="G124" s="60">
        <f t="shared" si="61"/>
        <v>39209</v>
      </c>
      <c r="H124" s="60">
        <f t="shared" si="61"/>
        <v>39223</v>
      </c>
      <c r="I124" s="60">
        <f t="shared" si="61"/>
        <v>39237</v>
      </c>
      <c r="J124" s="60">
        <f t="shared" si="61"/>
        <v>39251</v>
      </c>
      <c r="K124" s="60">
        <f t="shared" si="61"/>
        <v>39265</v>
      </c>
      <c r="L124" s="60">
        <f t="shared" si="61"/>
        <v>39279</v>
      </c>
    </row>
    <row r="125" spans="1:12" ht="12.75">
      <c r="A125" s="17" t="s">
        <v>22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 hidden="1">
      <c r="A126" s="17"/>
      <c r="B126" s="35">
        <f>B145</f>
        <v>16.39837965259897</v>
      </c>
      <c r="C126" s="35">
        <f aca="true" t="shared" si="62" ref="C126:L126">C145</f>
        <v>13.84656854698052</v>
      </c>
      <c r="D126" s="35">
        <f t="shared" si="62"/>
        <v>14.502802746930634</v>
      </c>
      <c r="E126" s="35">
        <f t="shared" si="62"/>
        <v>14.77664442286171</v>
      </c>
      <c r="F126" s="35">
        <f t="shared" si="62"/>
        <v>4.874469285549621</v>
      </c>
      <c r="G126" s="35">
        <f t="shared" si="62"/>
        <v>2.8243801304793648</v>
      </c>
      <c r="H126" s="35">
        <f t="shared" si="62"/>
        <v>2.460392671905666</v>
      </c>
      <c r="I126" s="35">
        <f t="shared" si="62"/>
        <v>2.1519538048233446</v>
      </c>
      <c r="J126" s="35">
        <f t="shared" si="62"/>
        <v>0.24232448856609945</v>
      </c>
      <c r="K126" s="35">
        <f t="shared" si="62"/>
        <v>0</v>
      </c>
      <c r="L126" s="35">
        <f t="shared" si="62"/>
        <v>0</v>
      </c>
    </row>
    <row r="127" spans="1:12" ht="12.75">
      <c r="A127" s="34" t="s">
        <v>297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2.75">
      <c r="A128" s="15" t="s">
        <v>156</v>
      </c>
      <c r="B128" s="35">
        <f>C431</f>
        <v>0.9349536497797463</v>
      </c>
      <c r="C128" s="35">
        <f aca="true" t="shared" si="63" ref="C128:L128">D431</f>
        <v>2.319877833121415</v>
      </c>
      <c r="D128" s="35">
        <f t="shared" si="63"/>
        <v>2.6676731659892057</v>
      </c>
      <c r="E128" s="35">
        <f t="shared" si="63"/>
        <v>3.3670579194659878</v>
      </c>
      <c r="F128" s="35">
        <f t="shared" si="63"/>
        <v>2.6556449305101086</v>
      </c>
      <c r="G128" s="35">
        <f t="shared" si="63"/>
        <v>1.6395689107555889</v>
      </c>
      <c r="H128" s="35">
        <f t="shared" si="63"/>
        <v>1.2755814521818905</v>
      </c>
      <c r="I128" s="35">
        <f t="shared" si="63"/>
        <v>1.2755814521818905</v>
      </c>
      <c r="J128" s="35">
        <f t="shared" si="63"/>
        <v>0</v>
      </c>
      <c r="K128" s="35">
        <f t="shared" si="63"/>
        <v>0</v>
      </c>
      <c r="L128" s="35">
        <f t="shared" si="63"/>
        <v>0</v>
      </c>
    </row>
    <row r="129" spans="1:12" ht="12.75">
      <c r="A129" s="15" t="s">
        <v>157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</row>
    <row r="130" spans="1:12" ht="12.75">
      <c r="A130" s="15" t="s">
        <v>122</v>
      </c>
      <c r="B130" s="35">
        <f>C438</f>
        <v>0.001998709494656993</v>
      </c>
      <c r="C130" s="35">
        <f aca="true" t="shared" si="64" ref="C130:L130">D438</f>
        <v>0.003997418989313986</v>
      </c>
      <c r="D130" s="35">
        <f t="shared" si="64"/>
        <v>0.003997418989313986</v>
      </c>
      <c r="E130" s="35">
        <f t="shared" si="64"/>
        <v>0.0059961284839709795</v>
      </c>
      <c r="F130" s="35">
        <f t="shared" si="64"/>
        <v>0.0059961284839709795</v>
      </c>
      <c r="G130" s="35">
        <f t="shared" si="64"/>
        <v>0.003997418989313986</v>
      </c>
      <c r="H130" s="35">
        <f t="shared" si="64"/>
        <v>0.003997418989313986</v>
      </c>
      <c r="I130" s="35">
        <f t="shared" si="64"/>
        <v>0.003997418989313986</v>
      </c>
      <c r="J130" s="35">
        <f t="shared" si="64"/>
        <v>0.001998709494656993</v>
      </c>
      <c r="K130" s="35">
        <f t="shared" si="64"/>
        <v>0</v>
      </c>
      <c r="L130" s="35">
        <f t="shared" si="64"/>
        <v>0</v>
      </c>
    </row>
    <row r="131" spans="1:12" ht="12.75">
      <c r="A131" s="15" t="s">
        <v>301</v>
      </c>
      <c r="B131" s="35">
        <f>C473+C572</f>
        <v>0.48607161677066296</v>
      </c>
      <c r="C131" s="35">
        <f aca="true" t="shared" si="65" ref="C131:L131">D473+D572</f>
        <v>0.894557911392311</v>
      </c>
      <c r="D131" s="35">
        <f t="shared" si="65"/>
        <v>0.894557911392311</v>
      </c>
      <c r="E131" s="35">
        <f t="shared" si="65"/>
        <v>0.658284307831226</v>
      </c>
      <c r="F131" s="35">
        <f t="shared" si="65"/>
        <v>0.658284307831226</v>
      </c>
      <c r="G131" s="35">
        <f t="shared" si="65"/>
        <v>0.1722126910605631</v>
      </c>
      <c r="H131" s="35">
        <f t="shared" si="65"/>
        <v>0.1722126910605631</v>
      </c>
      <c r="I131" s="35">
        <f t="shared" si="65"/>
        <v>0.1722126910605631</v>
      </c>
      <c r="J131" s="35">
        <f t="shared" si="65"/>
        <v>0.08610634553028156</v>
      </c>
      <c r="K131" s="35">
        <f t="shared" si="65"/>
        <v>0</v>
      </c>
      <c r="L131" s="35">
        <f t="shared" si="65"/>
        <v>0</v>
      </c>
    </row>
    <row r="132" spans="1:12" ht="12.75">
      <c r="A132" s="34" t="s">
        <v>75</v>
      </c>
      <c r="B132" s="18">
        <f>SUM(B128:B131)</f>
        <v>1.4230239760450663</v>
      </c>
      <c r="C132" s="18">
        <f aca="true" t="shared" si="66" ref="C132:L132">SUM(C128:C131)</f>
        <v>3.2184331635030397</v>
      </c>
      <c r="D132" s="18">
        <f t="shared" si="66"/>
        <v>3.5662284963708304</v>
      </c>
      <c r="E132" s="18">
        <f t="shared" si="66"/>
        <v>4.031338355781185</v>
      </c>
      <c r="F132" s="18">
        <f t="shared" si="66"/>
        <v>3.3199253668253057</v>
      </c>
      <c r="G132" s="18">
        <f t="shared" si="66"/>
        <v>1.8157790208054658</v>
      </c>
      <c r="H132" s="18">
        <f t="shared" si="66"/>
        <v>1.4517915622317674</v>
      </c>
      <c r="I132" s="18">
        <f t="shared" si="66"/>
        <v>1.4517915622317674</v>
      </c>
      <c r="J132" s="18">
        <f t="shared" si="66"/>
        <v>0.08810505502493855</v>
      </c>
      <c r="K132" s="18">
        <f t="shared" si="66"/>
        <v>0</v>
      </c>
      <c r="L132" s="18">
        <f t="shared" si="66"/>
        <v>0</v>
      </c>
    </row>
    <row r="133" spans="1:12" ht="12.75">
      <c r="A133" s="15" t="s">
        <v>125</v>
      </c>
      <c r="B133" s="35">
        <f>C439</f>
        <v>0.04899271804952288</v>
      </c>
      <c r="C133" s="35">
        <f aca="true" t="shared" si="67" ref="C133:L133">D439</f>
        <v>0.3191887187906685</v>
      </c>
      <c r="D133" s="35">
        <f t="shared" si="67"/>
        <v>0.34157426513082684</v>
      </c>
      <c r="E133" s="35">
        <f t="shared" si="67"/>
        <v>0.1707384617045603</v>
      </c>
      <c r="F133" s="35">
        <f t="shared" si="67"/>
        <v>0.16514207511952073</v>
      </c>
      <c r="G133" s="35">
        <f t="shared" si="67"/>
        <v>0.0993601973148791</v>
      </c>
      <c r="H133" s="35">
        <f t="shared" si="67"/>
        <v>0.0993601973148791</v>
      </c>
      <c r="I133" s="35">
        <f t="shared" si="67"/>
        <v>0.07697465097472078</v>
      </c>
      <c r="J133" s="35">
        <f t="shared" si="67"/>
        <v>0.011192773170079162</v>
      </c>
      <c r="K133" s="35">
        <f t="shared" si="67"/>
        <v>0</v>
      </c>
      <c r="L133" s="35">
        <f t="shared" si="67"/>
        <v>0</v>
      </c>
    </row>
    <row r="134" spans="1:12" ht="12.75">
      <c r="A134" s="15" t="s">
        <v>300</v>
      </c>
      <c r="B134" s="35">
        <f>C474</f>
        <v>0.26562094068915176</v>
      </c>
      <c r="C134" s="35">
        <f aca="true" t="shared" si="68" ref="C134:L134">D474</f>
        <v>1.195294233101183</v>
      </c>
      <c r="D134" s="35">
        <f t="shared" si="68"/>
        <v>1.4813475538433465</v>
      </c>
      <c r="E134" s="35">
        <f t="shared" si="68"/>
        <v>1.460915173790335</v>
      </c>
      <c r="F134" s="35">
        <f t="shared" si="68"/>
        <v>1.3894018436047941</v>
      </c>
      <c r="G134" s="35">
        <f t="shared" si="68"/>
        <v>0.9092409123590196</v>
      </c>
      <c r="H134" s="35">
        <f t="shared" si="68"/>
        <v>0.9092409123590196</v>
      </c>
      <c r="I134" s="35">
        <f t="shared" si="68"/>
        <v>0.6231875916168562</v>
      </c>
      <c r="J134" s="35">
        <f t="shared" si="68"/>
        <v>0.14302666037108175</v>
      </c>
      <c r="K134" s="35">
        <f t="shared" si="68"/>
        <v>0</v>
      </c>
      <c r="L134" s="35">
        <f t="shared" si="68"/>
        <v>0</v>
      </c>
    </row>
    <row r="135" spans="1:12" ht="12.75">
      <c r="A135" s="34" t="s">
        <v>126</v>
      </c>
      <c r="B135" s="18">
        <f>SUM(B133:B134)</f>
        <v>0.31461365873867464</v>
      </c>
      <c r="C135" s="18">
        <f aca="true" t="shared" si="69" ref="C135:L135">SUM(C133:C134)</f>
        <v>1.5144829518918517</v>
      </c>
      <c r="D135" s="18">
        <f t="shared" si="69"/>
        <v>1.8229218189741734</v>
      </c>
      <c r="E135" s="18">
        <f t="shared" si="69"/>
        <v>1.6316536354948954</v>
      </c>
      <c r="F135" s="18">
        <f t="shared" si="69"/>
        <v>1.5545439187243149</v>
      </c>
      <c r="G135" s="18">
        <f t="shared" si="69"/>
        <v>1.0086011096738987</v>
      </c>
      <c r="H135" s="18">
        <f t="shared" si="69"/>
        <v>1.0086011096738987</v>
      </c>
      <c r="I135" s="18">
        <f t="shared" si="69"/>
        <v>0.700162242591577</v>
      </c>
      <c r="J135" s="18">
        <f t="shared" si="69"/>
        <v>0.1542194335411609</v>
      </c>
      <c r="K135" s="18">
        <f t="shared" si="69"/>
        <v>0</v>
      </c>
      <c r="L135" s="18">
        <f t="shared" si="69"/>
        <v>0</v>
      </c>
    </row>
    <row r="136" spans="1:12" ht="12.75">
      <c r="A136" s="34" t="s">
        <v>298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2.75">
      <c r="A137" s="15" t="s">
        <v>156</v>
      </c>
      <c r="B137" s="35">
        <f>C451</f>
        <v>4.1590893953512085</v>
      </c>
      <c r="C137" s="35">
        <f aca="true" t="shared" si="70" ref="C137:L137">D451</f>
        <v>4.1590893953512085</v>
      </c>
      <c r="D137" s="35">
        <f t="shared" si="70"/>
        <v>4.1590893953512085</v>
      </c>
      <c r="E137" s="35">
        <f t="shared" si="70"/>
        <v>4.1590893953512085</v>
      </c>
      <c r="F137" s="35">
        <f t="shared" si="70"/>
        <v>0</v>
      </c>
      <c r="G137" s="35">
        <f t="shared" si="70"/>
        <v>0</v>
      </c>
      <c r="H137" s="35">
        <f t="shared" si="70"/>
        <v>0</v>
      </c>
      <c r="I137" s="35">
        <f t="shared" si="70"/>
        <v>0</v>
      </c>
      <c r="J137" s="35">
        <f t="shared" si="70"/>
        <v>0</v>
      </c>
      <c r="K137" s="35">
        <f t="shared" si="70"/>
        <v>0</v>
      </c>
      <c r="L137" s="35">
        <f t="shared" si="70"/>
        <v>0</v>
      </c>
    </row>
    <row r="138" spans="1:12" ht="12.75">
      <c r="A138" s="15" t="s">
        <v>157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</row>
    <row r="139" spans="1:12" ht="12.75">
      <c r="A139" s="15" t="s">
        <v>122</v>
      </c>
      <c r="B139" s="35">
        <f>C459</f>
        <v>0.017678326104938438</v>
      </c>
      <c r="C139" s="35">
        <f aca="true" t="shared" si="71" ref="C139:L139">D459</f>
        <v>0.017678326104938438</v>
      </c>
      <c r="D139" s="35">
        <f t="shared" si="71"/>
        <v>0.017678326104938438</v>
      </c>
      <c r="E139" s="35">
        <f t="shared" si="71"/>
        <v>0.017678326104938438</v>
      </c>
      <c r="F139" s="35">
        <f t="shared" si="71"/>
        <v>0</v>
      </c>
      <c r="G139" s="35">
        <f t="shared" si="71"/>
        <v>0</v>
      </c>
      <c r="H139" s="35">
        <f t="shared" si="71"/>
        <v>0</v>
      </c>
      <c r="I139" s="35">
        <f t="shared" si="71"/>
        <v>0</v>
      </c>
      <c r="J139" s="35">
        <f t="shared" si="71"/>
        <v>0</v>
      </c>
      <c r="K139" s="35">
        <f t="shared" si="71"/>
        <v>0</v>
      </c>
      <c r="L139" s="35">
        <f t="shared" si="71"/>
        <v>0</v>
      </c>
    </row>
    <row r="140" spans="1:12" ht="12.75">
      <c r="A140" s="15" t="s">
        <v>301</v>
      </c>
      <c r="B140" s="35">
        <f>C482+C576</f>
        <v>8.30504394232543</v>
      </c>
      <c r="C140" s="35">
        <f aca="true" t="shared" si="72" ref="C140:L140">D482+D576</f>
        <v>2.757954356095834</v>
      </c>
      <c r="D140" s="35">
        <f t="shared" si="72"/>
        <v>2.757954356095834</v>
      </c>
      <c r="E140" s="35">
        <f t="shared" si="72"/>
        <v>2.757954356095834</v>
      </c>
      <c r="F140" s="35">
        <f t="shared" si="72"/>
        <v>0</v>
      </c>
      <c r="G140" s="35">
        <f t="shared" si="72"/>
        <v>0</v>
      </c>
      <c r="H140" s="35">
        <f t="shared" si="72"/>
        <v>0</v>
      </c>
      <c r="I140" s="35">
        <f t="shared" si="72"/>
        <v>0</v>
      </c>
      <c r="J140" s="35">
        <f t="shared" si="72"/>
        <v>0</v>
      </c>
      <c r="K140" s="35">
        <f t="shared" si="72"/>
        <v>0</v>
      </c>
      <c r="L140" s="35">
        <f t="shared" si="72"/>
        <v>0</v>
      </c>
    </row>
    <row r="141" spans="1:12" ht="12.75">
      <c r="A141" s="34" t="s">
        <v>75</v>
      </c>
      <c r="B141" s="18">
        <f>SUM(B137:B140)</f>
        <v>12.481811663781578</v>
      </c>
      <c r="C141" s="18">
        <f aca="true" t="shared" si="73" ref="C141:L141">SUM(C137:C140)</f>
        <v>6.934722077551982</v>
      </c>
      <c r="D141" s="18">
        <f t="shared" si="73"/>
        <v>6.934722077551982</v>
      </c>
      <c r="E141" s="18">
        <f t="shared" si="73"/>
        <v>6.934722077551982</v>
      </c>
      <c r="F141" s="18">
        <f t="shared" si="73"/>
        <v>0</v>
      </c>
      <c r="G141" s="18">
        <f t="shared" si="73"/>
        <v>0</v>
      </c>
      <c r="H141" s="18">
        <f t="shared" si="73"/>
        <v>0</v>
      </c>
      <c r="I141" s="18">
        <f t="shared" si="73"/>
        <v>0</v>
      </c>
      <c r="J141" s="18">
        <f t="shared" si="73"/>
        <v>0</v>
      </c>
      <c r="K141" s="18">
        <f t="shared" si="73"/>
        <v>0</v>
      </c>
      <c r="L141" s="18">
        <f t="shared" si="73"/>
        <v>0</v>
      </c>
    </row>
    <row r="142" spans="1:12" ht="12.75">
      <c r="A142" s="15" t="s">
        <v>125</v>
      </c>
      <c r="B142" s="35">
        <f>C460</f>
        <v>0.2889351991300682</v>
      </c>
      <c r="C142" s="35">
        <f aca="true" t="shared" si="74" ref="C142:L142">D460</f>
        <v>0.2889351991300682</v>
      </c>
      <c r="D142" s="35">
        <f t="shared" si="74"/>
        <v>0.2889351991300682</v>
      </c>
      <c r="E142" s="35">
        <f t="shared" si="74"/>
        <v>0.2889351991300682</v>
      </c>
      <c r="F142" s="35">
        <f t="shared" si="74"/>
        <v>0</v>
      </c>
      <c r="G142" s="35">
        <f t="shared" si="74"/>
        <v>0</v>
      </c>
      <c r="H142" s="35">
        <f t="shared" si="74"/>
        <v>0</v>
      </c>
      <c r="I142" s="35">
        <f t="shared" si="74"/>
        <v>0</v>
      </c>
      <c r="J142" s="35">
        <f t="shared" si="74"/>
        <v>0</v>
      </c>
      <c r="K142" s="35">
        <f t="shared" si="74"/>
        <v>0</v>
      </c>
      <c r="L142" s="35">
        <f t="shared" si="74"/>
        <v>0</v>
      </c>
    </row>
    <row r="143" spans="1:12" ht="12.75">
      <c r="A143" s="15" t="s">
        <v>300</v>
      </c>
      <c r="B143" s="35">
        <f>C483</f>
        <v>1.88999515490358</v>
      </c>
      <c r="C143" s="35">
        <f aca="true" t="shared" si="75" ref="C143:L143">D483</f>
        <v>1.88999515490358</v>
      </c>
      <c r="D143" s="35">
        <f t="shared" si="75"/>
        <v>1.88999515490358</v>
      </c>
      <c r="E143" s="35">
        <f t="shared" si="75"/>
        <v>1.88999515490358</v>
      </c>
      <c r="F143" s="35">
        <f t="shared" si="75"/>
        <v>0</v>
      </c>
      <c r="G143" s="35">
        <f t="shared" si="75"/>
        <v>0</v>
      </c>
      <c r="H143" s="35">
        <f t="shared" si="75"/>
        <v>0</v>
      </c>
      <c r="I143" s="35">
        <f t="shared" si="75"/>
        <v>0</v>
      </c>
      <c r="J143" s="35">
        <f t="shared" si="75"/>
        <v>0</v>
      </c>
      <c r="K143" s="35">
        <f t="shared" si="75"/>
        <v>0</v>
      </c>
      <c r="L143" s="35">
        <f t="shared" si="75"/>
        <v>0</v>
      </c>
    </row>
    <row r="144" spans="1:12" ht="12.75">
      <c r="A144" s="34" t="s">
        <v>126</v>
      </c>
      <c r="B144" s="18">
        <f>SUM(B142:B143)</f>
        <v>2.1789303540336484</v>
      </c>
      <c r="C144" s="18">
        <f aca="true" t="shared" si="76" ref="C144:L144">SUM(C142:C143)</f>
        <v>2.1789303540336484</v>
      </c>
      <c r="D144" s="18">
        <f t="shared" si="76"/>
        <v>2.1789303540336484</v>
      </c>
      <c r="E144" s="18">
        <f t="shared" si="76"/>
        <v>2.1789303540336484</v>
      </c>
      <c r="F144" s="18">
        <f t="shared" si="76"/>
        <v>0</v>
      </c>
      <c r="G144" s="18">
        <f t="shared" si="76"/>
        <v>0</v>
      </c>
      <c r="H144" s="18">
        <f t="shared" si="76"/>
        <v>0</v>
      </c>
      <c r="I144" s="18">
        <f t="shared" si="76"/>
        <v>0</v>
      </c>
      <c r="J144" s="18">
        <f t="shared" si="76"/>
        <v>0</v>
      </c>
      <c r="K144" s="18">
        <f t="shared" si="76"/>
        <v>0</v>
      </c>
      <c r="L144" s="18">
        <f t="shared" si="76"/>
        <v>0</v>
      </c>
    </row>
    <row r="145" spans="1:12" ht="12.75">
      <c r="A145" s="17" t="s">
        <v>134</v>
      </c>
      <c r="B145" s="18">
        <f>B132+B135+B141+B144</f>
        <v>16.39837965259897</v>
      </c>
      <c r="C145" s="18">
        <f aca="true" t="shared" si="77" ref="C145:L145">C132+C135+C141+C144</f>
        <v>13.84656854698052</v>
      </c>
      <c r="D145" s="18">
        <f t="shared" si="77"/>
        <v>14.502802746930634</v>
      </c>
      <c r="E145" s="18">
        <f t="shared" si="77"/>
        <v>14.77664442286171</v>
      </c>
      <c r="F145" s="18">
        <f t="shared" si="77"/>
        <v>4.874469285549621</v>
      </c>
      <c r="G145" s="18">
        <f t="shared" si="77"/>
        <v>2.8243801304793648</v>
      </c>
      <c r="H145" s="18">
        <f t="shared" si="77"/>
        <v>2.460392671905666</v>
      </c>
      <c r="I145" s="18">
        <f t="shared" si="77"/>
        <v>2.1519538048233446</v>
      </c>
      <c r="J145" s="18">
        <f t="shared" si="77"/>
        <v>0.24232448856609945</v>
      </c>
      <c r="K145" s="18">
        <f t="shared" si="77"/>
        <v>0</v>
      </c>
      <c r="L145" s="18">
        <f t="shared" si="77"/>
        <v>0</v>
      </c>
    </row>
    <row r="146" spans="1:12" ht="12.7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7" t="s">
        <v>194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 hidden="1">
      <c r="A148" s="17"/>
      <c r="B148" s="35">
        <f>B167</f>
        <v>7.110991879060684</v>
      </c>
      <c r="C148" s="35">
        <f aca="true" t="shared" si="78" ref="C148:L148">C167</f>
        <v>7.7118223954296665</v>
      </c>
      <c r="D148" s="35">
        <f t="shared" si="78"/>
        <v>8.100731815506405</v>
      </c>
      <c r="E148" s="35">
        <f t="shared" si="78"/>
        <v>8.530689002346305</v>
      </c>
      <c r="F148" s="35">
        <f t="shared" si="78"/>
        <v>2.9636132760307663</v>
      </c>
      <c r="G148" s="35">
        <f t="shared" si="78"/>
        <v>1.7865156923392642</v>
      </c>
      <c r="H148" s="35">
        <f t="shared" si="78"/>
        <v>1.4516472304514618</v>
      </c>
      <c r="I148" s="35">
        <f t="shared" si="78"/>
        <v>1.3827095166130905</v>
      </c>
      <c r="J148" s="35">
        <f t="shared" si="78"/>
        <v>0.05085964204888766</v>
      </c>
      <c r="K148" s="35">
        <f t="shared" si="78"/>
        <v>0</v>
      </c>
      <c r="L148" s="35">
        <f t="shared" si="78"/>
        <v>0</v>
      </c>
    </row>
    <row r="149" spans="1:12" ht="12.75">
      <c r="A149" s="34" t="s">
        <v>297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2.75">
      <c r="A150" s="15" t="s">
        <v>156</v>
      </c>
      <c r="B150" s="35">
        <f>C498</f>
        <v>0.8601573577973667</v>
      </c>
      <c r="C150" s="35">
        <f aca="true" t="shared" si="79" ref="C150:L150">D498</f>
        <v>2.134287606471702</v>
      </c>
      <c r="D150" s="35">
        <f t="shared" si="79"/>
        <v>2.4542593127100694</v>
      </c>
      <c r="E150" s="35">
        <f t="shared" si="79"/>
        <v>3.097693285908709</v>
      </c>
      <c r="F150" s="35">
        <f t="shared" si="79"/>
        <v>2.4431933360693003</v>
      </c>
      <c r="G150" s="35">
        <f t="shared" si="79"/>
        <v>1.5084033978951417</v>
      </c>
      <c r="H150" s="35">
        <f t="shared" si="79"/>
        <v>1.1735349360073393</v>
      </c>
      <c r="I150" s="35">
        <f t="shared" si="79"/>
        <v>1.1735349360073393</v>
      </c>
      <c r="J150" s="35">
        <f t="shared" si="79"/>
        <v>0</v>
      </c>
      <c r="K150" s="35">
        <f t="shared" si="79"/>
        <v>0</v>
      </c>
      <c r="L150" s="35">
        <f t="shared" si="79"/>
        <v>0</v>
      </c>
    </row>
    <row r="151" spans="1:12" ht="12.75">
      <c r="A151" s="15" t="s">
        <v>157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</row>
    <row r="152" spans="1:12" ht="12.75">
      <c r="A152" s="15" t="s">
        <v>122</v>
      </c>
      <c r="B152" s="35">
        <f>C505</f>
        <v>0.0018388127350844339</v>
      </c>
      <c r="C152" s="35">
        <f aca="true" t="shared" si="80" ref="C152:L152">D505</f>
        <v>0.0036776254701688677</v>
      </c>
      <c r="D152" s="35">
        <f t="shared" si="80"/>
        <v>0.0036776254701688677</v>
      </c>
      <c r="E152" s="35">
        <f t="shared" si="80"/>
        <v>0.005516438205253302</v>
      </c>
      <c r="F152" s="35">
        <f t="shared" si="80"/>
        <v>0.005516438205253302</v>
      </c>
      <c r="G152" s="35">
        <f t="shared" si="80"/>
        <v>0.0036776254701688677</v>
      </c>
      <c r="H152" s="35">
        <f t="shared" si="80"/>
        <v>0.0036776254701688677</v>
      </c>
      <c r="I152" s="35">
        <f t="shared" si="80"/>
        <v>0.0036776254701688677</v>
      </c>
      <c r="J152" s="35">
        <f t="shared" si="80"/>
        <v>0.0018388127350844339</v>
      </c>
      <c r="K152" s="35">
        <f t="shared" si="80"/>
        <v>0</v>
      </c>
      <c r="L152" s="35">
        <f t="shared" si="80"/>
        <v>0</v>
      </c>
    </row>
    <row r="153" spans="1:12" ht="12.75">
      <c r="A153" s="15" t="s">
        <v>301</v>
      </c>
      <c r="B153" s="35">
        <f>C540+C586</f>
        <v>0.09854467935509768</v>
      </c>
      <c r="C153" s="35">
        <f aca="true" t="shared" si="81" ref="C153:L153">D540+D586</f>
        <v>0.18079644105890222</v>
      </c>
      <c r="D153" s="35">
        <f t="shared" si="81"/>
        <v>0.18079644105890222</v>
      </c>
      <c r="E153" s="35">
        <f t="shared" si="81"/>
        <v>0.12764862414433284</v>
      </c>
      <c r="F153" s="35">
        <f t="shared" si="81"/>
        <v>0.12764862414433284</v>
      </c>
      <c r="G153" s="35">
        <f t="shared" si="81"/>
        <v>0.029103944789235166</v>
      </c>
      <c r="H153" s="35">
        <f t="shared" si="81"/>
        <v>0.029103944789235166</v>
      </c>
      <c r="I153" s="35">
        <f t="shared" si="81"/>
        <v>0.029103944789235166</v>
      </c>
      <c r="J153" s="35">
        <f t="shared" si="81"/>
        <v>0.014551972394617583</v>
      </c>
      <c r="K153" s="35">
        <f t="shared" si="81"/>
        <v>0</v>
      </c>
      <c r="L153" s="35">
        <f t="shared" si="81"/>
        <v>0</v>
      </c>
    </row>
    <row r="154" spans="1:12" ht="12.75">
      <c r="A154" s="34" t="s">
        <v>75</v>
      </c>
      <c r="B154" s="18">
        <f>SUM(B150:B153)</f>
        <v>0.9605408498875488</v>
      </c>
      <c r="C154" s="18">
        <f aca="true" t="shared" si="82" ref="C154:L154">SUM(C150:C153)</f>
        <v>2.3187616730007727</v>
      </c>
      <c r="D154" s="18">
        <f t="shared" si="82"/>
        <v>2.6387333792391403</v>
      </c>
      <c r="E154" s="18">
        <f t="shared" si="82"/>
        <v>3.2308583482582955</v>
      </c>
      <c r="F154" s="18">
        <f t="shared" si="82"/>
        <v>2.5763583984188867</v>
      </c>
      <c r="G154" s="18">
        <f t="shared" si="82"/>
        <v>1.5411849681545458</v>
      </c>
      <c r="H154" s="18">
        <f t="shared" si="82"/>
        <v>1.2063165062667434</v>
      </c>
      <c r="I154" s="18">
        <f t="shared" si="82"/>
        <v>1.2063165062667434</v>
      </c>
      <c r="J154" s="18">
        <f t="shared" si="82"/>
        <v>0.016390785129702018</v>
      </c>
      <c r="K154" s="18">
        <f t="shared" si="82"/>
        <v>0</v>
      </c>
      <c r="L154" s="18">
        <f t="shared" si="82"/>
        <v>0</v>
      </c>
    </row>
    <row r="155" spans="1:12" ht="12.75">
      <c r="A155" s="15" t="s">
        <v>125</v>
      </c>
      <c r="B155" s="35">
        <f>C506</f>
        <v>0.045330929071916284</v>
      </c>
      <c r="C155" s="35">
        <f aca="true" t="shared" si="83" ref="C155:L155">D506</f>
        <v>0.2957146490182569</v>
      </c>
      <c r="D155" s="35">
        <f t="shared" si="83"/>
        <v>0.31630935165120255</v>
      </c>
      <c r="E155" s="35">
        <f t="shared" si="83"/>
        <v>0.15759464170090595</v>
      </c>
      <c r="F155" s="35">
        <f t="shared" si="83"/>
        <v>0.15244596604266952</v>
      </c>
      <c r="G155" s="35">
        <f t="shared" si="83"/>
        <v>0.09166900999604402</v>
      </c>
      <c r="H155" s="35">
        <f t="shared" si="83"/>
        <v>0.09166900999604402</v>
      </c>
      <c r="I155" s="35">
        <f t="shared" si="83"/>
        <v>0.07107430736309836</v>
      </c>
      <c r="J155" s="35">
        <f t="shared" si="83"/>
        <v>0.010297351316472829</v>
      </c>
      <c r="K155" s="35">
        <f t="shared" si="83"/>
        <v>0</v>
      </c>
      <c r="L155" s="35">
        <f t="shared" si="83"/>
        <v>0</v>
      </c>
    </row>
    <row r="156" spans="1:12" ht="12.75">
      <c r="A156" s="15" t="s">
        <v>300</v>
      </c>
      <c r="B156" s="35">
        <f>C541</f>
        <v>0.044889938976466655</v>
      </c>
      <c r="C156" s="35">
        <f aca="true" t="shared" si="84" ref="C156:L156">D541</f>
        <v>0.20200472539409997</v>
      </c>
      <c r="D156" s="35">
        <f t="shared" si="84"/>
        <v>0.2503477365995256</v>
      </c>
      <c r="E156" s="35">
        <f t="shared" si="84"/>
        <v>0.24689466437056662</v>
      </c>
      <c r="F156" s="35">
        <f t="shared" si="84"/>
        <v>0.23480891156921022</v>
      </c>
      <c r="G156" s="35">
        <f t="shared" si="84"/>
        <v>0.15366171418867433</v>
      </c>
      <c r="H156" s="35">
        <f t="shared" si="84"/>
        <v>0.15366171418867433</v>
      </c>
      <c r="I156" s="35">
        <f t="shared" si="84"/>
        <v>0.1053187029832487</v>
      </c>
      <c r="J156" s="35">
        <f t="shared" si="84"/>
        <v>0.024171505602712817</v>
      </c>
      <c r="K156" s="35">
        <f t="shared" si="84"/>
        <v>0</v>
      </c>
      <c r="L156" s="35">
        <f t="shared" si="84"/>
        <v>0</v>
      </c>
    </row>
    <row r="157" spans="1:12" ht="12.75">
      <c r="A157" s="34" t="s">
        <v>126</v>
      </c>
      <c r="B157" s="18">
        <f>SUM(B155:B156)</f>
        <v>0.09022086804838295</v>
      </c>
      <c r="C157" s="18">
        <f aca="true" t="shared" si="85" ref="C157:L157">SUM(C155:C156)</f>
        <v>0.49771937441235686</v>
      </c>
      <c r="D157" s="18">
        <f t="shared" si="85"/>
        <v>0.5666570882507281</v>
      </c>
      <c r="E157" s="18">
        <f t="shared" si="85"/>
        <v>0.4044893060714726</v>
      </c>
      <c r="F157" s="18">
        <f t="shared" si="85"/>
        <v>0.3872548776118797</v>
      </c>
      <c r="G157" s="18">
        <f t="shared" si="85"/>
        <v>0.24533072418471835</v>
      </c>
      <c r="H157" s="18">
        <f t="shared" si="85"/>
        <v>0.24533072418471835</v>
      </c>
      <c r="I157" s="18">
        <f t="shared" si="85"/>
        <v>0.17639301034634708</v>
      </c>
      <c r="J157" s="18">
        <f t="shared" si="85"/>
        <v>0.03446885691918564</v>
      </c>
      <c r="K157" s="18">
        <f t="shared" si="85"/>
        <v>0</v>
      </c>
      <c r="L157" s="18">
        <f t="shared" si="85"/>
        <v>0</v>
      </c>
    </row>
    <row r="158" spans="1:12" ht="12.75">
      <c r="A158" s="34" t="s">
        <v>298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15" t="s">
        <v>156</v>
      </c>
      <c r="B159" s="35">
        <f>C518</f>
        <v>3.826362243723112</v>
      </c>
      <c r="C159" s="35">
        <f aca="true" t="shared" si="86" ref="C159:L159">D518</f>
        <v>3.826362243723112</v>
      </c>
      <c r="D159" s="35">
        <f t="shared" si="86"/>
        <v>3.826362243723112</v>
      </c>
      <c r="E159" s="35">
        <f t="shared" si="86"/>
        <v>3.826362243723112</v>
      </c>
      <c r="F159" s="35">
        <f t="shared" si="86"/>
        <v>0</v>
      </c>
      <c r="G159" s="35">
        <f t="shared" si="86"/>
        <v>0</v>
      </c>
      <c r="H159" s="35">
        <f t="shared" si="86"/>
        <v>0</v>
      </c>
      <c r="I159" s="35">
        <f t="shared" si="86"/>
        <v>0</v>
      </c>
      <c r="J159" s="35">
        <f t="shared" si="86"/>
        <v>0</v>
      </c>
      <c r="K159" s="35">
        <f t="shared" si="86"/>
        <v>0</v>
      </c>
      <c r="L159" s="35">
        <f t="shared" si="86"/>
        <v>0</v>
      </c>
    </row>
    <row r="160" spans="1:12" ht="12.75">
      <c r="A160" s="15" t="s">
        <v>157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</row>
    <row r="161" spans="1:12" ht="12.75">
      <c r="A161" s="15" t="s">
        <v>122</v>
      </c>
      <c r="B161" s="35">
        <f>C526</f>
        <v>0.016367111403085458</v>
      </c>
      <c r="C161" s="35">
        <f aca="true" t="shared" si="87" ref="C161:L161">D526</f>
        <v>0.016367111403085458</v>
      </c>
      <c r="D161" s="35">
        <f t="shared" si="87"/>
        <v>0.016367111403085458</v>
      </c>
      <c r="E161" s="35">
        <f t="shared" si="87"/>
        <v>0.016367111403085458</v>
      </c>
      <c r="F161" s="35">
        <f t="shared" si="87"/>
        <v>0</v>
      </c>
      <c r="G161" s="35">
        <f t="shared" si="87"/>
        <v>0</v>
      </c>
      <c r="H161" s="35">
        <f t="shared" si="87"/>
        <v>0</v>
      </c>
      <c r="I161" s="35">
        <f t="shared" si="87"/>
        <v>0</v>
      </c>
      <c r="J161" s="35">
        <f t="shared" si="87"/>
        <v>0</v>
      </c>
      <c r="K161" s="35">
        <f t="shared" si="87"/>
        <v>0</v>
      </c>
      <c r="L161" s="35">
        <f t="shared" si="87"/>
        <v>0</v>
      </c>
    </row>
    <row r="162" spans="1:12" ht="12.75">
      <c r="A162" s="15" t="s">
        <v>301</v>
      </c>
      <c r="B162" s="35">
        <f>C549+C590</f>
        <v>1.630983099288411</v>
      </c>
      <c r="C162" s="35">
        <f aca="true" t="shared" si="88" ref="C162:L162">D549+D590</f>
        <v>0.466094286180196</v>
      </c>
      <c r="D162" s="35">
        <f t="shared" si="88"/>
        <v>0.466094286180196</v>
      </c>
      <c r="E162" s="35">
        <f t="shared" si="88"/>
        <v>0.466094286180196</v>
      </c>
      <c r="F162" s="35">
        <f t="shared" si="88"/>
        <v>0</v>
      </c>
      <c r="G162" s="35">
        <f t="shared" si="88"/>
        <v>0</v>
      </c>
      <c r="H162" s="35">
        <f t="shared" si="88"/>
        <v>0</v>
      </c>
      <c r="I162" s="35">
        <f t="shared" si="88"/>
        <v>0</v>
      </c>
      <c r="J162" s="35">
        <f t="shared" si="88"/>
        <v>0</v>
      </c>
      <c r="K162" s="35">
        <f t="shared" si="88"/>
        <v>0</v>
      </c>
      <c r="L162" s="35">
        <f t="shared" si="88"/>
        <v>0</v>
      </c>
    </row>
    <row r="163" spans="1:12" ht="12.75">
      <c r="A163" s="34" t="s">
        <v>75</v>
      </c>
      <c r="B163" s="18">
        <f>SUM(B159:B162)</f>
        <v>5.473712454414608</v>
      </c>
      <c r="C163" s="18">
        <f aca="true" t="shared" si="89" ref="C163:L163">SUM(C159:C162)</f>
        <v>4.308823641306393</v>
      </c>
      <c r="D163" s="18">
        <f t="shared" si="89"/>
        <v>4.308823641306393</v>
      </c>
      <c r="E163" s="18">
        <f t="shared" si="89"/>
        <v>4.308823641306393</v>
      </c>
      <c r="F163" s="18">
        <f t="shared" si="89"/>
        <v>0</v>
      </c>
      <c r="G163" s="18">
        <f t="shared" si="89"/>
        <v>0</v>
      </c>
      <c r="H163" s="18">
        <f t="shared" si="89"/>
        <v>0</v>
      </c>
      <c r="I163" s="18">
        <f t="shared" si="89"/>
        <v>0</v>
      </c>
      <c r="J163" s="18">
        <f t="shared" si="89"/>
        <v>0</v>
      </c>
      <c r="K163" s="18">
        <f t="shared" si="89"/>
        <v>0</v>
      </c>
      <c r="L163" s="18">
        <f t="shared" si="89"/>
        <v>0</v>
      </c>
    </row>
    <row r="164" spans="1:12" ht="12.75">
      <c r="A164" s="15" t="s">
        <v>125</v>
      </c>
      <c r="B164" s="35">
        <f>C527</f>
        <v>0.267108525531439</v>
      </c>
      <c r="C164" s="35">
        <f aca="true" t="shared" si="90" ref="C164:L164">D527</f>
        <v>0.267108525531439</v>
      </c>
      <c r="D164" s="35">
        <f t="shared" si="90"/>
        <v>0.267108525531439</v>
      </c>
      <c r="E164" s="35">
        <f t="shared" si="90"/>
        <v>0.267108525531439</v>
      </c>
      <c r="F164" s="35">
        <f t="shared" si="90"/>
        <v>0</v>
      </c>
      <c r="G164" s="35">
        <f t="shared" si="90"/>
        <v>0</v>
      </c>
      <c r="H164" s="35">
        <f t="shared" si="90"/>
        <v>0</v>
      </c>
      <c r="I164" s="35">
        <f t="shared" si="90"/>
        <v>0</v>
      </c>
      <c r="J164" s="35">
        <f t="shared" si="90"/>
        <v>0</v>
      </c>
      <c r="K164" s="35">
        <f t="shared" si="90"/>
        <v>0</v>
      </c>
      <c r="L164" s="35">
        <f t="shared" si="90"/>
        <v>0</v>
      </c>
    </row>
    <row r="165" spans="1:12" ht="12.75">
      <c r="A165" s="15" t="s">
        <v>300</v>
      </c>
      <c r="B165" s="35">
        <f>C550</f>
        <v>0.31940918117870504</v>
      </c>
      <c r="C165" s="35">
        <f aca="true" t="shared" si="91" ref="C165:L165">D550</f>
        <v>0.31940918117870504</v>
      </c>
      <c r="D165" s="35">
        <f t="shared" si="91"/>
        <v>0.31940918117870504</v>
      </c>
      <c r="E165" s="35">
        <f t="shared" si="91"/>
        <v>0.31940918117870504</v>
      </c>
      <c r="F165" s="35">
        <f t="shared" si="91"/>
        <v>0</v>
      </c>
      <c r="G165" s="35">
        <f t="shared" si="91"/>
        <v>0</v>
      </c>
      <c r="H165" s="35">
        <f t="shared" si="91"/>
        <v>0</v>
      </c>
      <c r="I165" s="35">
        <f t="shared" si="91"/>
        <v>0</v>
      </c>
      <c r="J165" s="35">
        <f t="shared" si="91"/>
        <v>0</v>
      </c>
      <c r="K165" s="35">
        <f t="shared" si="91"/>
        <v>0</v>
      </c>
      <c r="L165" s="35">
        <f t="shared" si="91"/>
        <v>0</v>
      </c>
    </row>
    <row r="166" spans="1:12" ht="12.75">
      <c r="A166" s="34" t="s">
        <v>126</v>
      </c>
      <c r="B166" s="18">
        <f>SUM(B164:B165)</f>
        <v>0.586517706710144</v>
      </c>
      <c r="C166" s="18">
        <f aca="true" t="shared" si="92" ref="C166:L166">SUM(C164:C165)</f>
        <v>0.586517706710144</v>
      </c>
      <c r="D166" s="18">
        <f t="shared" si="92"/>
        <v>0.586517706710144</v>
      </c>
      <c r="E166" s="18">
        <f t="shared" si="92"/>
        <v>0.586517706710144</v>
      </c>
      <c r="F166" s="18">
        <f t="shared" si="92"/>
        <v>0</v>
      </c>
      <c r="G166" s="18">
        <f t="shared" si="92"/>
        <v>0</v>
      </c>
      <c r="H166" s="18">
        <f t="shared" si="92"/>
        <v>0</v>
      </c>
      <c r="I166" s="18">
        <f t="shared" si="92"/>
        <v>0</v>
      </c>
      <c r="J166" s="18">
        <f t="shared" si="92"/>
        <v>0</v>
      </c>
      <c r="K166" s="18">
        <f t="shared" si="92"/>
        <v>0</v>
      </c>
      <c r="L166" s="18">
        <f t="shared" si="92"/>
        <v>0</v>
      </c>
    </row>
    <row r="167" spans="1:12" ht="12.75">
      <c r="A167" s="17" t="s">
        <v>191</v>
      </c>
      <c r="B167" s="18">
        <f>B154+B157+B163+B166</f>
        <v>7.110991879060684</v>
      </c>
      <c r="C167" s="18">
        <f aca="true" t="shared" si="93" ref="C167:L167">C154+C157+C163+C166</f>
        <v>7.7118223954296665</v>
      </c>
      <c r="D167" s="18">
        <f t="shared" si="93"/>
        <v>8.100731815506405</v>
      </c>
      <c r="E167" s="18">
        <f t="shared" si="93"/>
        <v>8.530689002346305</v>
      </c>
      <c r="F167" s="18">
        <f t="shared" si="93"/>
        <v>2.9636132760307663</v>
      </c>
      <c r="G167" s="18">
        <f t="shared" si="93"/>
        <v>1.7865156923392642</v>
      </c>
      <c r="H167" s="18">
        <f t="shared" si="93"/>
        <v>1.4516472304514618</v>
      </c>
      <c r="I167" s="18">
        <f t="shared" si="93"/>
        <v>1.3827095166130905</v>
      </c>
      <c r="J167" s="18">
        <f t="shared" si="93"/>
        <v>0.05085964204888766</v>
      </c>
      <c r="K167" s="18">
        <f t="shared" si="93"/>
        <v>0</v>
      </c>
      <c r="L167" s="18">
        <f t="shared" si="93"/>
        <v>0</v>
      </c>
    </row>
    <row r="168" spans="1:14" ht="12.75">
      <c r="A168" s="2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27"/>
      <c r="N168" s="27"/>
    </row>
    <row r="169" spans="1:14" ht="12.75">
      <c r="A169" s="133" t="s">
        <v>215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</row>
    <row r="170" spans="1:14" ht="12.75">
      <c r="A170" s="134" t="str">
        <f>$B$1&amp;" Equipment and Motor Vehicle Numbers"</f>
        <v>Mira Loma Construction Equipment and Motor Vehicle Numbers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1:14" ht="12.75">
      <c r="A171" s="132" t="s">
        <v>145</v>
      </c>
      <c r="B171" s="136" t="s">
        <v>2</v>
      </c>
      <c r="C171" s="139" t="s">
        <v>144</v>
      </c>
      <c r="D171" s="132" t="s">
        <v>143</v>
      </c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</row>
    <row r="172" spans="1:14" ht="25.5" customHeight="1">
      <c r="A172" s="135"/>
      <c r="B172" s="138"/>
      <c r="C172" s="138"/>
      <c r="D172" s="60">
        <f>DATE(2007,2,26)</f>
        <v>39139</v>
      </c>
      <c r="E172" s="60">
        <f aca="true" t="shared" si="94" ref="E172:N172">D172+14</f>
        <v>39153</v>
      </c>
      <c r="F172" s="60">
        <f t="shared" si="94"/>
        <v>39167</v>
      </c>
      <c r="G172" s="60">
        <f t="shared" si="94"/>
        <v>39181</v>
      </c>
      <c r="H172" s="60">
        <f t="shared" si="94"/>
        <v>39195</v>
      </c>
      <c r="I172" s="60">
        <f t="shared" si="94"/>
        <v>39209</v>
      </c>
      <c r="J172" s="60">
        <f t="shared" si="94"/>
        <v>39223</v>
      </c>
      <c r="K172" s="60">
        <f t="shared" si="94"/>
        <v>39237</v>
      </c>
      <c r="L172" s="60">
        <f t="shared" si="94"/>
        <v>39251</v>
      </c>
      <c r="M172" s="60">
        <f t="shared" si="94"/>
        <v>39265</v>
      </c>
      <c r="N172" s="60">
        <f t="shared" si="94"/>
        <v>39279</v>
      </c>
    </row>
    <row r="173" spans="1:14" ht="12.75" customHeight="1">
      <c r="A173" s="34" t="s">
        <v>297</v>
      </c>
      <c r="B173" s="92"/>
      <c r="C173" s="92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</row>
    <row r="174" spans="1:14" ht="12.75">
      <c r="A174" s="61" t="s">
        <v>146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</row>
    <row r="175" spans="1:14" ht="12.75">
      <c r="A175" s="59" t="s">
        <v>138</v>
      </c>
      <c r="B175" s="5" t="str">
        <f>VLOOKUP(A175,'Const. Equip. EFs'!$A$5:$B$19,2,FALSE)</f>
        <v>D</v>
      </c>
      <c r="C175" s="21">
        <v>6</v>
      </c>
      <c r="D175" s="5">
        <v>2</v>
      </c>
      <c r="E175" s="5">
        <v>2</v>
      </c>
      <c r="F175" s="5">
        <v>2</v>
      </c>
      <c r="G175" s="5">
        <v>2</v>
      </c>
      <c r="H175" s="5">
        <v>2</v>
      </c>
      <c r="I175" s="5">
        <v>2</v>
      </c>
      <c r="J175" s="5">
        <v>1</v>
      </c>
      <c r="K175" s="5">
        <v>1</v>
      </c>
      <c r="L175" s="5">
        <v>0</v>
      </c>
      <c r="M175" s="6">
        <v>0</v>
      </c>
      <c r="N175" s="6">
        <v>0</v>
      </c>
    </row>
    <row r="176" spans="1:14" ht="12.75">
      <c r="A176" s="59" t="s">
        <v>139</v>
      </c>
      <c r="B176" s="5" t="str">
        <f>VLOOKUP(A176,'Const. Equip. EFs'!$A$5:$B$19,2,FALSE)</f>
        <v>D</v>
      </c>
      <c r="C176" s="21">
        <v>6</v>
      </c>
      <c r="D176" s="5">
        <v>1</v>
      </c>
      <c r="E176" s="5">
        <v>2</v>
      </c>
      <c r="F176" s="5">
        <v>2</v>
      </c>
      <c r="G176" s="5">
        <v>1</v>
      </c>
      <c r="H176" s="5">
        <v>1</v>
      </c>
      <c r="I176" s="5">
        <v>0</v>
      </c>
      <c r="J176" s="5">
        <v>0</v>
      </c>
      <c r="K176" s="5">
        <v>0</v>
      </c>
      <c r="L176" s="5">
        <v>0</v>
      </c>
      <c r="M176" s="6">
        <v>0</v>
      </c>
      <c r="N176" s="6">
        <v>0</v>
      </c>
    </row>
    <row r="177" spans="1:14" ht="12.75">
      <c r="A177" s="59" t="s">
        <v>140</v>
      </c>
      <c r="B177" s="5" t="str">
        <f>VLOOKUP(A177,'Const. Equip. EFs'!$A$5:$B$19,2,FALSE)</f>
        <v>D</v>
      </c>
      <c r="C177" s="21">
        <v>6</v>
      </c>
      <c r="D177" s="5">
        <v>1</v>
      </c>
      <c r="E177" s="5">
        <v>2</v>
      </c>
      <c r="F177" s="5">
        <v>4</v>
      </c>
      <c r="G177" s="5">
        <v>4</v>
      </c>
      <c r="H177" s="5">
        <v>4</v>
      </c>
      <c r="I177" s="5">
        <v>3</v>
      </c>
      <c r="J177" s="5">
        <v>2</v>
      </c>
      <c r="K177" s="5">
        <v>2</v>
      </c>
      <c r="L177" s="5">
        <v>0</v>
      </c>
      <c r="M177" s="6">
        <v>0</v>
      </c>
      <c r="N177" s="6">
        <v>0</v>
      </c>
    </row>
    <row r="178" spans="1:14" ht="12.75">
      <c r="A178" s="59" t="s">
        <v>155</v>
      </c>
      <c r="B178" s="5" t="str">
        <f>VLOOKUP(A178,'Const. Equip. EFs'!$A$5:$B$19,2,FALSE)</f>
        <v>D</v>
      </c>
      <c r="C178" s="21">
        <v>6</v>
      </c>
      <c r="D178" s="5">
        <v>0</v>
      </c>
      <c r="E178" s="5">
        <v>1</v>
      </c>
      <c r="F178" s="5">
        <v>1</v>
      </c>
      <c r="G178" s="5">
        <v>1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6">
        <v>0</v>
      </c>
      <c r="N178" s="6">
        <v>0</v>
      </c>
    </row>
    <row r="179" spans="1:14" ht="12.75">
      <c r="A179" s="59" t="s">
        <v>141</v>
      </c>
      <c r="B179" s="5" t="str">
        <f>VLOOKUP(A179,'Const. Equip. EFs'!$A$5:$B$19,2,FALSE)</f>
        <v>D</v>
      </c>
      <c r="C179" s="21">
        <v>6</v>
      </c>
      <c r="D179" s="5">
        <v>0</v>
      </c>
      <c r="E179" s="5">
        <v>1</v>
      </c>
      <c r="F179" s="5">
        <v>1</v>
      </c>
      <c r="G179" s="5">
        <v>3</v>
      </c>
      <c r="H179" s="5">
        <v>2</v>
      </c>
      <c r="I179" s="5">
        <v>2</v>
      </c>
      <c r="J179" s="5">
        <v>2</v>
      </c>
      <c r="K179" s="5">
        <v>2</v>
      </c>
      <c r="L179" s="5">
        <v>0</v>
      </c>
      <c r="M179" s="6">
        <v>0</v>
      </c>
      <c r="N179" s="6">
        <v>0</v>
      </c>
    </row>
    <row r="180" spans="1:14" ht="12.75">
      <c r="A180" s="59" t="s">
        <v>142</v>
      </c>
      <c r="B180" s="5" t="str">
        <f>VLOOKUP(A180,'Const. Equip. EFs'!$A$5:$B$19,2,FALSE)</f>
        <v>D</v>
      </c>
      <c r="C180" s="21">
        <v>6</v>
      </c>
      <c r="D180" s="5">
        <v>0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6">
        <v>0</v>
      </c>
      <c r="N180" s="6">
        <v>0</v>
      </c>
    </row>
    <row r="181" spans="1:14" ht="12.75">
      <c r="A181" s="61" t="s">
        <v>147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</row>
    <row r="182" spans="1:14" ht="12.75">
      <c r="A182" s="57" t="s">
        <v>46</v>
      </c>
      <c r="B182" s="5" t="s">
        <v>10</v>
      </c>
      <c r="C182" s="5">
        <v>25</v>
      </c>
      <c r="D182" s="5">
        <v>1</v>
      </c>
      <c r="E182" s="5">
        <v>2</v>
      </c>
      <c r="F182" s="5">
        <v>2</v>
      </c>
      <c r="G182" s="5">
        <v>3</v>
      </c>
      <c r="H182" s="5">
        <v>3</v>
      </c>
      <c r="I182" s="5">
        <v>2</v>
      </c>
      <c r="J182" s="5">
        <v>2</v>
      </c>
      <c r="K182" s="5">
        <v>2</v>
      </c>
      <c r="L182" s="5">
        <v>1</v>
      </c>
      <c r="M182" s="6"/>
      <c r="N182" s="6">
        <v>0</v>
      </c>
    </row>
    <row r="183" spans="1:14" ht="12.75">
      <c r="A183" s="59" t="s">
        <v>148</v>
      </c>
      <c r="B183" s="5" t="s">
        <v>5</v>
      </c>
      <c r="C183" s="5">
        <v>50</v>
      </c>
      <c r="D183" s="5">
        <v>1</v>
      </c>
      <c r="E183" s="5">
        <v>2</v>
      </c>
      <c r="F183" s="5">
        <v>2</v>
      </c>
      <c r="G183" s="5">
        <v>1</v>
      </c>
      <c r="H183" s="5">
        <v>1</v>
      </c>
      <c r="I183" s="5">
        <v>0</v>
      </c>
      <c r="J183" s="5">
        <v>0</v>
      </c>
      <c r="K183" s="5">
        <v>0</v>
      </c>
      <c r="L183" s="5">
        <v>0</v>
      </c>
      <c r="M183" s="6">
        <v>0</v>
      </c>
      <c r="N183" s="6">
        <v>0</v>
      </c>
    </row>
    <row r="184" spans="1:14" ht="12.75">
      <c r="A184" s="59" t="s">
        <v>149</v>
      </c>
      <c r="B184" s="5" t="s">
        <v>5</v>
      </c>
      <c r="C184" s="5">
        <v>50</v>
      </c>
      <c r="D184" s="5">
        <v>0</v>
      </c>
      <c r="E184" s="5">
        <v>5</v>
      </c>
      <c r="F184" s="5">
        <v>5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ht="12.75">
      <c r="A185" s="59" t="s">
        <v>150</v>
      </c>
      <c r="B185" s="5" t="s">
        <v>5</v>
      </c>
      <c r="C185" s="5">
        <v>50</v>
      </c>
      <c r="D185" s="5">
        <v>0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/>
      <c r="M185" s="6"/>
      <c r="N185" s="6">
        <v>0</v>
      </c>
    </row>
    <row r="186" spans="1:14" ht="12.75">
      <c r="A186" s="15" t="s">
        <v>47</v>
      </c>
      <c r="B186" s="5" t="s">
        <v>10</v>
      </c>
      <c r="C186" s="5">
        <v>35</v>
      </c>
      <c r="D186" s="5">
        <v>6</v>
      </c>
      <c r="E186" s="5">
        <v>22</v>
      </c>
      <c r="F186" s="5">
        <v>30</v>
      </c>
      <c r="G186" s="5">
        <v>38</v>
      </c>
      <c r="H186" s="5">
        <v>36</v>
      </c>
      <c r="I186" s="5">
        <v>24</v>
      </c>
      <c r="J186" s="5">
        <v>24</v>
      </c>
      <c r="K186" s="5">
        <v>16</v>
      </c>
      <c r="L186" s="5">
        <v>4</v>
      </c>
      <c r="M186" s="6">
        <v>0</v>
      </c>
      <c r="N186" s="6">
        <v>0</v>
      </c>
    </row>
    <row r="187" spans="1:14" ht="12.75">
      <c r="A187" s="34" t="s">
        <v>298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</row>
    <row r="188" spans="1:14" ht="12.75">
      <c r="A188" s="61" t="s">
        <v>146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</row>
    <row r="189" spans="1:14" ht="12.75">
      <c r="A189" s="59" t="s">
        <v>288</v>
      </c>
      <c r="B189" s="2" t="s">
        <v>5</v>
      </c>
      <c r="C189" s="21">
        <v>6</v>
      </c>
      <c r="D189" s="21">
        <v>4</v>
      </c>
      <c r="E189" s="21">
        <v>4</v>
      </c>
      <c r="F189" s="21">
        <v>4</v>
      </c>
      <c r="G189" s="21">
        <v>4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ht="12.75">
      <c r="A190" s="59" t="s">
        <v>289</v>
      </c>
      <c r="B190" s="2" t="s">
        <v>5</v>
      </c>
      <c r="C190" s="21">
        <v>6</v>
      </c>
      <c r="D190" s="21">
        <v>1</v>
      </c>
      <c r="E190" s="21">
        <v>1</v>
      </c>
      <c r="F190" s="21">
        <v>1</v>
      </c>
      <c r="G190" s="21">
        <v>1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</row>
    <row r="191" spans="1:14" ht="12.75">
      <c r="A191" s="59" t="s">
        <v>290</v>
      </c>
      <c r="B191" s="2" t="s">
        <v>5</v>
      </c>
      <c r="C191" s="21">
        <v>3</v>
      </c>
      <c r="D191" s="21">
        <v>2</v>
      </c>
      <c r="E191" s="21">
        <v>2</v>
      </c>
      <c r="F191" s="21">
        <v>2</v>
      </c>
      <c r="G191" s="21">
        <v>2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ht="12.75">
      <c r="A192" s="59" t="s">
        <v>291</v>
      </c>
      <c r="B192" s="2" t="s">
        <v>5</v>
      </c>
      <c r="C192" s="21">
        <v>5</v>
      </c>
      <c r="D192" s="21">
        <v>2</v>
      </c>
      <c r="E192" s="21">
        <v>2</v>
      </c>
      <c r="F192" s="21">
        <v>2</v>
      </c>
      <c r="G192" s="21">
        <v>2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</row>
    <row r="193" spans="1:14" ht="12.75">
      <c r="A193" s="59" t="s">
        <v>292</v>
      </c>
      <c r="B193" s="2" t="s">
        <v>5</v>
      </c>
      <c r="C193" s="21">
        <v>4</v>
      </c>
      <c r="D193" s="21">
        <v>1</v>
      </c>
      <c r="E193" s="21">
        <v>1</v>
      </c>
      <c r="F193" s="21">
        <v>1</v>
      </c>
      <c r="G193" s="21">
        <v>1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ht="12.75">
      <c r="A194" s="59" t="s">
        <v>293</v>
      </c>
      <c r="B194" s="2" t="s">
        <v>5</v>
      </c>
      <c r="C194" s="21">
        <v>6</v>
      </c>
      <c r="D194" s="21">
        <v>1</v>
      </c>
      <c r="E194" s="21">
        <v>1</v>
      </c>
      <c r="F194" s="21">
        <v>1</v>
      </c>
      <c r="G194" s="21">
        <v>1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</row>
    <row r="195" spans="1:14" ht="12.75">
      <c r="A195" s="59" t="s">
        <v>294</v>
      </c>
      <c r="B195" s="2" t="s">
        <v>5</v>
      </c>
      <c r="C195" s="21">
        <v>4</v>
      </c>
      <c r="D195" s="21">
        <v>2</v>
      </c>
      <c r="E195" s="21">
        <v>2</v>
      </c>
      <c r="F195" s="21">
        <v>2</v>
      </c>
      <c r="G195" s="21">
        <v>2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ht="12.75">
      <c r="A196" s="59" t="s">
        <v>295</v>
      </c>
      <c r="B196" s="2" t="s">
        <v>5</v>
      </c>
      <c r="C196" s="21">
        <v>4</v>
      </c>
      <c r="D196" s="21">
        <v>1</v>
      </c>
      <c r="E196" s="21">
        <v>1</v>
      </c>
      <c r="F196" s="21">
        <v>1</v>
      </c>
      <c r="G196" s="21">
        <v>1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</row>
    <row r="197" spans="1:14" ht="12.75">
      <c r="A197" s="59" t="s">
        <v>296</v>
      </c>
      <c r="B197" s="2" t="s">
        <v>5</v>
      </c>
      <c r="C197" s="21">
        <v>6</v>
      </c>
      <c r="D197" s="21">
        <v>1</v>
      </c>
      <c r="E197" s="21">
        <v>1</v>
      </c>
      <c r="F197" s="21">
        <v>1</v>
      </c>
      <c r="G197" s="21">
        <v>1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</row>
    <row r="198" spans="1:14" ht="12.75">
      <c r="A198" s="61" t="s">
        <v>147</v>
      </c>
      <c r="B198" s="5"/>
      <c r="C198" s="21"/>
      <c r="D198" s="21"/>
      <c r="E198" s="21"/>
      <c r="F198" s="21"/>
      <c r="G198" s="21"/>
      <c r="H198" s="5"/>
      <c r="I198" s="5"/>
      <c r="J198" s="5"/>
      <c r="K198" s="5"/>
      <c r="L198" s="5"/>
      <c r="M198" s="5"/>
      <c r="N198" s="5"/>
    </row>
    <row r="199" spans="1:14" ht="12.75">
      <c r="A199" s="15" t="s">
        <v>46</v>
      </c>
      <c r="B199" s="5" t="s">
        <v>10</v>
      </c>
      <c r="C199" s="21">
        <v>20</v>
      </c>
      <c r="D199" s="21">
        <v>3</v>
      </c>
      <c r="E199" s="21">
        <v>3</v>
      </c>
      <c r="F199" s="21">
        <v>3</v>
      </c>
      <c r="G199" s="21">
        <v>3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ht="12.75">
      <c r="A200" s="15" t="s">
        <v>148</v>
      </c>
      <c r="B200" s="2" t="s">
        <v>5</v>
      </c>
      <c r="C200" s="21">
        <v>30</v>
      </c>
      <c r="D200" s="21">
        <v>3</v>
      </c>
      <c r="E200" s="21">
        <v>3</v>
      </c>
      <c r="F200" s="21">
        <v>3</v>
      </c>
      <c r="G200" s="21">
        <v>3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ht="12.75">
      <c r="A201" s="15" t="s">
        <v>299</v>
      </c>
      <c r="B201" s="2" t="s">
        <v>5</v>
      </c>
      <c r="C201" s="21">
        <v>20</v>
      </c>
      <c r="D201" s="21">
        <v>1</v>
      </c>
      <c r="E201" s="21">
        <v>1</v>
      </c>
      <c r="F201" s="21">
        <v>1</v>
      </c>
      <c r="G201" s="21">
        <v>1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ht="12.75">
      <c r="A202" s="15" t="s">
        <v>149</v>
      </c>
      <c r="B202" s="2" t="s">
        <v>5</v>
      </c>
      <c r="C202" s="21">
        <v>80</v>
      </c>
      <c r="D202" s="21">
        <v>1</v>
      </c>
      <c r="E202" s="21">
        <v>1</v>
      </c>
      <c r="F202" s="21">
        <v>1</v>
      </c>
      <c r="G202" s="21">
        <v>1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</row>
    <row r="203" spans="1:14" ht="12.75">
      <c r="A203" s="15" t="s">
        <v>150</v>
      </c>
      <c r="B203" s="2" t="s">
        <v>5</v>
      </c>
      <c r="C203" s="21">
        <v>80</v>
      </c>
      <c r="D203" s="21">
        <v>1</v>
      </c>
      <c r="E203" s="21">
        <v>1</v>
      </c>
      <c r="F203" s="21">
        <v>1</v>
      </c>
      <c r="G203" s="21">
        <v>1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</row>
    <row r="204" spans="1:14" ht="12.75">
      <c r="A204" s="15" t="s">
        <v>47</v>
      </c>
      <c r="B204" s="5" t="s">
        <v>10</v>
      </c>
      <c r="C204" s="21">
        <v>80</v>
      </c>
      <c r="D204" s="21">
        <v>20</v>
      </c>
      <c r="E204" s="21">
        <v>20</v>
      </c>
      <c r="F204" s="21">
        <v>20</v>
      </c>
      <c r="G204" s="21">
        <v>20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</row>
    <row r="205" spans="1:14" ht="12.75">
      <c r="A205" s="12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22"/>
      <c r="N205" s="122"/>
    </row>
    <row r="206" spans="1:14" s="7" customFormat="1" ht="12.75">
      <c r="A206" s="133" t="s">
        <v>216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48"/>
    </row>
    <row r="207" spans="1:14" s="7" customFormat="1" ht="12.75">
      <c r="A207" s="134" t="str">
        <f>$B$1&amp;" Equipment and Motor Vehicle Use"</f>
        <v>Mira Loma Construction Equipment and Motor Vehicle Use</v>
      </c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33"/>
    </row>
    <row r="208" spans="1:14" ht="12.75">
      <c r="A208" s="132" t="str">
        <f>A171</f>
        <v>Equipment/Vehicle Type</v>
      </c>
      <c r="B208" s="132" t="s">
        <v>2</v>
      </c>
      <c r="C208" s="132" t="s">
        <v>165</v>
      </c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7"/>
    </row>
    <row r="209" spans="1:13" ht="12.75">
      <c r="A209" s="135"/>
      <c r="B209" s="141"/>
      <c r="C209" s="60">
        <f>DATE(2007,2,26)</f>
        <v>39139</v>
      </c>
      <c r="D209" s="60">
        <f aca="true" t="shared" si="95" ref="D209:M209">C209+14</f>
        <v>39153</v>
      </c>
      <c r="E209" s="60">
        <f t="shared" si="95"/>
        <v>39167</v>
      </c>
      <c r="F209" s="60">
        <f t="shared" si="95"/>
        <v>39181</v>
      </c>
      <c r="G209" s="60">
        <f t="shared" si="95"/>
        <v>39195</v>
      </c>
      <c r="H209" s="60">
        <f t="shared" si="95"/>
        <v>39209</v>
      </c>
      <c r="I209" s="60">
        <f t="shared" si="95"/>
        <v>39223</v>
      </c>
      <c r="J209" s="60">
        <f t="shared" si="95"/>
        <v>39237</v>
      </c>
      <c r="K209" s="60">
        <f t="shared" si="95"/>
        <v>39251</v>
      </c>
      <c r="L209" s="60">
        <f t="shared" si="95"/>
        <v>39265</v>
      </c>
      <c r="M209" s="60">
        <f t="shared" si="95"/>
        <v>39279</v>
      </c>
    </row>
    <row r="210" spans="1:13" ht="12.75">
      <c r="A210" s="61" t="str">
        <f aca="true" t="shared" si="96" ref="A210:A225">A173</f>
        <v>Power Plant</v>
      </c>
      <c r="B210" s="5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ht="12.75">
      <c r="A211" s="61" t="str">
        <f t="shared" si="96"/>
        <v>Construction Equipment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7" t="str">
        <f t="shared" si="96"/>
        <v>Welding rigs</v>
      </c>
      <c r="B212" s="6" t="str">
        <f aca="true" t="shared" si="97" ref="B212:B217">B175</f>
        <v>D</v>
      </c>
      <c r="C212" s="32">
        <f aca="true" t="shared" si="98" ref="C212:M212">$C175*D175</f>
        <v>12</v>
      </c>
      <c r="D212" s="32">
        <f t="shared" si="98"/>
        <v>12</v>
      </c>
      <c r="E212" s="32">
        <f t="shared" si="98"/>
        <v>12</v>
      </c>
      <c r="F212" s="32">
        <f t="shared" si="98"/>
        <v>12</v>
      </c>
      <c r="G212" s="32">
        <f t="shared" si="98"/>
        <v>12</v>
      </c>
      <c r="H212" s="32">
        <f t="shared" si="98"/>
        <v>12</v>
      </c>
      <c r="I212" s="32">
        <f t="shared" si="98"/>
        <v>6</v>
      </c>
      <c r="J212" s="32">
        <f t="shared" si="98"/>
        <v>6</v>
      </c>
      <c r="K212" s="32">
        <f t="shared" si="98"/>
        <v>0</v>
      </c>
      <c r="L212" s="32">
        <f t="shared" si="98"/>
        <v>0</v>
      </c>
      <c r="M212" s="32">
        <f t="shared" si="98"/>
        <v>0</v>
      </c>
    </row>
    <row r="213" spans="1:13" ht="12.75">
      <c r="A213" s="57" t="str">
        <f t="shared" si="96"/>
        <v>Backhoe</v>
      </c>
      <c r="B213" s="6" t="str">
        <f t="shared" si="97"/>
        <v>D</v>
      </c>
      <c r="C213" s="32">
        <f aca="true" t="shared" si="99" ref="C213:M213">$C176*D176</f>
        <v>6</v>
      </c>
      <c r="D213" s="32">
        <f t="shared" si="99"/>
        <v>12</v>
      </c>
      <c r="E213" s="32">
        <f t="shared" si="99"/>
        <v>12</v>
      </c>
      <c r="F213" s="32">
        <f t="shared" si="99"/>
        <v>6</v>
      </c>
      <c r="G213" s="32">
        <f t="shared" si="99"/>
        <v>6</v>
      </c>
      <c r="H213" s="32">
        <f t="shared" si="99"/>
        <v>0</v>
      </c>
      <c r="I213" s="32">
        <f t="shared" si="99"/>
        <v>0</v>
      </c>
      <c r="J213" s="32">
        <f t="shared" si="99"/>
        <v>0</v>
      </c>
      <c r="K213" s="32">
        <f t="shared" si="99"/>
        <v>0</v>
      </c>
      <c r="L213" s="32">
        <f t="shared" si="99"/>
        <v>0</v>
      </c>
      <c r="M213" s="32">
        <f t="shared" si="99"/>
        <v>0</v>
      </c>
    </row>
    <row r="214" spans="1:13" ht="12.75">
      <c r="A214" s="57" t="str">
        <f t="shared" si="96"/>
        <v>Compressor</v>
      </c>
      <c r="B214" s="6" t="str">
        <f t="shared" si="97"/>
        <v>D</v>
      </c>
      <c r="C214" s="32">
        <f aca="true" t="shared" si="100" ref="C214:M214">$C177*D177</f>
        <v>6</v>
      </c>
      <c r="D214" s="32">
        <f t="shared" si="100"/>
        <v>12</v>
      </c>
      <c r="E214" s="32">
        <f t="shared" si="100"/>
        <v>24</v>
      </c>
      <c r="F214" s="32">
        <f t="shared" si="100"/>
        <v>24</v>
      </c>
      <c r="G214" s="32">
        <f t="shared" si="100"/>
        <v>24</v>
      </c>
      <c r="H214" s="32">
        <f t="shared" si="100"/>
        <v>18</v>
      </c>
      <c r="I214" s="32">
        <f t="shared" si="100"/>
        <v>12</v>
      </c>
      <c r="J214" s="32">
        <f t="shared" si="100"/>
        <v>12</v>
      </c>
      <c r="K214" s="32">
        <f t="shared" si="100"/>
        <v>0</v>
      </c>
      <c r="L214" s="32">
        <f t="shared" si="100"/>
        <v>0</v>
      </c>
      <c r="M214" s="32">
        <f t="shared" si="100"/>
        <v>0</v>
      </c>
    </row>
    <row r="215" spans="1:13" ht="12.75">
      <c r="A215" s="57" t="str">
        <f t="shared" si="96"/>
        <v>Front-end  loader</v>
      </c>
      <c r="B215" s="6" t="str">
        <f t="shared" si="97"/>
        <v>D</v>
      </c>
      <c r="C215" s="32">
        <f aca="true" t="shared" si="101" ref="C215:M215">$C178*D178</f>
        <v>0</v>
      </c>
      <c r="D215" s="32">
        <f t="shared" si="101"/>
        <v>6</v>
      </c>
      <c r="E215" s="32">
        <f t="shared" si="101"/>
        <v>6</v>
      </c>
      <c r="F215" s="32">
        <f t="shared" si="101"/>
        <v>6</v>
      </c>
      <c r="G215" s="32">
        <f t="shared" si="101"/>
        <v>6</v>
      </c>
      <c r="H215" s="32">
        <f t="shared" si="101"/>
        <v>0</v>
      </c>
      <c r="I215" s="32">
        <f t="shared" si="101"/>
        <v>0</v>
      </c>
      <c r="J215" s="32">
        <f t="shared" si="101"/>
        <v>0</v>
      </c>
      <c r="K215" s="32">
        <f t="shared" si="101"/>
        <v>0</v>
      </c>
      <c r="L215" s="32">
        <f t="shared" si="101"/>
        <v>0</v>
      </c>
      <c r="M215" s="32">
        <f t="shared" si="101"/>
        <v>0</v>
      </c>
    </row>
    <row r="216" spans="1:13" ht="12.75">
      <c r="A216" s="57" t="str">
        <f t="shared" si="96"/>
        <v>15 ton crane</v>
      </c>
      <c r="B216" s="6" t="str">
        <f t="shared" si="97"/>
        <v>D</v>
      </c>
      <c r="C216" s="32">
        <f aca="true" t="shared" si="102" ref="C216:M216">$C179*D179</f>
        <v>0</v>
      </c>
      <c r="D216" s="32">
        <f t="shared" si="102"/>
        <v>6</v>
      </c>
      <c r="E216" s="32">
        <f t="shared" si="102"/>
        <v>6</v>
      </c>
      <c r="F216" s="32">
        <f t="shared" si="102"/>
        <v>18</v>
      </c>
      <c r="G216" s="32">
        <f t="shared" si="102"/>
        <v>12</v>
      </c>
      <c r="H216" s="32">
        <f t="shared" si="102"/>
        <v>12</v>
      </c>
      <c r="I216" s="32">
        <f t="shared" si="102"/>
        <v>12</v>
      </c>
      <c r="J216" s="32">
        <f t="shared" si="102"/>
        <v>12</v>
      </c>
      <c r="K216" s="32">
        <f t="shared" si="102"/>
        <v>0</v>
      </c>
      <c r="L216" s="32">
        <f t="shared" si="102"/>
        <v>0</v>
      </c>
      <c r="M216" s="32">
        <f t="shared" si="102"/>
        <v>0</v>
      </c>
    </row>
    <row r="217" spans="1:13" ht="12.75">
      <c r="A217" s="57" t="str">
        <f t="shared" si="96"/>
        <v>75 ton crane</v>
      </c>
      <c r="B217" s="6" t="str">
        <f t="shared" si="97"/>
        <v>D</v>
      </c>
      <c r="C217" s="32">
        <f aca="true" t="shared" si="103" ref="C217:M217">$C180*D180</f>
        <v>0</v>
      </c>
      <c r="D217" s="32">
        <f t="shared" si="103"/>
        <v>0</v>
      </c>
      <c r="E217" s="32">
        <f t="shared" si="103"/>
        <v>0</v>
      </c>
      <c r="F217" s="32">
        <f t="shared" si="103"/>
        <v>6</v>
      </c>
      <c r="G217" s="32">
        <f t="shared" si="103"/>
        <v>0</v>
      </c>
      <c r="H217" s="32">
        <f t="shared" si="103"/>
        <v>0</v>
      </c>
      <c r="I217" s="32">
        <f t="shared" si="103"/>
        <v>0</v>
      </c>
      <c r="J217" s="32">
        <f t="shared" si="103"/>
        <v>0</v>
      </c>
      <c r="K217" s="32">
        <f t="shared" si="103"/>
        <v>0</v>
      </c>
      <c r="L217" s="32">
        <f t="shared" si="103"/>
        <v>0</v>
      </c>
      <c r="M217" s="32">
        <f t="shared" si="103"/>
        <v>0</v>
      </c>
    </row>
    <row r="218" spans="1:13" ht="12.75">
      <c r="A218" s="61" t="str">
        <f t="shared" si="96"/>
        <v>Motor Vehicles</v>
      </c>
      <c r="B218" s="5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57" t="str">
        <f t="shared" si="96"/>
        <v>On-Site Pickup Truck</v>
      </c>
      <c r="B219" s="6" t="str">
        <f>B182</f>
        <v>G</v>
      </c>
      <c r="C219" s="32">
        <f aca="true" t="shared" si="104" ref="C219:M219">$C182*D182</f>
        <v>25</v>
      </c>
      <c r="D219" s="32">
        <f t="shared" si="104"/>
        <v>50</v>
      </c>
      <c r="E219" s="32">
        <f t="shared" si="104"/>
        <v>50</v>
      </c>
      <c r="F219" s="32">
        <f t="shared" si="104"/>
        <v>75</v>
      </c>
      <c r="G219" s="32">
        <f t="shared" si="104"/>
        <v>75</v>
      </c>
      <c r="H219" s="32">
        <f t="shared" si="104"/>
        <v>50</v>
      </c>
      <c r="I219" s="32">
        <f t="shared" si="104"/>
        <v>50</v>
      </c>
      <c r="J219" s="32">
        <f t="shared" si="104"/>
        <v>50</v>
      </c>
      <c r="K219" s="32">
        <f t="shared" si="104"/>
        <v>25</v>
      </c>
      <c r="L219" s="32">
        <f t="shared" si="104"/>
        <v>0</v>
      </c>
      <c r="M219" s="32">
        <f t="shared" si="104"/>
        <v>0</v>
      </c>
    </row>
    <row r="220" spans="1:13" ht="12.75">
      <c r="A220" s="57" t="str">
        <f t="shared" si="96"/>
        <v>Off-Site Dump Truck</v>
      </c>
      <c r="B220" s="6" t="str">
        <f>B183</f>
        <v>D</v>
      </c>
      <c r="C220" s="32">
        <f aca="true" t="shared" si="105" ref="C220:M220">$C183*D183</f>
        <v>50</v>
      </c>
      <c r="D220" s="32">
        <f t="shared" si="105"/>
        <v>100</v>
      </c>
      <c r="E220" s="32">
        <f t="shared" si="105"/>
        <v>100</v>
      </c>
      <c r="F220" s="32">
        <f t="shared" si="105"/>
        <v>50</v>
      </c>
      <c r="G220" s="32">
        <f t="shared" si="105"/>
        <v>50</v>
      </c>
      <c r="H220" s="32">
        <f t="shared" si="105"/>
        <v>0</v>
      </c>
      <c r="I220" s="32">
        <f t="shared" si="105"/>
        <v>0</v>
      </c>
      <c r="J220" s="32">
        <f t="shared" si="105"/>
        <v>0</v>
      </c>
      <c r="K220" s="32">
        <f t="shared" si="105"/>
        <v>0</v>
      </c>
      <c r="L220" s="32">
        <f t="shared" si="105"/>
        <v>0</v>
      </c>
      <c r="M220" s="32">
        <f t="shared" si="105"/>
        <v>0</v>
      </c>
    </row>
    <row r="221" spans="1:13" ht="12.75">
      <c r="A221" s="57" t="str">
        <f t="shared" si="96"/>
        <v>Off-Site Concrete Truck</v>
      </c>
      <c r="B221" s="6" t="str">
        <f>B184</f>
        <v>D</v>
      </c>
      <c r="C221" s="32">
        <f aca="true" t="shared" si="106" ref="C221:M221">$C184*D184</f>
        <v>0</v>
      </c>
      <c r="D221" s="32">
        <f t="shared" si="106"/>
        <v>250</v>
      </c>
      <c r="E221" s="32">
        <f t="shared" si="106"/>
        <v>250</v>
      </c>
      <c r="F221" s="32">
        <f t="shared" si="106"/>
        <v>0</v>
      </c>
      <c r="G221" s="32">
        <f t="shared" si="106"/>
        <v>0</v>
      </c>
      <c r="H221" s="32">
        <f t="shared" si="106"/>
        <v>0</v>
      </c>
      <c r="I221" s="32">
        <f t="shared" si="106"/>
        <v>0</v>
      </c>
      <c r="J221" s="32">
        <f t="shared" si="106"/>
        <v>0</v>
      </c>
      <c r="K221" s="32">
        <f t="shared" si="106"/>
        <v>0</v>
      </c>
      <c r="L221" s="32">
        <f t="shared" si="106"/>
        <v>0</v>
      </c>
      <c r="M221" s="32">
        <f t="shared" si="106"/>
        <v>0</v>
      </c>
    </row>
    <row r="222" spans="1:13" ht="12.75">
      <c r="A222" s="57" t="str">
        <f t="shared" si="96"/>
        <v>Off-Site Delivery Truck</v>
      </c>
      <c r="B222" s="6" t="str">
        <f>B185</f>
        <v>D</v>
      </c>
      <c r="C222" s="32">
        <f aca="true" t="shared" si="107" ref="C222:M222">$C185*D185</f>
        <v>0</v>
      </c>
      <c r="D222" s="32">
        <f t="shared" si="107"/>
        <v>50</v>
      </c>
      <c r="E222" s="32">
        <f t="shared" si="107"/>
        <v>50</v>
      </c>
      <c r="F222" s="32">
        <f t="shared" si="107"/>
        <v>50</v>
      </c>
      <c r="G222" s="32">
        <f t="shared" si="107"/>
        <v>50</v>
      </c>
      <c r="H222" s="32">
        <f t="shared" si="107"/>
        <v>50</v>
      </c>
      <c r="I222" s="32">
        <f t="shared" si="107"/>
        <v>50</v>
      </c>
      <c r="J222" s="32">
        <f t="shared" si="107"/>
        <v>50</v>
      </c>
      <c r="K222" s="32">
        <f t="shared" si="107"/>
        <v>0</v>
      </c>
      <c r="L222" s="32">
        <f t="shared" si="107"/>
        <v>0</v>
      </c>
      <c r="M222" s="32">
        <f t="shared" si="107"/>
        <v>0</v>
      </c>
    </row>
    <row r="223" spans="1:13" ht="12.75">
      <c r="A223" s="57" t="str">
        <f t="shared" si="96"/>
        <v>Off-Site Construction Worker Commute</v>
      </c>
      <c r="B223" s="6" t="str">
        <f>B186</f>
        <v>G</v>
      </c>
      <c r="C223" s="32">
        <f aca="true" t="shared" si="108" ref="C223:M223">$C186*D186</f>
        <v>210</v>
      </c>
      <c r="D223" s="32">
        <f t="shared" si="108"/>
        <v>770</v>
      </c>
      <c r="E223" s="32">
        <f t="shared" si="108"/>
        <v>1050</v>
      </c>
      <c r="F223" s="32">
        <f t="shared" si="108"/>
        <v>1330</v>
      </c>
      <c r="G223" s="32">
        <f t="shared" si="108"/>
        <v>1260</v>
      </c>
      <c r="H223" s="32">
        <f t="shared" si="108"/>
        <v>840</v>
      </c>
      <c r="I223" s="32">
        <f t="shared" si="108"/>
        <v>840</v>
      </c>
      <c r="J223" s="32">
        <f t="shared" si="108"/>
        <v>560</v>
      </c>
      <c r="K223" s="32">
        <f t="shared" si="108"/>
        <v>140</v>
      </c>
      <c r="L223" s="32">
        <f t="shared" si="108"/>
        <v>0</v>
      </c>
      <c r="M223" s="32">
        <f t="shared" si="108"/>
        <v>0</v>
      </c>
    </row>
    <row r="224" spans="1:13" ht="12.75">
      <c r="A224" s="61" t="str">
        <f t="shared" si="96"/>
        <v>Gas Line</v>
      </c>
      <c r="B224" s="6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61" t="str">
        <f t="shared" si="96"/>
        <v>Construction Equipment</v>
      </c>
      <c r="B225" s="6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57" t="str">
        <f aca="true" t="shared" si="109" ref="A226:B241">A189</f>
        <v>Gas Line Welding rigs</v>
      </c>
      <c r="B226" s="6" t="str">
        <f t="shared" si="109"/>
        <v>D</v>
      </c>
      <c r="C226" s="32">
        <f aca="true" t="shared" si="110" ref="C226:C241">$C189*D189</f>
        <v>24</v>
      </c>
      <c r="D226" s="32">
        <f aca="true" t="shared" si="111" ref="D226:D241">$C189*E189</f>
        <v>24</v>
      </c>
      <c r="E226" s="32">
        <f aca="true" t="shared" si="112" ref="E226:E241">$C189*F189</f>
        <v>24</v>
      </c>
      <c r="F226" s="32">
        <f aca="true" t="shared" si="113" ref="F226:F241">$C189*G189</f>
        <v>24</v>
      </c>
      <c r="G226" s="32">
        <f aca="true" t="shared" si="114" ref="G226:G241">$C189*H189</f>
        <v>0</v>
      </c>
      <c r="H226" s="32">
        <f aca="true" t="shared" si="115" ref="H226:H241">$C189*I189</f>
        <v>0</v>
      </c>
      <c r="I226" s="32">
        <f aca="true" t="shared" si="116" ref="I226:I241">$C189*J189</f>
        <v>0</v>
      </c>
      <c r="J226" s="32">
        <f aca="true" t="shared" si="117" ref="J226:J241">$C189*K189</f>
        <v>0</v>
      </c>
      <c r="K226" s="32">
        <f aca="true" t="shared" si="118" ref="K226:K241">$C189*L189</f>
        <v>0</v>
      </c>
      <c r="L226" s="32">
        <f aca="true" t="shared" si="119" ref="L226:L241">$C189*M189</f>
        <v>0</v>
      </c>
      <c r="M226" s="32">
        <f aca="true" t="shared" si="120" ref="M226:M241">$C189*N189</f>
        <v>0</v>
      </c>
    </row>
    <row r="227" spans="1:13" ht="12.75">
      <c r="A227" s="57" t="str">
        <f t="shared" si="109"/>
        <v>Gas Line Backhoe</v>
      </c>
      <c r="B227" s="6" t="str">
        <f t="shared" si="109"/>
        <v>D</v>
      </c>
      <c r="C227" s="32">
        <f t="shared" si="110"/>
        <v>6</v>
      </c>
      <c r="D227" s="32">
        <f t="shared" si="111"/>
        <v>6</v>
      </c>
      <c r="E227" s="32">
        <f t="shared" si="112"/>
        <v>6</v>
      </c>
      <c r="F227" s="32">
        <f t="shared" si="113"/>
        <v>6</v>
      </c>
      <c r="G227" s="32">
        <f t="shared" si="114"/>
        <v>0</v>
      </c>
      <c r="H227" s="32">
        <f t="shared" si="115"/>
        <v>0</v>
      </c>
      <c r="I227" s="32">
        <f t="shared" si="116"/>
        <v>0</v>
      </c>
      <c r="J227" s="32">
        <f t="shared" si="117"/>
        <v>0</v>
      </c>
      <c r="K227" s="32">
        <f t="shared" si="118"/>
        <v>0</v>
      </c>
      <c r="L227" s="32">
        <f t="shared" si="119"/>
        <v>0</v>
      </c>
      <c r="M227" s="32">
        <f t="shared" si="120"/>
        <v>0</v>
      </c>
    </row>
    <row r="228" spans="1:13" ht="12.75">
      <c r="A228" s="57" t="str">
        <f t="shared" si="109"/>
        <v>Gas Line Compressor</v>
      </c>
      <c r="B228" s="6" t="str">
        <f t="shared" si="109"/>
        <v>D</v>
      </c>
      <c r="C228" s="32">
        <f t="shared" si="110"/>
        <v>6</v>
      </c>
      <c r="D228" s="32">
        <f t="shared" si="111"/>
        <v>6</v>
      </c>
      <c r="E228" s="32">
        <f t="shared" si="112"/>
        <v>6</v>
      </c>
      <c r="F228" s="32">
        <f t="shared" si="113"/>
        <v>6</v>
      </c>
      <c r="G228" s="32">
        <f t="shared" si="114"/>
        <v>0</v>
      </c>
      <c r="H228" s="32">
        <f t="shared" si="115"/>
        <v>0</v>
      </c>
      <c r="I228" s="32">
        <f t="shared" si="116"/>
        <v>0</v>
      </c>
      <c r="J228" s="32">
        <f t="shared" si="117"/>
        <v>0</v>
      </c>
      <c r="K228" s="32">
        <f t="shared" si="118"/>
        <v>0</v>
      </c>
      <c r="L228" s="32">
        <f t="shared" si="119"/>
        <v>0</v>
      </c>
      <c r="M228" s="32">
        <f t="shared" si="120"/>
        <v>0</v>
      </c>
    </row>
    <row r="229" spans="1:13" ht="12.75">
      <c r="A229" s="57" t="str">
        <f t="shared" si="109"/>
        <v>Gas Line Front-end loader</v>
      </c>
      <c r="B229" s="6" t="str">
        <f t="shared" si="109"/>
        <v>D</v>
      </c>
      <c r="C229" s="32">
        <f t="shared" si="110"/>
        <v>10</v>
      </c>
      <c r="D229" s="32">
        <f t="shared" si="111"/>
        <v>10</v>
      </c>
      <c r="E229" s="32">
        <f t="shared" si="112"/>
        <v>10</v>
      </c>
      <c r="F229" s="32">
        <f t="shared" si="113"/>
        <v>10</v>
      </c>
      <c r="G229" s="32">
        <f t="shared" si="114"/>
        <v>0</v>
      </c>
      <c r="H229" s="32">
        <f t="shared" si="115"/>
        <v>0</v>
      </c>
      <c r="I229" s="32">
        <f t="shared" si="116"/>
        <v>0</v>
      </c>
      <c r="J229" s="32">
        <f t="shared" si="117"/>
        <v>0</v>
      </c>
      <c r="K229" s="32">
        <f t="shared" si="118"/>
        <v>0</v>
      </c>
      <c r="L229" s="32">
        <f t="shared" si="119"/>
        <v>0</v>
      </c>
      <c r="M229" s="32">
        <f t="shared" si="120"/>
        <v>0</v>
      </c>
    </row>
    <row r="230" spans="1:13" ht="12.75">
      <c r="A230" s="57" t="str">
        <f t="shared" si="109"/>
        <v>Gas Line Compactor</v>
      </c>
      <c r="B230" s="6" t="str">
        <f t="shared" si="109"/>
        <v>D</v>
      </c>
      <c r="C230" s="32">
        <f t="shared" si="110"/>
        <v>4</v>
      </c>
      <c r="D230" s="32">
        <f t="shared" si="111"/>
        <v>4</v>
      </c>
      <c r="E230" s="32">
        <f t="shared" si="112"/>
        <v>4</v>
      </c>
      <c r="F230" s="32">
        <f t="shared" si="113"/>
        <v>4</v>
      </c>
      <c r="G230" s="32">
        <f t="shared" si="114"/>
        <v>0</v>
      </c>
      <c r="H230" s="32">
        <f t="shared" si="115"/>
        <v>0</v>
      </c>
      <c r="I230" s="32">
        <f t="shared" si="116"/>
        <v>0</v>
      </c>
      <c r="J230" s="32">
        <f t="shared" si="117"/>
        <v>0</v>
      </c>
      <c r="K230" s="32">
        <f t="shared" si="118"/>
        <v>0</v>
      </c>
      <c r="L230" s="32">
        <f t="shared" si="119"/>
        <v>0</v>
      </c>
      <c r="M230" s="32">
        <f t="shared" si="120"/>
        <v>0</v>
      </c>
    </row>
    <row r="231" spans="1:13" ht="12.75">
      <c r="A231" s="57" t="str">
        <f t="shared" si="109"/>
        <v>Gas Line Excavator</v>
      </c>
      <c r="B231" s="6" t="str">
        <f t="shared" si="109"/>
        <v>D</v>
      </c>
      <c r="C231" s="32">
        <f t="shared" si="110"/>
        <v>6</v>
      </c>
      <c r="D231" s="32">
        <f t="shared" si="111"/>
        <v>6</v>
      </c>
      <c r="E231" s="32">
        <f t="shared" si="112"/>
        <v>6</v>
      </c>
      <c r="F231" s="32">
        <f t="shared" si="113"/>
        <v>6</v>
      </c>
      <c r="G231" s="32">
        <f t="shared" si="114"/>
        <v>0</v>
      </c>
      <c r="H231" s="32">
        <f t="shared" si="115"/>
        <v>0</v>
      </c>
      <c r="I231" s="32">
        <f t="shared" si="116"/>
        <v>0</v>
      </c>
      <c r="J231" s="32">
        <f t="shared" si="117"/>
        <v>0</v>
      </c>
      <c r="K231" s="32">
        <f t="shared" si="118"/>
        <v>0</v>
      </c>
      <c r="L231" s="32">
        <f t="shared" si="119"/>
        <v>0</v>
      </c>
      <c r="M231" s="32">
        <f t="shared" si="120"/>
        <v>0</v>
      </c>
    </row>
    <row r="232" spans="1:13" ht="12.75">
      <c r="A232" s="57" t="str">
        <f t="shared" si="109"/>
        <v>Gas Line 15 ton crane</v>
      </c>
      <c r="B232" s="6" t="str">
        <f t="shared" si="109"/>
        <v>D</v>
      </c>
      <c r="C232" s="32">
        <f t="shared" si="110"/>
        <v>8</v>
      </c>
      <c r="D232" s="32">
        <f t="shared" si="111"/>
        <v>8</v>
      </c>
      <c r="E232" s="32">
        <f t="shared" si="112"/>
        <v>8</v>
      </c>
      <c r="F232" s="32">
        <f t="shared" si="113"/>
        <v>8</v>
      </c>
      <c r="G232" s="32">
        <f t="shared" si="114"/>
        <v>0</v>
      </c>
      <c r="H232" s="32">
        <f t="shared" si="115"/>
        <v>0</v>
      </c>
      <c r="I232" s="32">
        <f t="shared" si="116"/>
        <v>0</v>
      </c>
      <c r="J232" s="32">
        <f t="shared" si="117"/>
        <v>0</v>
      </c>
      <c r="K232" s="32">
        <f t="shared" si="118"/>
        <v>0</v>
      </c>
      <c r="L232" s="32">
        <f t="shared" si="119"/>
        <v>0</v>
      </c>
      <c r="M232" s="32">
        <f t="shared" si="120"/>
        <v>0</v>
      </c>
    </row>
    <row r="233" spans="1:13" ht="12.75">
      <c r="A233" s="57" t="str">
        <f t="shared" si="109"/>
        <v>Gas Line Roller</v>
      </c>
      <c r="B233" s="6" t="str">
        <f t="shared" si="109"/>
        <v>D</v>
      </c>
      <c r="C233" s="32">
        <f t="shared" si="110"/>
        <v>4</v>
      </c>
      <c r="D233" s="32">
        <f t="shared" si="111"/>
        <v>4</v>
      </c>
      <c r="E233" s="32">
        <f t="shared" si="112"/>
        <v>4</v>
      </c>
      <c r="F233" s="32">
        <f t="shared" si="113"/>
        <v>4</v>
      </c>
      <c r="G233" s="32">
        <f t="shared" si="114"/>
        <v>0</v>
      </c>
      <c r="H233" s="32">
        <f t="shared" si="115"/>
        <v>0</v>
      </c>
      <c r="I233" s="32">
        <f t="shared" si="116"/>
        <v>0</v>
      </c>
      <c r="J233" s="32">
        <f t="shared" si="117"/>
        <v>0</v>
      </c>
      <c r="K233" s="32">
        <f t="shared" si="118"/>
        <v>0</v>
      </c>
      <c r="L233" s="32">
        <f t="shared" si="119"/>
        <v>0</v>
      </c>
      <c r="M233" s="32">
        <f t="shared" si="120"/>
        <v>0</v>
      </c>
    </row>
    <row r="234" spans="1:13" ht="12.75">
      <c r="A234" s="57" t="str">
        <f t="shared" si="109"/>
        <v>Gas Line Reed Screen</v>
      </c>
      <c r="B234" s="6" t="str">
        <f t="shared" si="109"/>
        <v>D</v>
      </c>
      <c r="C234" s="32">
        <f t="shared" si="110"/>
        <v>6</v>
      </c>
      <c r="D234" s="32">
        <f t="shared" si="111"/>
        <v>6</v>
      </c>
      <c r="E234" s="32">
        <f t="shared" si="112"/>
        <v>6</v>
      </c>
      <c r="F234" s="32">
        <f t="shared" si="113"/>
        <v>6</v>
      </c>
      <c r="G234" s="32">
        <f t="shared" si="114"/>
        <v>0</v>
      </c>
      <c r="H234" s="32">
        <f t="shared" si="115"/>
        <v>0</v>
      </c>
      <c r="I234" s="32">
        <f t="shared" si="116"/>
        <v>0</v>
      </c>
      <c r="J234" s="32">
        <f t="shared" si="117"/>
        <v>0</v>
      </c>
      <c r="K234" s="32">
        <f t="shared" si="118"/>
        <v>0</v>
      </c>
      <c r="L234" s="32">
        <f t="shared" si="119"/>
        <v>0</v>
      </c>
      <c r="M234" s="32">
        <f t="shared" si="120"/>
        <v>0</v>
      </c>
    </row>
    <row r="235" spans="1:13" ht="12.75">
      <c r="A235" s="61" t="str">
        <f t="shared" si="109"/>
        <v>Motor Vehicles</v>
      </c>
      <c r="B235" s="6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57" t="str">
        <f t="shared" si="109"/>
        <v>On-Site Pickup Truck</v>
      </c>
      <c r="B236" s="6" t="str">
        <f t="shared" si="109"/>
        <v>G</v>
      </c>
      <c r="C236" s="32">
        <f t="shared" si="110"/>
        <v>60</v>
      </c>
      <c r="D236" s="32">
        <f t="shared" si="111"/>
        <v>60</v>
      </c>
      <c r="E236" s="32">
        <f t="shared" si="112"/>
        <v>60</v>
      </c>
      <c r="F236" s="32">
        <f t="shared" si="113"/>
        <v>60</v>
      </c>
      <c r="G236" s="32">
        <f t="shared" si="114"/>
        <v>0</v>
      </c>
      <c r="H236" s="32">
        <f t="shared" si="115"/>
        <v>0</v>
      </c>
      <c r="I236" s="32">
        <f t="shared" si="116"/>
        <v>0</v>
      </c>
      <c r="J236" s="32">
        <f t="shared" si="117"/>
        <v>0</v>
      </c>
      <c r="K236" s="32">
        <f t="shared" si="118"/>
        <v>0</v>
      </c>
      <c r="L236" s="32">
        <f t="shared" si="119"/>
        <v>0</v>
      </c>
      <c r="M236" s="32">
        <f t="shared" si="120"/>
        <v>0</v>
      </c>
    </row>
    <row r="237" spans="1:13" ht="12.75">
      <c r="A237" s="57" t="str">
        <f t="shared" si="109"/>
        <v>Off-Site Dump Truck</v>
      </c>
      <c r="B237" s="6" t="str">
        <f t="shared" si="109"/>
        <v>D</v>
      </c>
      <c r="C237" s="32">
        <f t="shared" si="110"/>
        <v>90</v>
      </c>
      <c r="D237" s="32">
        <f t="shared" si="111"/>
        <v>90</v>
      </c>
      <c r="E237" s="32">
        <f t="shared" si="112"/>
        <v>90</v>
      </c>
      <c r="F237" s="32">
        <f t="shared" si="113"/>
        <v>90</v>
      </c>
      <c r="G237" s="32">
        <f t="shared" si="114"/>
        <v>0</v>
      </c>
      <c r="H237" s="32">
        <f t="shared" si="115"/>
        <v>0</v>
      </c>
      <c r="I237" s="32">
        <f t="shared" si="116"/>
        <v>0</v>
      </c>
      <c r="J237" s="32">
        <f t="shared" si="117"/>
        <v>0</v>
      </c>
      <c r="K237" s="32">
        <f t="shared" si="118"/>
        <v>0</v>
      </c>
      <c r="L237" s="32">
        <f t="shared" si="119"/>
        <v>0</v>
      </c>
      <c r="M237" s="32">
        <f t="shared" si="120"/>
        <v>0</v>
      </c>
    </row>
    <row r="238" spans="1:13" ht="12.75">
      <c r="A238" s="57" t="str">
        <f t="shared" si="109"/>
        <v>On-Site Water Truck</v>
      </c>
      <c r="B238" s="6" t="str">
        <f>B201</f>
        <v>D</v>
      </c>
      <c r="C238" s="32">
        <f t="shared" si="110"/>
        <v>20</v>
      </c>
      <c r="D238" s="32">
        <f t="shared" si="111"/>
        <v>20</v>
      </c>
      <c r="E238" s="32">
        <f t="shared" si="112"/>
        <v>20</v>
      </c>
      <c r="F238" s="32">
        <f t="shared" si="113"/>
        <v>20</v>
      </c>
      <c r="G238" s="32">
        <f t="shared" si="114"/>
        <v>0</v>
      </c>
      <c r="H238" s="32">
        <f t="shared" si="115"/>
        <v>0</v>
      </c>
      <c r="I238" s="32">
        <f t="shared" si="116"/>
        <v>0</v>
      </c>
      <c r="J238" s="32">
        <f t="shared" si="117"/>
        <v>0</v>
      </c>
      <c r="K238" s="32">
        <f t="shared" si="118"/>
        <v>0</v>
      </c>
      <c r="L238" s="32">
        <f t="shared" si="119"/>
        <v>0</v>
      </c>
      <c r="M238" s="32">
        <f t="shared" si="120"/>
        <v>0</v>
      </c>
    </row>
    <row r="239" spans="1:13" ht="12.75">
      <c r="A239" s="57" t="str">
        <f t="shared" si="109"/>
        <v>Off-Site Concrete Truck</v>
      </c>
      <c r="B239" s="6" t="str">
        <f>B202</f>
        <v>D</v>
      </c>
      <c r="C239" s="32">
        <f t="shared" si="110"/>
        <v>80</v>
      </c>
      <c r="D239" s="32">
        <f t="shared" si="111"/>
        <v>80</v>
      </c>
      <c r="E239" s="32">
        <f t="shared" si="112"/>
        <v>80</v>
      </c>
      <c r="F239" s="32">
        <f t="shared" si="113"/>
        <v>80</v>
      </c>
      <c r="G239" s="32">
        <f t="shared" si="114"/>
        <v>0</v>
      </c>
      <c r="H239" s="32">
        <f t="shared" si="115"/>
        <v>0</v>
      </c>
      <c r="I239" s="32">
        <f t="shared" si="116"/>
        <v>0</v>
      </c>
      <c r="J239" s="32">
        <f t="shared" si="117"/>
        <v>0</v>
      </c>
      <c r="K239" s="32">
        <f t="shared" si="118"/>
        <v>0</v>
      </c>
      <c r="L239" s="32">
        <f t="shared" si="119"/>
        <v>0</v>
      </c>
      <c r="M239" s="32">
        <f t="shared" si="120"/>
        <v>0</v>
      </c>
    </row>
    <row r="240" spans="1:13" ht="12.75">
      <c r="A240" s="57" t="str">
        <f t="shared" si="109"/>
        <v>Off-Site Delivery Truck</v>
      </c>
      <c r="B240" s="6" t="str">
        <f>B203</f>
        <v>D</v>
      </c>
      <c r="C240" s="32">
        <f t="shared" si="110"/>
        <v>80</v>
      </c>
      <c r="D240" s="32">
        <f t="shared" si="111"/>
        <v>80</v>
      </c>
      <c r="E240" s="32">
        <f t="shared" si="112"/>
        <v>80</v>
      </c>
      <c r="F240" s="32">
        <f t="shared" si="113"/>
        <v>80</v>
      </c>
      <c r="G240" s="32">
        <f t="shared" si="114"/>
        <v>0</v>
      </c>
      <c r="H240" s="32">
        <f t="shared" si="115"/>
        <v>0</v>
      </c>
      <c r="I240" s="32">
        <f t="shared" si="116"/>
        <v>0</v>
      </c>
      <c r="J240" s="32">
        <f t="shared" si="117"/>
        <v>0</v>
      </c>
      <c r="K240" s="32">
        <f t="shared" si="118"/>
        <v>0</v>
      </c>
      <c r="L240" s="32">
        <f t="shared" si="119"/>
        <v>0</v>
      </c>
      <c r="M240" s="32">
        <f t="shared" si="120"/>
        <v>0</v>
      </c>
    </row>
    <row r="241" spans="1:13" ht="12.75">
      <c r="A241" s="57" t="str">
        <f t="shared" si="109"/>
        <v>Off-Site Construction Worker Commute</v>
      </c>
      <c r="B241" s="6" t="str">
        <f>B204</f>
        <v>G</v>
      </c>
      <c r="C241" s="32">
        <f t="shared" si="110"/>
        <v>1600</v>
      </c>
      <c r="D241" s="32">
        <f t="shared" si="111"/>
        <v>1600</v>
      </c>
      <c r="E241" s="32">
        <f t="shared" si="112"/>
        <v>1600</v>
      </c>
      <c r="F241" s="32">
        <f t="shared" si="113"/>
        <v>1600</v>
      </c>
      <c r="G241" s="32">
        <f t="shared" si="114"/>
        <v>0</v>
      </c>
      <c r="H241" s="32">
        <f t="shared" si="115"/>
        <v>0</v>
      </c>
      <c r="I241" s="32">
        <f t="shared" si="116"/>
        <v>0</v>
      </c>
      <c r="J241" s="32">
        <f t="shared" si="117"/>
        <v>0</v>
      </c>
      <c r="K241" s="32">
        <f t="shared" si="118"/>
        <v>0</v>
      </c>
      <c r="L241" s="32">
        <f t="shared" si="119"/>
        <v>0</v>
      </c>
      <c r="M241" s="32">
        <f t="shared" si="120"/>
        <v>0</v>
      </c>
    </row>
    <row r="243" spans="1:14" ht="12.75">
      <c r="A243" s="133" t="s">
        <v>217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48"/>
    </row>
    <row r="244" spans="1:14" ht="12.75">
      <c r="A244" s="134" t="str">
        <f>$B$1&amp;" Equipment and Motor Vehicle CO Emissions"</f>
        <v>Mira Loma Construction Equipment and Motor Vehicle CO Emissions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33"/>
    </row>
    <row r="245" spans="1:14" ht="12.75">
      <c r="A245" s="132" t="str">
        <f>A208</f>
        <v>Equipment/Vehicle Type</v>
      </c>
      <c r="B245" s="142" t="s">
        <v>154</v>
      </c>
      <c r="C245" s="132" t="s">
        <v>166</v>
      </c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7"/>
    </row>
    <row r="246" spans="1:13" ht="12.75">
      <c r="A246" s="141"/>
      <c r="B246" s="138"/>
      <c r="C246" s="63">
        <f aca="true" t="shared" si="121" ref="C246:M246">C209</f>
        <v>39139</v>
      </c>
      <c r="D246" s="63">
        <f t="shared" si="121"/>
        <v>39153</v>
      </c>
      <c r="E246" s="63">
        <f t="shared" si="121"/>
        <v>39167</v>
      </c>
      <c r="F246" s="63">
        <f t="shared" si="121"/>
        <v>39181</v>
      </c>
      <c r="G246" s="63">
        <f t="shared" si="121"/>
        <v>39195</v>
      </c>
      <c r="H246" s="63">
        <f t="shared" si="121"/>
        <v>39209</v>
      </c>
      <c r="I246" s="63">
        <f t="shared" si="121"/>
        <v>39223</v>
      </c>
      <c r="J246" s="63">
        <f t="shared" si="121"/>
        <v>39237</v>
      </c>
      <c r="K246" s="63">
        <f t="shared" si="121"/>
        <v>39251</v>
      </c>
      <c r="L246" s="63">
        <f t="shared" si="121"/>
        <v>39265</v>
      </c>
      <c r="M246" s="63">
        <f t="shared" si="121"/>
        <v>39279</v>
      </c>
    </row>
    <row r="247" spans="1:13" ht="12.75">
      <c r="A247" s="17" t="str">
        <f aca="true" t="shared" si="122" ref="A247:A254">A210</f>
        <v>Power Plant</v>
      </c>
      <c r="B247" s="9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2.75">
      <c r="A248" s="17" t="str">
        <f t="shared" si="122"/>
        <v>Construction Equipment</v>
      </c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2.75">
      <c r="A249" s="3" t="str">
        <f t="shared" si="122"/>
        <v>Welding rigs</v>
      </c>
      <c r="B249" s="4">
        <f>VLOOKUP(A249,'Const. Equip. EFs'!$A$5:$I$19,5,FALSE)</f>
        <v>0.3169333320319164</v>
      </c>
      <c r="C249" s="16">
        <f aca="true" t="shared" si="123" ref="C249:M249">$B249*C212</f>
        <v>3.803199984382997</v>
      </c>
      <c r="D249" s="16">
        <f t="shared" si="123"/>
        <v>3.803199984382997</v>
      </c>
      <c r="E249" s="16">
        <f t="shared" si="123"/>
        <v>3.803199984382997</v>
      </c>
      <c r="F249" s="16">
        <f t="shared" si="123"/>
        <v>3.803199984382997</v>
      </c>
      <c r="G249" s="16">
        <f t="shared" si="123"/>
        <v>3.803199984382997</v>
      </c>
      <c r="H249" s="16">
        <f t="shared" si="123"/>
        <v>3.803199984382997</v>
      </c>
      <c r="I249" s="16">
        <f t="shared" si="123"/>
        <v>1.9015999921914986</v>
      </c>
      <c r="J249" s="16">
        <f t="shared" si="123"/>
        <v>1.9015999921914986</v>
      </c>
      <c r="K249" s="16">
        <f t="shared" si="123"/>
        <v>0</v>
      </c>
      <c r="L249" s="16">
        <f t="shared" si="123"/>
        <v>0</v>
      </c>
      <c r="M249" s="16">
        <f t="shared" si="123"/>
        <v>0</v>
      </c>
    </row>
    <row r="250" spans="1:13" ht="12.75">
      <c r="A250" s="3" t="str">
        <f t="shared" si="122"/>
        <v>Backhoe</v>
      </c>
      <c r="B250" s="4">
        <f>VLOOKUP(A250,'Const. Equip. EFs'!$A$5:$I$19,5,FALSE)</f>
        <v>0.3747998109263352</v>
      </c>
      <c r="C250" s="16">
        <f aca="true" t="shared" si="124" ref="C250:M250">$B250*C213</f>
        <v>2.248798865558011</v>
      </c>
      <c r="D250" s="16">
        <f t="shared" si="124"/>
        <v>4.497597731116022</v>
      </c>
      <c r="E250" s="16">
        <f t="shared" si="124"/>
        <v>4.497597731116022</v>
      </c>
      <c r="F250" s="16">
        <f t="shared" si="124"/>
        <v>2.248798865558011</v>
      </c>
      <c r="G250" s="16">
        <f t="shared" si="124"/>
        <v>2.248798865558011</v>
      </c>
      <c r="H250" s="16">
        <f t="shared" si="124"/>
        <v>0</v>
      </c>
      <c r="I250" s="16">
        <f t="shared" si="124"/>
        <v>0</v>
      </c>
      <c r="J250" s="16">
        <f t="shared" si="124"/>
        <v>0</v>
      </c>
      <c r="K250" s="16">
        <f t="shared" si="124"/>
        <v>0</v>
      </c>
      <c r="L250" s="16">
        <f t="shared" si="124"/>
        <v>0</v>
      </c>
      <c r="M250" s="16">
        <f t="shared" si="124"/>
        <v>0</v>
      </c>
    </row>
    <row r="251" spans="1:13" ht="12.75">
      <c r="A251" s="3" t="str">
        <f t="shared" si="122"/>
        <v>Compressor</v>
      </c>
      <c r="B251" s="4">
        <f>VLOOKUP(A251,'Const. Equip. EFs'!$A$5:$I$19,5,FALSE)</f>
        <v>0.2933208088283192</v>
      </c>
      <c r="C251" s="16">
        <f aca="true" t="shared" si="125" ref="C251:M251">$B251*C214</f>
        <v>1.759924852969915</v>
      </c>
      <c r="D251" s="16">
        <f t="shared" si="125"/>
        <v>3.51984970593983</v>
      </c>
      <c r="E251" s="16">
        <f t="shared" si="125"/>
        <v>7.03969941187966</v>
      </c>
      <c r="F251" s="16">
        <f t="shared" si="125"/>
        <v>7.03969941187966</v>
      </c>
      <c r="G251" s="16">
        <f t="shared" si="125"/>
        <v>7.03969941187966</v>
      </c>
      <c r="H251" s="16">
        <f t="shared" si="125"/>
        <v>5.279774558909745</v>
      </c>
      <c r="I251" s="16">
        <f t="shared" si="125"/>
        <v>3.51984970593983</v>
      </c>
      <c r="J251" s="16">
        <f t="shared" si="125"/>
        <v>3.51984970593983</v>
      </c>
      <c r="K251" s="16">
        <f t="shared" si="125"/>
        <v>0</v>
      </c>
      <c r="L251" s="16">
        <f t="shared" si="125"/>
        <v>0</v>
      </c>
      <c r="M251" s="16">
        <f t="shared" si="125"/>
        <v>0</v>
      </c>
    </row>
    <row r="252" spans="1:13" ht="12.75">
      <c r="A252" s="3" t="str">
        <f t="shared" si="122"/>
        <v>Front-end  loader</v>
      </c>
      <c r="B252" s="4">
        <f>VLOOKUP(A252,'Const. Equip. EFs'!$A$5:$I$19,5,FALSE)</f>
        <v>0.6425089458537838</v>
      </c>
      <c r="C252" s="16">
        <f aca="true" t="shared" si="126" ref="C252:M252">$B252*C215</f>
        <v>0</v>
      </c>
      <c r="D252" s="16">
        <f t="shared" si="126"/>
        <v>3.855053675122703</v>
      </c>
      <c r="E252" s="16">
        <f t="shared" si="126"/>
        <v>3.855053675122703</v>
      </c>
      <c r="F252" s="16">
        <f t="shared" si="126"/>
        <v>3.855053675122703</v>
      </c>
      <c r="G252" s="16">
        <f t="shared" si="126"/>
        <v>3.855053675122703</v>
      </c>
      <c r="H252" s="16">
        <f t="shared" si="126"/>
        <v>0</v>
      </c>
      <c r="I252" s="16">
        <f t="shared" si="126"/>
        <v>0</v>
      </c>
      <c r="J252" s="16">
        <f t="shared" si="126"/>
        <v>0</v>
      </c>
      <c r="K252" s="16">
        <f t="shared" si="126"/>
        <v>0</v>
      </c>
      <c r="L252" s="16">
        <f t="shared" si="126"/>
        <v>0</v>
      </c>
      <c r="M252" s="16">
        <f t="shared" si="126"/>
        <v>0</v>
      </c>
    </row>
    <row r="253" spans="1:13" ht="12.75">
      <c r="A253" s="3" t="str">
        <f t="shared" si="122"/>
        <v>15 ton crane</v>
      </c>
      <c r="B253" s="4">
        <f>VLOOKUP(A253,'Const. Equip. EFs'!$A$5:$I$19,5,FALSE)</f>
        <v>0.4974721724315512</v>
      </c>
      <c r="C253" s="16">
        <f aca="true" t="shared" si="127" ref="C253:M253">$B253*C216</f>
        <v>0</v>
      </c>
      <c r="D253" s="16">
        <f t="shared" si="127"/>
        <v>2.984833034589307</v>
      </c>
      <c r="E253" s="16">
        <f t="shared" si="127"/>
        <v>2.984833034589307</v>
      </c>
      <c r="F253" s="16">
        <f t="shared" si="127"/>
        <v>8.95449910376792</v>
      </c>
      <c r="G253" s="16">
        <f t="shared" si="127"/>
        <v>5.969666069178614</v>
      </c>
      <c r="H253" s="16">
        <f t="shared" si="127"/>
        <v>5.969666069178614</v>
      </c>
      <c r="I253" s="16">
        <f t="shared" si="127"/>
        <v>5.969666069178614</v>
      </c>
      <c r="J253" s="16">
        <f t="shared" si="127"/>
        <v>5.969666069178614</v>
      </c>
      <c r="K253" s="16">
        <f t="shared" si="127"/>
        <v>0</v>
      </c>
      <c r="L253" s="16">
        <f t="shared" si="127"/>
        <v>0</v>
      </c>
      <c r="M253" s="16">
        <f t="shared" si="127"/>
        <v>0</v>
      </c>
    </row>
    <row r="254" spans="1:13" ht="12.75">
      <c r="A254" s="3" t="str">
        <f t="shared" si="122"/>
        <v>75 ton crane</v>
      </c>
      <c r="B254" s="4">
        <f>VLOOKUP(A254,'Const. Equip. EFs'!$A$5:$I$19,5,FALSE)</f>
        <v>0.4118931567054769</v>
      </c>
      <c r="C254" s="16">
        <f aca="true" t="shared" si="128" ref="C254:M254">$B254*C217</f>
        <v>0</v>
      </c>
      <c r="D254" s="16">
        <f t="shared" si="128"/>
        <v>0</v>
      </c>
      <c r="E254" s="16">
        <f t="shared" si="128"/>
        <v>0</v>
      </c>
      <c r="F254" s="16">
        <f t="shared" si="128"/>
        <v>2.4713589402328613</v>
      </c>
      <c r="G254" s="16">
        <f t="shared" si="128"/>
        <v>0</v>
      </c>
      <c r="H254" s="16">
        <f t="shared" si="128"/>
        <v>0</v>
      </c>
      <c r="I254" s="16">
        <f t="shared" si="128"/>
        <v>0</v>
      </c>
      <c r="J254" s="16">
        <f t="shared" si="128"/>
        <v>0</v>
      </c>
      <c r="K254" s="16">
        <f t="shared" si="128"/>
        <v>0</v>
      </c>
      <c r="L254" s="16">
        <f t="shared" si="128"/>
        <v>0</v>
      </c>
      <c r="M254" s="16">
        <f t="shared" si="128"/>
        <v>0</v>
      </c>
    </row>
    <row r="255" spans="1:13" ht="12.75">
      <c r="A255" s="17" t="s">
        <v>151</v>
      </c>
      <c r="B255" s="17"/>
      <c r="C255" s="18">
        <f aca="true" t="shared" si="129" ref="C255:M255">SUM(C249:C254)</f>
        <v>7.8119237029109225</v>
      </c>
      <c r="D255" s="18">
        <f t="shared" si="129"/>
        <v>18.660534131150857</v>
      </c>
      <c r="E255" s="18">
        <f t="shared" si="129"/>
        <v>22.18038383709069</v>
      </c>
      <c r="F255" s="18">
        <f t="shared" si="129"/>
        <v>28.372609980944155</v>
      </c>
      <c r="G255" s="18">
        <f t="shared" si="129"/>
        <v>22.916418006121987</v>
      </c>
      <c r="H255" s="18">
        <f t="shared" si="129"/>
        <v>15.052640612471357</v>
      </c>
      <c r="I255" s="18">
        <f t="shared" si="129"/>
        <v>11.391115767309943</v>
      </c>
      <c r="J255" s="18">
        <f t="shared" si="129"/>
        <v>11.391115767309943</v>
      </c>
      <c r="K255" s="18">
        <f t="shared" si="129"/>
        <v>0</v>
      </c>
      <c r="L255" s="18">
        <f t="shared" si="129"/>
        <v>0</v>
      </c>
      <c r="M255" s="18">
        <f t="shared" si="129"/>
        <v>0</v>
      </c>
    </row>
    <row r="256" spans="1:13" ht="12.75">
      <c r="A256" s="17" t="str">
        <f aca="true" t="shared" si="130" ref="A256:A261">A218</f>
        <v>Motor Vehicles</v>
      </c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>
      <c r="A257" s="3" t="str">
        <f t="shared" si="130"/>
        <v>On-Site Pickup Truck</v>
      </c>
      <c r="B257" s="4">
        <f>VLOOKUP($A257,'Vehicle EFs'!$A$22:$F$27,2,FALSE)</f>
        <v>0.01282</v>
      </c>
      <c r="C257" s="16">
        <f aca="true" t="shared" si="131" ref="C257:M257">$B257*C219</f>
        <v>0.3205</v>
      </c>
      <c r="D257" s="16">
        <f t="shared" si="131"/>
        <v>0.641</v>
      </c>
      <c r="E257" s="16">
        <f t="shared" si="131"/>
        <v>0.641</v>
      </c>
      <c r="F257" s="16">
        <f t="shared" si="131"/>
        <v>0.9615</v>
      </c>
      <c r="G257" s="16">
        <f t="shared" si="131"/>
        <v>0.9615</v>
      </c>
      <c r="H257" s="16">
        <f t="shared" si="131"/>
        <v>0.641</v>
      </c>
      <c r="I257" s="16">
        <f t="shared" si="131"/>
        <v>0.641</v>
      </c>
      <c r="J257" s="16">
        <f t="shared" si="131"/>
        <v>0.641</v>
      </c>
      <c r="K257" s="16">
        <f t="shared" si="131"/>
        <v>0.3205</v>
      </c>
      <c r="L257" s="16">
        <f t="shared" si="131"/>
        <v>0</v>
      </c>
      <c r="M257" s="16">
        <f t="shared" si="131"/>
        <v>0</v>
      </c>
    </row>
    <row r="258" spans="1:13" ht="12.75">
      <c r="A258" s="3" t="str">
        <f t="shared" si="130"/>
        <v>Off-Site Dump Truck</v>
      </c>
      <c r="B258" s="4">
        <f>VLOOKUP($A258,'Vehicle EFs'!$A$22:$F$27,2,FALSE)</f>
        <v>0.005520326011330881</v>
      </c>
      <c r="C258" s="16">
        <f aca="true" t="shared" si="132" ref="C258:M258">$B258*C220</f>
        <v>0.2760163005665441</v>
      </c>
      <c r="D258" s="16">
        <f t="shared" si="132"/>
        <v>0.5520326011330882</v>
      </c>
      <c r="E258" s="16">
        <f t="shared" si="132"/>
        <v>0.5520326011330882</v>
      </c>
      <c r="F258" s="16">
        <f t="shared" si="132"/>
        <v>0.2760163005665441</v>
      </c>
      <c r="G258" s="16">
        <f t="shared" si="132"/>
        <v>0.2760163005665441</v>
      </c>
      <c r="H258" s="16">
        <f t="shared" si="132"/>
        <v>0</v>
      </c>
      <c r="I258" s="16">
        <f t="shared" si="132"/>
        <v>0</v>
      </c>
      <c r="J258" s="16">
        <f t="shared" si="132"/>
        <v>0</v>
      </c>
      <c r="K258" s="16">
        <f t="shared" si="132"/>
        <v>0</v>
      </c>
      <c r="L258" s="16">
        <f t="shared" si="132"/>
        <v>0</v>
      </c>
      <c r="M258" s="16">
        <f t="shared" si="132"/>
        <v>0</v>
      </c>
    </row>
    <row r="259" spans="1:13" ht="12.75">
      <c r="A259" s="3" t="str">
        <f t="shared" si="130"/>
        <v>Off-Site Concrete Truck</v>
      </c>
      <c r="B259" s="4">
        <f>VLOOKUP($A259,'Vehicle EFs'!$A$22:$F$27,2,FALSE)</f>
        <v>0.005520326011330881</v>
      </c>
      <c r="C259" s="16">
        <f aca="true" t="shared" si="133" ref="C259:M259">$B259*C221</f>
        <v>0</v>
      </c>
      <c r="D259" s="16">
        <f t="shared" si="133"/>
        <v>1.3800815028327205</v>
      </c>
      <c r="E259" s="16">
        <f t="shared" si="133"/>
        <v>1.3800815028327205</v>
      </c>
      <c r="F259" s="16">
        <f t="shared" si="133"/>
        <v>0</v>
      </c>
      <c r="G259" s="16">
        <f t="shared" si="133"/>
        <v>0</v>
      </c>
      <c r="H259" s="16">
        <f t="shared" si="133"/>
        <v>0</v>
      </c>
      <c r="I259" s="16">
        <f t="shared" si="133"/>
        <v>0</v>
      </c>
      <c r="J259" s="16">
        <f t="shared" si="133"/>
        <v>0</v>
      </c>
      <c r="K259" s="16">
        <f t="shared" si="133"/>
        <v>0</v>
      </c>
      <c r="L259" s="16">
        <f t="shared" si="133"/>
        <v>0</v>
      </c>
      <c r="M259" s="16">
        <f t="shared" si="133"/>
        <v>0</v>
      </c>
    </row>
    <row r="260" spans="1:13" ht="12.75">
      <c r="A260" s="3" t="str">
        <f t="shared" si="130"/>
        <v>Off-Site Delivery Truck</v>
      </c>
      <c r="B260" s="4">
        <f>VLOOKUP($A260,'Vehicle EFs'!$A$22:$F$27,2,FALSE)</f>
        <v>0.005520326011330881</v>
      </c>
      <c r="C260" s="16">
        <f aca="true" t="shared" si="134" ref="C260:M260">$B260*C222</f>
        <v>0</v>
      </c>
      <c r="D260" s="16">
        <f t="shared" si="134"/>
        <v>0.2760163005665441</v>
      </c>
      <c r="E260" s="16">
        <f t="shared" si="134"/>
        <v>0.2760163005665441</v>
      </c>
      <c r="F260" s="16">
        <f t="shared" si="134"/>
        <v>0.2760163005665441</v>
      </c>
      <c r="G260" s="16">
        <f t="shared" si="134"/>
        <v>0.2760163005665441</v>
      </c>
      <c r="H260" s="16">
        <f t="shared" si="134"/>
        <v>0.2760163005665441</v>
      </c>
      <c r="I260" s="16">
        <f t="shared" si="134"/>
        <v>0.2760163005665441</v>
      </c>
      <c r="J260" s="16">
        <f t="shared" si="134"/>
        <v>0.2760163005665441</v>
      </c>
      <c r="K260" s="16">
        <f t="shared" si="134"/>
        <v>0</v>
      </c>
      <c r="L260" s="16">
        <f t="shared" si="134"/>
        <v>0</v>
      </c>
      <c r="M260" s="16">
        <f t="shared" si="134"/>
        <v>0</v>
      </c>
    </row>
    <row r="261" spans="1:13" ht="12.75">
      <c r="A261" s="3" t="str">
        <f t="shared" si="130"/>
        <v>Off-Site Construction Worker Commute</v>
      </c>
      <c r="B261" s="4">
        <f>VLOOKUP($A261,'Vehicle EFs'!$A$22:$F$27,2,FALSE)</f>
        <v>0.01282</v>
      </c>
      <c r="C261" s="16">
        <f aca="true" t="shared" si="135" ref="C261:M261">$B261*C223</f>
        <v>2.6922</v>
      </c>
      <c r="D261" s="16">
        <f t="shared" si="135"/>
        <v>9.8714</v>
      </c>
      <c r="E261" s="16">
        <f t="shared" si="135"/>
        <v>13.461</v>
      </c>
      <c r="F261" s="16">
        <f t="shared" si="135"/>
        <v>17.0506</v>
      </c>
      <c r="G261" s="16">
        <f t="shared" si="135"/>
        <v>16.1532</v>
      </c>
      <c r="H261" s="16">
        <f t="shared" si="135"/>
        <v>10.7688</v>
      </c>
      <c r="I261" s="16">
        <f t="shared" si="135"/>
        <v>10.7688</v>
      </c>
      <c r="J261" s="16">
        <f t="shared" si="135"/>
        <v>7.1792</v>
      </c>
      <c r="K261" s="16">
        <f t="shared" si="135"/>
        <v>1.7948</v>
      </c>
      <c r="L261" s="16">
        <f t="shared" si="135"/>
        <v>0</v>
      </c>
      <c r="M261" s="16">
        <f t="shared" si="135"/>
        <v>0</v>
      </c>
    </row>
    <row r="262" spans="1:13" ht="12.75">
      <c r="A262" s="17" t="s">
        <v>152</v>
      </c>
      <c r="B262" s="17"/>
      <c r="C262" s="18">
        <f aca="true" t="shared" si="136" ref="C262:M262">C257</f>
        <v>0.3205</v>
      </c>
      <c r="D262" s="18">
        <f t="shared" si="136"/>
        <v>0.641</v>
      </c>
      <c r="E262" s="18">
        <f t="shared" si="136"/>
        <v>0.641</v>
      </c>
      <c r="F262" s="18">
        <f t="shared" si="136"/>
        <v>0.9615</v>
      </c>
      <c r="G262" s="18">
        <f t="shared" si="136"/>
        <v>0.9615</v>
      </c>
      <c r="H262" s="18">
        <f t="shared" si="136"/>
        <v>0.641</v>
      </c>
      <c r="I262" s="18">
        <f t="shared" si="136"/>
        <v>0.641</v>
      </c>
      <c r="J262" s="18">
        <f t="shared" si="136"/>
        <v>0.641</v>
      </c>
      <c r="K262" s="18">
        <f t="shared" si="136"/>
        <v>0.3205</v>
      </c>
      <c r="L262" s="18">
        <f t="shared" si="136"/>
        <v>0</v>
      </c>
      <c r="M262" s="18">
        <f t="shared" si="136"/>
        <v>0</v>
      </c>
    </row>
    <row r="263" spans="1:13" ht="12.75">
      <c r="A263" s="17" t="s">
        <v>153</v>
      </c>
      <c r="B263" s="17"/>
      <c r="C263" s="18">
        <f aca="true" t="shared" si="137" ref="C263:M263">SUM(C258:C261)</f>
        <v>2.968216300566544</v>
      </c>
      <c r="D263" s="18">
        <f t="shared" si="137"/>
        <v>12.079530404532353</v>
      </c>
      <c r="E263" s="18">
        <f t="shared" si="137"/>
        <v>15.669130404532353</v>
      </c>
      <c r="F263" s="18">
        <f t="shared" si="137"/>
        <v>17.602632601133088</v>
      </c>
      <c r="G263" s="18">
        <f t="shared" si="137"/>
        <v>16.705232601133087</v>
      </c>
      <c r="H263" s="18">
        <f t="shared" si="137"/>
        <v>11.044816300566545</v>
      </c>
      <c r="I263" s="18">
        <f t="shared" si="137"/>
        <v>11.044816300566545</v>
      </c>
      <c r="J263" s="18">
        <f t="shared" si="137"/>
        <v>7.455216300566544</v>
      </c>
      <c r="K263" s="18">
        <f t="shared" si="137"/>
        <v>1.7948</v>
      </c>
      <c r="L263" s="18">
        <f t="shared" si="137"/>
        <v>0</v>
      </c>
      <c r="M263" s="18">
        <f t="shared" si="137"/>
        <v>0</v>
      </c>
    </row>
    <row r="264" spans="1:13" ht="12.75">
      <c r="A264" s="17" t="str">
        <f>A224</f>
        <v>Gas Line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>
      <c r="A265" s="17" t="str">
        <f>A225</f>
        <v>Construction Equipment</v>
      </c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>
      <c r="A266" s="62" t="str">
        <f>A226</f>
        <v>Gas Line Welding rigs</v>
      </c>
      <c r="B266" s="4">
        <f>VLOOKUP(A266,'Const. Equip. EFs'!$A$5:$I$19,5,FALSE)</f>
        <v>0.3169333320319164</v>
      </c>
      <c r="C266" s="16">
        <f>$B266*C226</f>
        <v>7.606399968765994</v>
      </c>
      <c r="D266" s="16">
        <f aca="true" t="shared" si="138" ref="D266:M266">$B266*D226</f>
        <v>7.606399968765994</v>
      </c>
      <c r="E266" s="16">
        <f t="shared" si="138"/>
        <v>7.606399968765994</v>
      </c>
      <c r="F266" s="16">
        <f t="shared" si="138"/>
        <v>7.606399968765994</v>
      </c>
      <c r="G266" s="16">
        <f t="shared" si="138"/>
        <v>0</v>
      </c>
      <c r="H266" s="16">
        <f t="shared" si="138"/>
        <v>0</v>
      </c>
      <c r="I266" s="16">
        <f t="shared" si="138"/>
        <v>0</v>
      </c>
      <c r="J266" s="16">
        <f t="shared" si="138"/>
        <v>0</v>
      </c>
      <c r="K266" s="16">
        <f t="shared" si="138"/>
        <v>0</v>
      </c>
      <c r="L266" s="16">
        <f t="shared" si="138"/>
        <v>0</v>
      </c>
      <c r="M266" s="16">
        <f t="shared" si="138"/>
        <v>0</v>
      </c>
    </row>
    <row r="267" spans="1:13" ht="12.75">
      <c r="A267" s="62" t="str">
        <f aca="true" t="shared" si="139" ref="A267:A274">A227</f>
        <v>Gas Line Backhoe</v>
      </c>
      <c r="B267" s="4">
        <f>VLOOKUP(A267,'Const. Equip. EFs'!$A$5:$I$19,5,FALSE)</f>
        <v>0.3747998109263352</v>
      </c>
      <c r="C267" s="16">
        <f aca="true" t="shared" si="140" ref="C267:C274">$B267*C227</f>
        <v>2.248798865558011</v>
      </c>
      <c r="D267" s="16">
        <f aca="true" t="shared" si="141" ref="D267:M267">$B267*D227</f>
        <v>2.248798865558011</v>
      </c>
      <c r="E267" s="16">
        <f t="shared" si="141"/>
        <v>2.248798865558011</v>
      </c>
      <c r="F267" s="16">
        <f t="shared" si="141"/>
        <v>2.248798865558011</v>
      </c>
      <c r="G267" s="16">
        <f t="shared" si="141"/>
        <v>0</v>
      </c>
      <c r="H267" s="16">
        <f t="shared" si="141"/>
        <v>0</v>
      </c>
      <c r="I267" s="16">
        <f t="shared" si="141"/>
        <v>0</v>
      </c>
      <c r="J267" s="16">
        <f t="shared" si="141"/>
        <v>0</v>
      </c>
      <c r="K267" s="16">
        <f t="shared" si="141"/>
        <v>0</v>
      </c>
      <c r="L267" s="16">
        <f t="shared" si="141"/>
        <v>0</v>
      </c>
      <c r="M267" s="16">
        <f t="shared" si="141"/>
        <v>0</v>
      </c>
    </row>
    <row r="268" spans="1:13" ht="12.75">
      <c r="A268" s="62" t="str">
        <f t="shared" si="139"/>
        <v>Gas Line Compressor</v>
      </c>
      <c r="B268" s="4">
        <f>VLOOKUP(A268,'Const. Equip. EFs'!$A$5:$I$19,5,FALSE)</f>
        <v>0.2933208088283192</v>
      </c>
      <c r="C268" s="16">
        <f t="shared" si="140"/>
        <v>1.759924852969915</v>
      </c>
      <c r="D268" s="16">
        <f aca="true" t="shared" si="142" ref="D268:M268">$B268*D228</f>
        <v>1.759924852969915</v>
      </c>
      <c r="E268" s="16">
        <f t="shared" si="142"/>
        <v>1.759924852969915</v>
      </c>
      <c r="F268" s="16">
        <f t="shared" si="142"/>
        <v>1.759924852969915</v>
      </c>
      <c r="G268" s="16">
        <f t="shared" si="142"/>
        <v>0</v>
      </c>
      <c r="H268" s="16">
        <f t="shared" si="142"/>
        <v>0</v>
      </c>
      <c r="I268" s="16">
        <f t="shared" si="142"/>
        <v>0</v>
      </c>
      <c r="J268" s="16">
        <f t="shared" si="142"/>
        <v>0</v>
      </c>
      <c r="K268" s="16">
        <f t="shared" si="142"/>
        <v>0</v>
      </c>
      <c r="L268" s="16">
        <f t="shared" si="142"/>
        <v>0</v>
      </c>
      <c r="M268" s="16">
        <f t="shared" si="142"/>
        <v>0</v>
      </c>
    </row>
    <row r="269" spans="1:13" ht="12.75">
      <c r="A269" s="62" t="str">
        <f t="shared" si="139"/>
        <v>Gas Line Front-end loader</v>
      </c>
      <c r="B269" s="4">
        <f>VLOOKUP(A269,'Const. Equip. EFs'!$A$5:$I$19,5,FALSE)</f>
        <v>0.6425089458537838</v>
      </c>
      <c r="C269" s="16">
        <f t="shared" si="140"/>
        <v>6.425089458537839</v>
      </c>
      <c r="D269" s="16">
        <f aca="true" t="shared" si="143" ref="D269:M269">$B269*D229</f>
        <v>6.425089458537839</v>
      </c>
      <c r="E269" s="16">
        <f t="shared" si="143"/>
        <v>6.425089458537839</v>
      </c>
      <c r="F269" s="16">
        <f t="shared" si="143"/>
        <v>6.425089458537839</v>
      </c>
      <c r="G269" s="16">
        <f t="shared" si="143"/>
        <v>0</v>
      </c>
      <c r="H269" s="16">
        <f t="shared" si="143"/>
        <v>0</v>
      </c>
      <c r="I269" s="16">
        <f t="shared" si="143"/>
        <v>0</v>
      </c>
      <c r="J269" s="16">
        <f t="shared" si="143"/>
        <v>0</v>
      </c>
      <c r="K269" s="16">
        <f t="shared" si="143"/>
        <v>0</v>
      </c>
      <c r="L269" s="16">
        <f t="shared" si="143"/>
        <v>0</v>
      </c>
      <c r="M269" s="16">
        <f t="shared" si="143"/>
        <v>0</v>
      </c>
    </row>
    <row r="270" spans="1:13" ht="12.75">
      <c r="A270" s="62" t="str">
        <f t="shared" si="139"/>
        <v>Gas Line Compactor</v>
      </c>
      <c r="B270" s="4">
        <f>VLOOKUP(A270,'Const. Equip. EFs'!$A$5:$I$19,5,FALSE)</f>
        <v>0.44189162581779917</v>
      </c>
      <c r="C270" s="16">
        <f t="shared" si="140"/>
        <v>1.7675665032711967</v>
      </c>
      <c r="D270" s="16">
        <f aca="true" t="shared" si="144" ref="D270:M270">$B270*D230</f>
        <v>1.7675665032711967</v>
      </c>
      <c r="E270" s="16">
        <f t="shared" si="144"/>
        <v>1.7675665032711967</v>
      </c>
      <c r="F270" s="16">
        <f t="shared" si="144"/>
        <v>1.7675665032711967</v>
      </c>
      <c r="G270" s="16">
        <f t="shared" si="144"/>
        <v>0</v>
      </c>
      <c r="H270" s="16">
        <f t="shared" si="144"/>
        <v>0</v>
      </c>
      <c r="I270" s="16">
        <f t="shared" si="144"/>
        <v>0</v>
      </c>
      <c r="J270" s="16">
        <f t="shared" si="144"/>
        <v>0</v>
      </c>
      <c r="K270" s="16">
        <f t="shared" si="144"/>
        <v>0</v>
      </c>
      <c r="L270" s="16">
        <f t="shared" si="144"/>
        <v>0</v>
      </c>
      <c r="M270" s="16">
        <f t="shared" si="144"/>
        <v>0</v>
      </c>
    </row>
    <row r="271" spans="1:13" ht="12.75">
      <c r="A271" s="62" t="str">
        <f t="shared" si="139"/>
        <v>Gas Line Excavator</v>
      </c>
      <c r="B271" s="4">
        <f>VLOOKUP(A271,'Const. Equip. EFs'!$A$5:$I$19,5,FALSE)</f>
        <v>0.5504205288181995</v>
      </c>
      <c r="C271" s="16">
        <f t="shared" si="140"/>
        <v>3.302523172909197</v>
      </c>
      <c r="D271" s="16">
        <f aca="true" t="shared" si="145" ref="D271:M271">$B271*D231</f>
        <v>3.302523172909197</v>
      </c>
      <c r="E271" s="16">
        <f t="shared" si="145"/>
        <v>3.302523172909197</v>
      </c>
      <c r="F271" s="16">
        <f t="shared" si="145"/>
        <v>3.302523172909197</v>
      </c>
      <c r="G271" s="16">
        <f t="shared" si="145"/>
        <v>0</v>
      </c>
      <c r="H271" s="16">
        <f t="shared" si="145"/>
        <v>0</v>
      </c>
      <c r="I271" s="16">
        <f t="shared" si="145"/>
        <v>0</v>
      </c>
      <c r="J271" s="16">
        <f t="shared" si="145"/>
        <v>0</v>
      </c>
      <c r="K271" s="16">
        <f t="shared" si="145"/>
        <v>0</v>
      </c>
      <c r="L271" s="16">
        <f t="shared" si="145"/>
        <v>0</v>
      </c>
      <c r="M271" s="16">
        <f t="shared" si="145"/>
        <v>0</v>
      </c>
    </row>
    <row r="272" spans="1:13" ht="12.75">
      <c r="A272" s="62" t="str">
        <f t="shared" si="139"/>
        <v>Gas Line 15 ton crane</v>
      </c>
      <c r="B272" s="4">
        <f>VLOOKUP(A272,'Const. Equip. EFs'!$A$5:$I$19,5,FALSE)</f>
        <v>0.4118931567054769</v>
      </c>
      <c r="C272" s="16">
        <f t="shared" si="140"/>
        <v>3.295145253643815</v>
      </c>
      <c r="D272" s="16">
        <f aca="true" t="shared" si="146" ref="D272:M272">$B272*D232</f>
        <v>3.295145253643815</v>
      </c>
      <c r="E272" s="16">
        <f t="shared" si="146"/>
        <v>3.295145253643815</v>
      </c>
      <c r="F272" s="16">
        <f t="shared" si="146"/>
        <v>3.295145253643815</v>
      </c>
      <c r="G272" s="16">
        <f t="shared" si="146"/>
        <v>0</v>
      </c>
      <c r="H272" s="16">
        <f t="shared" si="146"/>
        <v>0</v>
      </c>
      <c r="I272" s="16">
        <f t="shared" si="146"/>
        <v>0</v>
      </c>
      <c r="J272" s="16">
        <f t="shared" si="146"/>
        <v>0</v>
      </c>
      <c r="K272" s="16">
        <f t="shared" si="146"/>
        <v>0</v>
      </c>
      <c r="L272" s="16">
        <f t="shared" si="146"/>
        <v>0</v>
      </c>
      <c r="M272" s="16">
        <f t="shared" si="146"/>
        <v>0</v>
      </c>
    </row>
    <row r="273" spans="1:13" ht="12.75">
      <c r="A273" s="62" t="str">
        <f t="shared" si="139"/>
        <v>Gas Line Roller</v>
      </c>
      <c r="B273" s="4">
        <f>VLOOKUP(A273,'Const. Equip. EFs'!$A$5:$I$19,5,FALSE)</f>
        <v>0.44189162581779917</v>
      </c>
      <c r="C273" s="16">
        <f t="shared" si="140"/>
        <v>1.7675665032711967</v>
      </c>
      <c r="D273" s="16">
        <f aca="true" t="shared" si="147" ref="D273:M273">$B273*D233</f>
        <v>1.7675665032711967</v>
      </c>
      <c r="E273" s="16">
        <f t="shared" si="147"/>
        <v>1.7675665032711967</v>
      </c>
      <c r="F273" s="16">
        <f t="shared" si="147"/>
        <v>1.7675665032711967</v>
      </c>
      <c r="G273" s="16">
        <f t="shared" si="147"/>
        <v>0</v>
      </c>
      <c r="H273" s="16">
        <f t="shared" si="147"/>
        <v>0</v>
      </c>
      <c r="I273" s="16">
        <f t="shared" si="147"/>
        <v>0</v>
      </c>
      <c r="J273" s="16">
        <f t="shared" si="147"/>
        <v>0</v>
      </c>
      <c r="K273" s="16">
        <f t="shared" si="147"/>
        <v>0</v>
      </c>
      <c r="L273" s="16">
        <f t="shared" si="147"/>
        <v>0</v>
      </c>
      <c r="M273" s="16">
        <f t="shared" si="147"/>
        <v>0</v>
      </c>
    </row>
    <row r="274" spans="1:13" ht="12.75">
      <c r="A274" s="62" t="str">
        <f t="shared" si="139"/>
        <v>Gas Line Reed Screen</v>
      </c>
      <c r="B274" s="4">
        <f>VLOOKUP(A274,'Const. Equip. EFs'!$A$5:$I$19,5,FALSE)</f>
        <v>0.5607213857211287</v>
      </c>
      <c r="C274" s="16">
        <f t="shared" si="140"/>
        <v>3.364328314326772</v>
      </c>
      <c r="D274" s="16">
        <f aca="true" t="shared" si="148" ref="D274:M274">$B274*D234</f>
        <v>3.364328314326772</v>
      </c>
      <c r="E274" s="16">
        <f t="shared" si="148"/>
        <v>3.364328314326772</v>
      </c>
      <c r="F274" s="16">
        <f t="shared" si="148"/>
        <v>3.364328314326772</v>
      </c>
      <c r="G274" s="16">
        <f t="shared" si="148"/>
        <v>0</v>
      </c>
      <c r="H274" s="16">
        <f t="shared" si="148"/>
        <v>0</v>
      </c>
      <c r="I274" s="16">
        <f t="shared" si="148"/>
        <v>0</v>
      </c>
      <c r="J274" s="16">
        <f t="shared" si="148"/>
        <v>0</v>
      </c>
      <c r="K274" s="16">
        <f t="shared" si="148"/>
        <v>0</v>
      </c>
      <c r="L274" s="16">
        <f t="shared" si="148"/>
        <v>0</v>
      </c>
      <c r="M274" s="16">
        <f t="shared" si="148"/>
        <v>0</v>
      </c>
    </row>
    <row r="275" spans="1:13" ht="12.75">
      <c r="A275" s="17" t="s">
        <v>151</v>
      </c>
      <c r="B275" s="17"/>
      <c r="C275" s="18">
        <f>SUM(C266:C274)</f>
        <v>31.53734289325394</v>
      </c>
      <c r="D275" s="18">
        <f aca="true" t="shared" si="149" ref="D275:M275">SUM(D266:D274)</f>
        <v>31.53734289325394</v>
      </c>
      <c r="E275" s="18">
        <f t="shared" si="149"/>
        <v>31.53734289325394</v>
      </c>
      <c r="F275" s="18">
        <f t="shared" si="149"/>
        <v>31.53734289325394</v>
      </c>
      <c r="G275" s="18">
        <f t="shared" si="149"/>
        <v>0</v>
      </c>
      <c r="H275" s="18">
        <f t="shared" si="149"/>
        <v>0</v>
      </c>
      <c r="I275" s="18">
        <f t="shared" si="149"/>
        <v>0</v>
      </c>
      <c r="J275" s="18">
        <f t="shared" si="149"/>
        <v>0</v>
      </c>
      <c r="K275" s="18">
        <f t="shared" si="149"/>
        <v>0</v>
      </c>
      <c r="L275" s="18">
        <f t="shared" si="149"/>
        <v>0</v>
      </c>
      <c r="M275" s="18">
        <f t="shared" si="149"/>
        <v>0</v>
      </c>
    </row>
    <row r="276" spans="1:13" ht="12.75">
      <c r="A276" s="17" t="str">
        <f aca="true" t="shared" si="150" ref="A276:A282">A235</f>
        <v>Motor Vehicles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>
      <c r="A277" s="62" t="str">
        <f t="shared" si="150"/>
        <v>On-Site Pickup Truck</v>
      </c>
      <c r="B277" s="4">
        <f>VLOOKUP($A277,'Vehicle EFs'!$A$22:$F$27,2,FALSE)</f>
        <v>0.01282</v>
      </c>
      <c r="C277" s="16">
        <f>$B277*C236</f>
        <v>0.7692</v>
      </c>
      <c r="D277" s="16">
        <f aca="true" t="shared" si="151" ref="D277:M277">$B277*D236</f>
        <v>0.7692</v>
      </c>
      <c r="E277" s="16">
        <f t="shared" si="151"/>
        <v>0.7692</v>
      </c>
      <c r="F277" s="16">
        <f t="shared" si="151"/>
        <v>0.7692</v>
      </c>
      <c r="G277" s="16">
        <f t="shared" si="151"/>
        <v>0</v>
      </c>
      <c r="H277" s="16">
        <f t="shared" si="151"/>
        <v>0</v>
      </c>
      <c r="I277" s="16">
        <f t="shared" si="151"/>
        <v>0</v>
      </c>
      <c r="J277" s="16">
        <f t="shared" si="151"/>
        <v>0</v>
      </c>
      <c r="K277" s="16">
        <f t="shared" si="151"/>
        <v>0</v>
      </c>
      <c r="L277" s="16">
        <f t="shared" si="151"/>
        <v>0</v>
      </c>
      <c r="M277" s="16">
        <f t="shared" si="151"/>
        <v>0</v>
      </c>
    </row>
    <row r="278" spans="1:13" ht="12.75">
      <c r="A278" s="62" t="str">
        <f t="shared" si="150"/>
        <v>Off-Site Dump Truck</v>
      </c>
      <c r="B278" s="4">
        <f>VLOOKUP($A278,'Vehicle EFs'!$A$22:$F$27,2,FALSE)</f>
        <v>0.005520326011330881</v>
      </c>
      <c r="C278" s="16">
        <f aca="true" t="shared" si="152" ref="C278:M282">$B278*C237</f>
        <v>0.4968293410197793</v>
      </c>
      <c r="D278" s="16">
        <f t="shared" si="152"/>
        <v>0.4968293410197793</v>
      </c>
      <c r="E278" s="16">
        <f t="shared" si="152"/>
        <v>0.4968293410197793</v>
      </c>
      <c r="F278" s="16">
        <f t="shared" si="152"/>
        <v>0.4968293410197793</v>
      </c>
      <c r="G278" s="16">
        <f t="shared" si="152"/>
        <v>0</v>
      </c>
      <c r="H278" s="16">
        <f t="shared" si="152"/>
        <v>0</v>
      </c>
      <c r="I278" s="16">
        <f t="shared" si="152"/>
        <v>0</v>
      </c>
      <c r="J278" s="16">
        <f t="shared" si="152"/>
        <v>0</v>
      </c>
      <c r="K278" s="16">
        <f t="shared" si="152"/>
        <v>0</v>
      </c>
      <c r="L278" s="16">
        <f t="shared" si="152"/>
        <v>0</v>
      </c>
      <c r="M278" s="16">
        <f t="shared" si="152"/>
        <v>0</v>
      </c>
    </row>
    <row r="279" spans="1:13" ht="12.75">
      <c r="A279" s="62" t="str">
        <f t="shared" si="150"/>
        <v>On-Site Water Truck</v>
      </c>
      <c r="B279" s="4">
        <f>VLOOKUP($A279,'Vehicle EFs'!$A$22:$F$27,2,FALSE)</f>
        <v>0.005520326011330881</v>
      </c>
      <c r="C279" s="16">
        <f t="shared" si="152"/>
        <v>0.11040652022661762</v>
      </c>
      <c r="D279" s="16">
        <f t="shared" si="152"/>
        <v>0.11040652022661762</v>
      </c>
      <c r="E279" s="16">
        <f t="shared" si="152"/>
        <v>0.11040652022661762</v>
      </c>
      <c r="F279" s="16">
        <f t="shared" si="152"/>
        <v>0.11040652022661762</v>
      </c>
      <c r="G279" s="16">
        <f t="shared" si="152"/>
        <v>0</v>
      </c>
      <c r="H279" s="16">
        <f t="shared" si="152"/>
        <v>0</v>
      </c>
      <c r="I279" s="16">
        <f t="shared" si="152"/>
        <v>0</v>
      </c>
      <c r="J279" s="16">
        <f t="shared" si="152"/>
        <v>0</v>
      </c>
      <c r="K279" s="16">
        <f t="shared" si="152"/>
        <v>0</v>
      </c>
      <c r="L279" s="16">
        <f t="shared" si="152"/>
        <v>0</v>
      </c>
      <c r="M279" s="16">
        <f t="shared" si="152"/>
        <v>0</v>
      </c>
    </row>
    <row r="280" spans="1:13" ht="12.75">
      <c r="A280" s="62" t="str">
        <f t="shared" si="150"/>
        <v>Off-Site Concrete Truck</v>
      </c>
      <c r="B280" s="4">
        <f>VLOOKUP($A280,'Vehicle EFs'!$A$22:$F$27,2,FALSE)</f>
        <v>0.005520326011330881</v>
      </c>
      <c r="C280" s="16">
        <f t="shared" si="152"/>
        <v>0.4416260809064705</v>
      </c>
      <c r="D280" s="16">
        <f t="shared" si="152"/>
        <v>0.4416260809064705</v>
      </c>
      <c r="E280" s="16">
        <f t="shared" si="152"/>
        <v>0.4416260809064705</v>
      </c>
      <c r="F280" s="16">
        <f t="shared" si="152"/>
        <v>0.4416260809064705</v>
      </c>
      <c r="G280" s="16">
        <f t="shared" si="152"/>
        <v>0</v>
      </c>
      <c r="H280" s="16">
        <f t="shared" si="152"/>
        <v>0</v>
      </c>
      <c r="I280" s="16">
        <f t="shared" si="152"/>
        <v>0</v>
      </c>
      <c r="J280" s="16">
        <f t="shared" si="152"/>
        <v>0</v>
      </c>
      <c r="K280" s="16">
        <f t="shared" si="152"/>
        <v>0</v>
      </c>
      <c r="L280" s="16">
        <f t="shared" si="152"/>
        <v>0</v>
      </c>
      <c r="M280" s="16">
        <f t="shared" si="152"/>
        <v>0</v>
      </c>
    </row>
    <row r="281" spans="1:13" ht="12.75">
      <c r="A281" s="62" t="str">
        <f t="shared" si="150"/>
        <v>Off-Site Delivery Truck</v>
      </c>
      <c r="B281" s="4">
        <f>VLOOKUP($A281,'Vehicle EFs'!$A$22:$F$27,2,FALSE)</f>
        <v>0.005520326011330881</v>
      </c>
      <c r="C281" s="16">
        <f t="shared" si="152"/>
        <v>0.4416260809064705</v>
      </c>
      <c r="D281" s="16">
        <f t="shared" si="152"/>
        <v>0.4416260809064705</v>
      </c>
      <c r="E281" s="16">
        <f t="shared" si="152"/>
        <v>0.4416260809064705</v>
      </c>
      <c r="F281" s="16">
        <f t="shared" si="152"/>
        <v>0.4416260809064705</v>
      </c>
      <c r="G281" s="16">
        <f t="shared" si="152"/>
        <v>0</v>
      </c>
      <c r="H281" s="16">
        <f t="shared" si="152"/>
        <v>0</v>
      </c>
      <c r="I281" s="16">
        <f t="shared" si="152"/>
        <v>0</v>
      </c>
      <c r="J281" s="16">
        <f t="shared" si="152"/>
        <v>0</v>
      </c>
      <c r="K281" s="16">
        <f t="shared" si="152"/>
        <v>0</v>
      </c>
      <c r="L281" s="16">
        <f t="shared" si="152"/>
        <v>0</v>
      </c>
      <c r="M281" s="16">
        <f t="shared" si="152"/>
        <v>0</v>
      </c>
    </row>
    <row r="282" spans="1:13" ht="12.75">
      <c r="A282" s="62" t="str">
        <f t="shared" si="150"/>
        <v>Off-Site Construction Worker Commute</v>
      </c>
      <c r="B282" s="4">
        <f>VLOOKUP($A282,'Vehicle EFs'!$A$22:$F$27,2,FALSE)</f>
        <v>0.01282</v>
      </c>
      <c r="C282" s="16">
        <f t="shared" si="152"/>
        <v>20.512</v>
      </c>
      <c r="D282" s="16">
        <f t="shared" si="152"/>
        <v>20.512</v>
      </c>
      <c r="E282" s="16">
        <f t="shared" si="152"/>
        <v>20.512</v>
      </c>
      <c r="F282" s="16">
        <f t="shared" si="152"/>
        <v>20.512</v>
      </c>
      <c r="G282" s="16">
        <f t="shared" si="152"/>
        <v>0</v>
      </c>
      <c r="H282" s="16">
        <f t="shared" si="152"/>
        <v>0</v>
      </c>
      <c r="I282" s="16">
        <f t="shared" si="152"/>
        <v>0</v>
      </c>
      <c r="J282" s="16">
        <f t="shared" si="152"/>
        <v>0</v>
      </c>
      <c r="K282" s="16">
        <f t="shared" si="152"/>
        <v>0</v>
      </c>
      <c r="L282" s="16">
        <f t="shared" si="152"/>
        <v>0</v>
      </c>
      <c r="M282" s="16">
        <f t="shared" si="152"/>
        <v>0</v>
      </c>
    </row>
    <row r="283" spans="1:13" ht="12.75">
      <c r="A283" s="17" t="s">
        <v>152</v>
      </c>
      <c r="B283" s="17"/>
      <c r="C283" s="18">
        <f>C277+C279</f>
        <v>0.8796065202266177</v>
      </c>
      <c r="D283" s="18">
        <f aca="true" t="shared" si="153" ref="D283:M283">D277+D279</f>
        <v>0.8796065202266177</v>
      </c>
      <c r="E283" s="18">
        <f t="shared" si="153"/>
        <v>0.8796065202266177</v>
      </c>
      <c r="F283" s="18">
        <f t="shared" si="153"/>
        <v>0.8796065202266177</v>
      </c>
      <c r="G283" s="18">
        <f t="shared" si="153"/>
        <v>0</v>
      </c>
      <c r="H283" s="18">
        <f t="shared" si="153"/>
        <v>0</v>
      </c>
      <c r="I283" s="18">
        <f t="shared" si="153"/>
        <v>0</v>
      </c>
      <c r="J283" s="18">
        <f t="shared" si="153"/>
        <v>0</v>
      </c>
      <c r="K283" s="18">
        <f t="shared" si="153"/>
        <v>0</v>
      </c>
      <c r="L283" s="18">
        <f t="shared" si="153"/>
        <v>0</v>
      </c>
      <c r="M283" s="18">
        <f t="shared" si="153"/>
        <v>0</v>
      </c>
    </row>
    <row r="284" spans="1:13" ht="12.75">
      <c r="A284" s="17" t="s">
        <v>153</v>
      </c>
      <c r="B284" s="17"/>
      <c r="C284" s="18">
        <f>C278+SUM(C280:C282)</f>
        <v>21.89208150283272</v>
      </c>
      <c r="D284" s="18">
        <f aca="true" t="shared" si="154" ref="D284:M284">D278+SUM(D280:D282)</f>
        <v>21.89208150283272</v>
      </c>
      <c r="E284" s="18">
        <f t="shared" si="154"/>
        <v>21.89208150283272</v>
      </c>
      <c r="F284" s="18">
        <f t="shared" si="154"/>
        <v>21.89208150283272</v>
      </c>
      <c r="G284" s="18">
        <f t="shared" si="154"/>
        <v>0</v>
      </c>
      <c r="H284" s="18">
        <f t="shared" si="154"/>
        <v>0</v>
      </c>
      <c r="I284" s="18">
        <f t="shared" si="154"/>
        <v>0</v>
      </c>
      <c r="J284" s="18">
        <f t="shared" si="154"/>
        <v>0</v>
      </c>
      <c r="K284" s="18">
        <f t="shared" si="154"/>
        <v>0</v>
      </c>
      <c r="L284" s="18">
        <f t="shared" si="154"/>
        <v>0</v>
      </c>
      <c r="M284" s="18">
        <f t="shared" si="154"/>
        <v>0</v>
      </c>
    </row>
    <row r="285" ht="12.75">
      <c r="A285" s="19" t="s">
        <v>43</v>
      </c>
    </row>
    <row r="286" ht="12.75">
      <c r="A286" s="19"/>
    </row>
    <row r="287" spans="1:13" ht="12.75">
      <c r="A287" s="133" t="s">
        <v>218</v>
      </c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</row>
    <row r="288" spans="1:13" ht="12.75">
      <c r="A288" s="134" t="str">
        <f>$B$1&amp;" Equipment and Motor Vehicle VOC Emissions"</f>
        <v>Mira Loma Construction Equipment and Motor Vehicle VOC Emissions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2" t="str">
        <f>A245</f>
        <v>Equipment/Vehicle Type</v>
      </c>
      <c r="B289" s="142" t="s">
        <v>154</v>
      </c>
      <c r="C289" s="132" t="s">
        <v>166</v>
      </c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</row>
    <row r="290" spans="1:13" ht="12.75">
      <c r="A290" s="141"/>
      <c r="B290" s="138"/>
      <c r="C290" s="63">
        <f>C246</f>
        <v>39139</v>
      </c>
      <c r="D290" s="63">
        <f aca="true" t="shared" si="155" ref="D290:M290">D246</f>
        <v>39153</v>
      </c>
      <c r="E290" s="63">
        <f t="shared" si="155"/>
        <v>39167</v>
      </c>
      <c r="F290" s="63">
        <f t="shared" si="155"/>
        <v>39181</v>
      </c>
      <c r="G290" s="63">
        <f t="shared" si="155"/>
        <v>39195</v>
      </c>
      <c r="H290" s="63">
        <f t="shared" si="155"/>
        <v>39209</v>
      </c>
      <c r="I290" s="63">
        <f t="shared" si="155"/>
        <v>39223</v>
      </c>
      <c r="J290" s="63">
        <f t="shared" si="155"/>
        <v>39237</v>
      </c>
      <c r="K290" s="63">
        <f t="shared" si="155"/>
        <v>39251</v>
      </c>
      <c r="L290" s="63">
        <f t="shared" si="155"/>
        <v>39265</v>
      </c>
      <c r="M290" s="63">
        <f t="shared" si="155"/>
        <v>39279</v>
      </c>
    </row>
    <row r="291" spans="1:13" ht="12.75">
      <c r="A291" s="17" t="str">
        <f>A247</f>
        <v>Power Plant</v>
      </c>
      <c r="B291" s="92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2.75">
      <c r="A292" s="17" t="str">
        <f>A248</f>
        <v>Construction Equipment</v>
      </c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62" t="str">
        <f>A249</f>
        <v>Welding rigs</v>
      </c>
      <c r="B293" s="4">
        <f>VLOOKUP(A293,'Const. Equip. EFs'!$A$5:$I$19,6,FALSE)</f>
        <v>0.13921821719309274</v>
      </c>
      <c r="C293" s="16">
        <f>$B293*C212</f>
        <v>1.670618606317113</v>
      </c>
      <c r="D293" s="16">
        <f aca="true" t="shared" si="156" ref="D293:M293">$B293*D212</f>
        <v>1.670618606317113</v>
      </c>
      <c r="E293" s="16">
        <f t="shared" si="156"/>
        <v>1.670618606317113</v>
      </c>
      <c r="F293" s="16">
        <f t="shared" si="156"/>
        <v>1.670618606317113</v>
      </c>
      <c r="G293" s="16">
        <f t="shared" si="156"/>
        <v>1.670618606317113</v>
      </c>
      <c r="H293" s="16">
        <f t="shared" si="156"/>
        <v>1.670618606317113</v>
      </c>
      <c r="I293" s="16">
        <f t="shared" si="156"/>
        <v>0.8353093031585564</v>
      </c>
      <c r="J293" s="16">
        <f t="shared" si="156"/>
        <v>0.8353093031585564</v>
      </c>
      <c r="K293" s="16">
        <f t="shared" si="156"/>
        <v>0</v>
      </c>
      <c r="L293" s="16">
        <f t="shared" si="156"/>
        <v>0</v>
      </c>
      <c r="M293" s="16">
        <f t="shared" si="156"/>
        <v>0</v>
      </c>
    </row>
    <row r="294" spans="1:13" ht="12.75">
      <c r="A294" s="62" t="str">
        <f aca="true" t="shared" si="157" ref="A294:A328">A250</f>
        <v>Backhoe</v>
      </c>
      <c r="B294" s="4">
        <f>VLOOKUP(A294,'Const. Equip. EFs'!$A$5:$I$19,6,FALSE)</f>
        <v>0.11789846155883012</v>
      </c>
      <c r="C294" s="16">
        <f aca="true" t="shared" si="158" ref="C294:M298">$B294*C213</f>
        <v>0.7073907693529807</v>
      </c>
      <c r="D294" s="16">
        <f t="shared" si="158"/>
        <v>1.4147815387059615</v>
      </c>
      <c r="E294" s="16">
        <f t="shared" si="158"/>
        <v>1.4147815387059615</v>
      </c>
      <c r="F294" s="16">
        <f t="shared" si="158"/>
        <v>0.7073907693529807</v>
      </c>
      <c r="G294" s="16">
        <f t="shared" si="158"/>
        <v>0.7073907693529807</v>
      </c>
      <c r="H294" s="16">
        <f t="shared" si="158"/>
        <v>0</v>
      </c>
      <c r="I294" s="16">
        <f t="shared" si="158"/>
        <v>0</v>
      </c>
      <c r="J294" s="16">
        <f t="shared" si="158"/>
        <v>0</v>
      </c>
      <c r="K294" s="16">
        <f t="shared" si="158"/>
        <v>0</v>
      </c>
      <c r="L294" s="16">
        <f t="shared" si="158"/>
        <v>0</v>
      </c>
      <c r="M294" s="16">
        <f t="shared" si="158"/>
        <v>0</v>
      </c>
    </row>
    <row r="295" spans="1:13" ht="12.75">
      <c r="A295" s="62" t="str">
        <f t="shared" si="157"/>
        <v>Compressor</v>
      </c>
      <c r="B295" s="4">
        <f>VLOOKUP(A295,'Const. Equip. EFs'!$A$5:$I$19,6,FALSE)</f>
        <v>0.1306045214175718</v>
      </c>
      <c r="C295" s="16">
        <f t="shared" si="158"/>
        <v>0.7836271285054308</v>
      </c>
      <c r="D295" s="16">
        <f t="shared" si="158"/>
        <v>1.5672542570108616</v>
      </c>
      <c r="E295" s="16">
        <f t="shared" si="158"/>
        <v>3.1345085140217233</v>
      </c>
      <c r="F295" s="16">
        <f t="shared" si="158"/>
        <v>3.1345085140217233</v>
      </c>
      <c r="G295" s="16">
        <f t="shared" si="158"/>
        <v>3.1345085140217233</v>
      </c>
      <c r="H295" s="16">
        <f t="shared" si="158"/>
        <v>2.3508813855162924</v>
      </c>
      <c r="I295" s="16">
        <f t="shared" si="158"/>
        <v>1.5672542570108616</v>
      </c>
      <c r="J295" s="16">
        <f t="shared" si="158"/>
        <v>1.5672542570108616</v>
      </c>
      <c r="K295" s="16">
        <f t="shared" si="158"/>
        <v>0</v>
      </c>
      <c r="L295" s="16">
        <f t="shared" si="158"/>
        <v>0</v>
      </c>
      <c r="M295" s="16">
        <f t="shared" si="158"/>
        <v>0</v>
      </c>
    </row>
    <row r="296" spans="1:13" ht="12.75">
      <c r="A296" s="62" t="str">
        <f t="shared" si="157"/>
        <v>Front-end  loader</v>
      </c>
      <c r="B296" s="4">
        <f>VLOOKUP(A296,'Const. Equip. EFs'!$A$5:$I$19,6,FALSE)</f>
        <v>0.17594500463758003</v>
      </c>
      <c r="C296" s="16">
        <f t="shared" si="158"/>
        <v>0</v>
      </c>
      <c r="D296" s="16">
        <f t="shared" si="158"/>
        <v>1.0556700278254803</v>
      </c>
      <c r="E296" s="16">
        <f t="shared" si="158"/>
        <v>1.0556700278254803</v>
      </c>
      <c r="F296" s="16">
        <f t="shared" si="158"/>
        <v>1.0556700278254803</v>
      </c>
      <c r="G296" s="16">
        <f t="shared" si="158"/>
        <v>1.0556700278254803</v>
      </c>
      <c r="H296" s="16">
        <f t="shared" si="158"/>
        <v>0</v>
      </c>
      <c r="I296" s="16">
        <f t="shared" si="158"/>
        <v>0</v>
      </c>
      <c r="J296" s="16">
        <f t="shared" si="158"/>
        <v>0</v>
      </c>
      <c r="K296" s="16">
        <f t="shared" si="158"/>
        <v>0</v>
      </c>
      <c r="L296" s="16">
        <f t="shared" si="158"/>
        <v>0</v>
      </c>
      <c r="M296" s="16">
        <f t="shared" si="158"/>
        <v>0</v>
      </c>
    </row>
    <row r="297" spans="1:13" ht="12.75">
      <c r="A297" s="62" t="str">
        <f t="shared" si="157"/>
        <v>15 ton crane</v>
      </c>
      <c r="B297" s="4">
        <f>VLOOKUP(A297,'Const. Equip. EFs'!$A$5:$I$19,6,FALSE)</f>
        <v>0.14174698241110154</v>
      </c>
      <c r="C297" s="16">
        <f t="shared" si="158"/>
        <v>0</v>
      </c>
      <c r="D297" s="16">
        <f t="shared" si="158"/>
        <v>0.8504818944666093</v>
      </c>
      <c r="E297" s="16">
        <f t="shared" si="158"/>
        <v>0.8504818944666093</v>
      </c>
      <c r="F297" s="16">
        <f t="shared" si="158"/>
        <v>2.5514456833998276</v>
      </c>
      <c r="G297" s="16">
        <f t="shared" si="158"/>
        <v>1.7009637889332185</v>
      </c>
      <c r="H297" s="16">
        <f t="shared" si="158"/>
        <v>1.7009637889332185</v>
      </c>
      <c r="I297" s="16">
        <f t="shared" si="158"/>
        <v>1.7009637889332185</v>
      </c>
      <c r="J297" s="16">
        <f t="shared" si="158"/>
        <v>1.7009637889332185</v>
      </c>
      <c r="K297" s="16">
        <f t="shared" si="158"/>
        <v>0</v>
      </c>
      <c r="L297" s="16">
        <f t="shared" si="158"/>
        <v>0</v>
      </c>
      <c r="M297" s="16">
        <f t="shared" si="158"/>
        <v>0</v>
      </c>
    </row>
    <row r="298" spans="1:13" ht="12.75">
      <c r="A298" s="62" t="str">
        <f t="shared" si="157"/>
        <v>75 ton crane</v>
      </c>
      <c r="B298" s="4">
        <f>VLOOKUP(A298,'Const. Equip. EFs'!$A$5:$I$19,6,FALSE)</f>
        <v>0.14779746601712468</v>
      </c>
      <c r="C298" s="16">
        <f t="shared" si="158"/>
        <v>0</v>
      </c>
      <c r="D298" s="16">
        <f t="shared" si="158"/>
        <v>0</v>
      </c>
      <c r="E298" s="16">
        <f t="shared" si="158"/>
        <v>0</v>
      </c>
      <c r="F298" s="16">
        <f t="shared" si="158"/>
        <v>0.8867847961027481</v>
      </c>
      <c r="G298" s="16">
        <f t="shared" si="158"/>
        <v>0</v>
      </c>
      <c r="H298" s="16">
        <f t="shared" si="158"/>
        <v>0</v>
      </c>
      <c r="I298" s="16">
        <f t="shared" si="158"/>
        <v>0</v>
      </c>
      <c r="J298" s="16">
        <f t="shared" si="158"/>
        <v>0</v>
      </c>
      <c r="K298" s="16">
        <f t="shared" si="158"/>
        <v>0</v>
      </c>
      <c r="L298" s="16">
        <f t="shared" si="158"/>
        <v>0</v>
      </c>
      <c r="M298" s="16">
        <f t="shared" si="158"/>
        <v>0</v>
      </c>
    </row>
    <row r="299" spans="1:13" ht="12.75">
      <c r="A299" s="17" t="str">
        <f t="shared" si="157"/>
        <v>Construction Equipment Total</v>
      </c>
      <c r="B299" s="17"/>
      <c r="C299" s="18">
        <f aca="true" t="shared" si="159" ref="C299:M299">SUM(C293:C298)</f>
        <v>3.1616365041755246</v>
      </c>
      <c r="D299" s="18">
        <f t="shared" si="159"/>
        <v>6.558806324326026</v>
      </c>
      <c r="E299" s="18">
        <f t="shared" si="159"/>
        <v>8.126060581336887</v>
      </c>
      <c r="F299" s="18">
        <f t="shared" si="159"/>
        <v>10.006418397019875</v>
      </c>
      <c r="G299" s="18">
        <f t="shared" si="159"/>
        <v>8.269151706450517</v>
      </c>
      <c r="H299" s="18">
        <f t="shared" si="159"/>
        <v>5.722463780766624</v>
      </c>
      <c r="I299" s="18">
        <f t="shared" si="159"/>
        <v>4.103527349102636</v>
      </c>
      <c r="J299" s="18">
        <f t="shared" si="159"/>
        <v>4.103527349102636</v>
      </c>
      <c r="K299" s="18">
        <f t="shared" si="159"/>
        <v>0</v>
      </c>
      <c r="L299" s="18">
        <f t="shared" si="159"/>
        <v>0</v>
      </c>
      <c r="M299" s="18">
        <f t="shared" si="159"/>
        <v>0</v>
      </c>
    </row>
    <row r="300" spans="1:13" ht="12.75">
      <c r="A300" s="17" t="str">
        <f t="shared" si="157"/>
        <v>Motor Vehicles</v>
      </c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62" t="str">
        <f t="shared" si="157"/>
        <v>On-Site Pickup Truck</v>
      </c>
      <c r="B301" s="4">
        <f>VLOOKUP($A301,'Vehicle EFs'!$A$22:$F$27,3,FALSE)</f>
        <v>0.001383</v>
      </c>
      <c r="C301" s="16">
        <f>$B301*C219</f>
        <v>0.034574999999999995</v>
      </c>
      <c r="D301" s="16">
        <f aca="true" t="shared" si="160" ref="D301:M301">$B301*D219</f>
        <v>0.06914999999999999</v>
      </c>
      <c r="E301" s="16">
        <f t="shared" si="160"/>
        <v>0.06914999999999999</v>
      </c>
      <c r="F301" s="16">
        <f t="shared" si="160"/>
        <v>0.103725</v>
      </c>
      <c r="G301" s="16">
        <f t="shared" si="160"/>
        <v>0.103725</v>
      </c>
      <c r="H301" s="16">
        <f t="shared" si="160"/>
        <v>0.06914999999999999</v>
      </c>
      <c r="I301" s="16">
        <f t="shared" si="160"/>
        <v>0.06914999999999999</v>
      </c>
      <c r="J301" s="16">
        <f t="shared" si="160"/>
        <v>0.06914999999999999</v>
      </c>
      <c r="K301" s="16">
        <f t="shared" si="160"/>
        <v>0.034574999999999995</v>
      </c>
      <c r="L301" s="16">
        <f t="shared" si="160"/>
        <v>0</v>
      </c>
      <c r="M301" s="16">
        <f t="shared" si="160"/>
        <v>0</v>
      </c>
    </row>
    <row r="302" spans="1:13" ht="12.75">
      <c r="A302" s="62" t="str">
        <f t="shared" si="157"/>
        <v>Off-Site Dump Truck</v>
      </c>
      <c r="B302" s="4">
        <f>VLOOKUP($A302,'Vehicle EFs'!$A$22:$F$27,3,FALSE)</f>
        <v>0.0012265182387436637</v>
      </c>
      <c r="C302" s="16">
        <f>$B302*C220</f>
        <v>0.06132591193718319</v>
      </c>
      <c r="D302" s="16">
        <f aca="true" t="shared" si="161" ref="D302:M302">$B302*D220</f>
        <v>0.12265182387436638</v>
      </c>
      <c r="E302" s="16">
        <f t="shared" si="161"/>
        <v>0.12265182387436638</v>
      </c>
      <c r="F302" s="16">
        <f t="shared" si="161"/>
        <v>0.06132591193718319</v>
      </c>
      <c r="G302" s="16">
        <f t="shared" si="161"/>
        <v>0.06132591193718319</v>
      </c>
      <c r="H302" s="16">
        <f t="shared" si="161"/>
        <v>0</v>
      </c>
      <c r="I302" s="16">
        <f t="shared" si="161"/>
        <v>0</v>
      </c>
      <c r="J302" s="16">
        <f t="shared" si="161"/>
        <v>0</v>
      </c>
      <c r="K302" s="16">
        <f t="shared" si="161"/>
        <v>0</v>
      </c>
      <c r="L302" s="16">
        <f t="shared" si="161"/>
        <v>0</v>
      </c>
      <c r="M302" s="16">
        <f t="shared" si="161"/>
        <v>0</v>
      </c>
    </row>
    <row r="303" spans="1:13" ht="12.75">
      <c r="A303" s="62" t="str">
        <f t="shared" si="157"/>
        <v>Off-Site Concrete Truck</v>
      </c>
      <c r="B303" s="4">
        <f>VLOOKUP($A303,'Vehicle EFs'!$A$22:$F$27,3,FALSE)</f>
        <v>0.0012265182387436637</v>
      </c>
      <c r="C303" s="16">
        <f>$B303*C221</f>
        <v>0</v>
      </c>
      <c r="D303" s="16">
        <f aca="true" t="shared" si="162" ref="D303:M303">$B303*D221</f>
        <v>0.30662955968591593</v>
      </c>
      <c r="E303" s="16">
        <f t="shared" si="162"/>
        <v>0.30662955968591593</v>
      </c>
      <c r="F303" s="16">
        <f t="shared" si="162"/>
        <v>0</v>
      </c>
      <c r="G303" s="16">
        <f t="shared" si="162"/>
        <v>0</v>
      </c>
      <c r="H303" s="16">
        <f t="shared" si="162"/>
        <v>0</v>
      </c>
      <c r="I303" s="16">
        <f t="shared" si="162"/>
        <v>0</v>
      </c>
      <c r="J303" s="16">
        <f t="shared" si="162"/>
        <v>0</v>
      </c>
      <c r="K303" s="16">
        <f t="shared" si="162"/>
        <v>0</v>
      </c>
      <c r="L303" s="16">
        <f t="shared" si="162"/>
        <v>0</v>
      </c>
      <c r="M303" s="16">
        <f t="shared" si="162"/>
        <v>0</v>
      </c>
    </row>
    <row r="304" spans="1:13" ht="12.75">
      <c r="A304" s="62" t="str">
        <f t="shared" si="157"/>
        <v>Off-Site Delivery Truck</v>
      </c>
      <c r="B304" s="4">
        <f>VLOOKUP($A304,'Vehicle EFs'!$A$22:$F$27,3,FALSE)</f>
        <v>0.0012265182387436637</v>
      </c>
      <c r="C304" s="16">
        <f aca="true" t="shared" si="163" ref="C304:M304">$B304*C222</f>
        <v>0</v>
      </c>
      <c r="D304" s="16">
        <f t="shared" si="163"/>
        <v>0.06132591193718319</v>
      </c>
      <c r="E304" s="16">
        <f t="shared" si="163"/>
        <v>0.06132591193718319</v>
      </c>
      <c r="F304" s="16">
        <f t="shared" si="163"/>
        <v>0.06132591193718319</v>
      </c>
      <c r="G304" s="16">
        <f t="shared" si="163"/>
        <v>0.06132591193718319</v>
      </c>
      <c r="H304" s="16">
        <f t="shared" si="163"/>
        <v>0.06132591193718319</v>
      </c>
      <c r="I304" s="16">
        <f t="shared" si="163"/>
        <v>0.06132591193718319</v>
      </c>
      <c r="J304" s="16">
        <f t="shared" si="163"/>
        <v>0.06132591193718319</v>
      </c>
      <c r="K304" s="16">
        <f t="shared" si="163"/>
        <v>0</v>
      </c>
      <c r="L304" s="16">
        <f t="shared" si="163"/>
        <v>0</v>
      </c>
      <c r="M304" s="16">
        <f t="shared" si="163"/>
        <v>0</v>
      </c>
    </row>
    <row r="305" spans="1:13" ht="12.75">
      <c r="A305" s="62" t="str">
        <f t="shared" si="157"/>
        <v>Off-Site Construction Worker Commute</v>
      </c>
      <c r="B305" s="4">
        <f>VLOOKUP($A305,'Vehicle EFs'!$A$22:$F$27,3,FALSE)</f>
        <v>0.001383</v>
      </c>
      <c r="C305" s="16">
        <f aca="true" t="shared" si="164" ref="C305:M305">$B305*C223</f>
        <v>0.29042999999999997</v>
      </c>
      <c r="D305" s="16">
        <f t="shared" si="164"/>
        <v>1.06491</v>
      </c>
      <c r="E305" s="16">
        <f t="shared" si="164"/>
        <v>1.4521499999999998</v>
      </c>
      <c r="F305" s="16">
        <f t="shared" si="164"/>
        <v>1.8393899999999999</v>
      </c>
      <c r="G305" s="16">
        <f t="shared" si="164"/>
        <v>1.7425799999999998</v>
      </c>
      <c r="H305" s="16">
        <f t="shared" si="164"/>
        <v>1.1617199999999999</v>
      </c>
      <c r="I305" s="16">
        <f t="shared" si="164"/>
        <v>1.1617199999999999</v>
      </c>
      <c r="J305" s="16">
        <f t="shared" si="164"/>
        <v>0.77448</v>
      </c>
      <c r="K305" s="16">
        <f t="shared" si="164"/>
        <v>0.19362</v>
      </c>
      <c r="L305" s="16">
        <f t="shared" si="164"/>
        <v>0</v>
      </c>
      <c r="M305" s="16">
        <f t="shared" si="164"/>
        <v>0</v>
      </c>
    </row>
    <row r="306" spans="1:13" ht="12.75">
      <c r="A306" s="17" t="str">
        <f t="shared" si="157"/>
        <v>On-Site Motor Vehicle Total</v>
      </c>
      <c r="B306" s="17"/>
      <c r="C306" s="18">
        <f aca="true" t="shared" si="165" ref="C306:M306">C301</f>
        <v>0.034574999999999995</v>
      </c>
      <c r="D306" s="18">
        <f t="shared" si="165"/>
        <v>0.06914999999999999</v>
      </c>
      <c r="E306" s="18">
        <f t="shared" si="165"/>
        <v>0.06914999999999999</v>
      </c>
      <c r="F306" s="18">
        <f t="shared" si="165"/>
        <v>0.103725</v>
      </c>
      <c r="G306" s="18">
        <f t="shared" si="165"/>
        <v>0.103725</v>
      </c>
      <c r="H306" s="18">
        <f t="shared" si="165"/>
        <v>0.06914999999999999</v>
      </c>
      <c r="I306" s="18">
        <f t="shared" si="165"/>
        <v>0.06914999999999999</v>
      </c>
      <c r="J306" s="18">
        <f t="shared" si="165"/>
        <v>0.06914999999999999</v>
      </c>
      <c r="K306" s="18">
        <f t="shared" si="165"/>
        <v>0.034574999999999995</v>
      </c>
      <c r="L306" s="18">
        <f t="shared" si="165"/>
        <v>0</v>
      </c>
      <c r="M306" s="18">
        <f t="shared" si="165"/>
        <v>0</v>
      </c>
    </row>
    <row r="307" spans="1:13" ht="12.75">
      <c r="A307" s="17" t="str">
        <f t="shared" si="157"/>
        <v>Off-Site Motor Vehicle Total</v>
      </c>
      <c r="B307" s="17"/>
      <c r="C307" s="18">
        <f aca="true" t="shared" si="166" ref="C307:M307">SUM(C302:C305)</f>
        <v>0.35175591193718314</v>
      </c>
      <c r="D307" s="18">
        <f t="shared" si="166"/>
        <v>1.5555172954974656</v>
      </c>
      <c r="E307" s="18">
        <f t="shared" si="166"/>
        <v>1.9427572954974655</v>
      </c>
      <c r="F307" s="18">
        <f t="shared" si="166"/>
        <v>1.9620418238743662</v>
      </c>
      <c r="G307" s="18">
        <f t="shared" si="166"/>
        <v>1.8652318238743661</v>
      </c>
      <c r="H307" s="18">
        <f t="shared" si="166"/>
        <v>1.223045911937183</v>
      </c>
      <c r="I307" s="18">
        <f t="shared" si="166"/>
        <v>1.223045911937183</v>
      </c>
      <c r="J307" s="18">
        <f t="shared" si="166"/>
        <v>0.8358059119371831</v>
      </c>
      <c r="K307" s="18">
        <f t="shared" si="166"/>
        <v>0.19362</v>
      </c>
      <c r="L307" s="18">
        <f t="shared" si="166"/>
        <v>0</v>
      </c>
      <c r="M307" s="18">
        <f t="shared" si="166"/>
        <v>0</v>
      </c>
    </row>
    <row r="308" spans="1:13" ht="12.75">
      <c r="A308" s="17" t="str">
        <f t="shared" si="157"/>
        <v>Gas Line</v>
      </c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>
      <c r="A309" s="17" t="str">
        <f t="shared" si="157"/>
        <v>Construction Equipment</v>
      </c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62" t="str">
        <f t="shared" si="157"/>
        <v>Gas Line Welding rigs</v>
      </c>
      <c r="B310" s="4">
        <f>VLOOKUP(A310,'Const. Equip. EFs'!$A$5:$I$19,6,FALSE)</f>
        <v>0.13921821719309274</v>
      </c>
      <c r="C310" s="16">
        <f>$B310*C226</f>
        <v>3.341237212634226</v>
      </c>
      <c r="D310" s="16">
        <f aca="true" t="shared" si="167" ref="D310:M310">$B310*D226</f>
        <v>3.341237212634226</v>
      </c>
      <c r="E310" s="16">
        <f t="shared" si="167"/>
        <v>3.341237212634226</v>
      </c>
      <c r="F310" s="16">
        <f t="shared" si="167"/>
        <v>3.341237212634226</v>
      </c>
      <c r="G310" s="16">
        <f t="shared" si="167"/>
        <v>0</v>
      </c>
      <c r="H310" s="16">
        <f t="shared" si="167"/>
        <v>0</v>
      </c>
      <c r="I310" s="16">
        <f t="shared" si="167"/>
        <v>0</v>
      </c>
      <c r="J310" s="16">
        <f t="shared" si="167"/>
        <v>0</v>
      </c>
      <c r="K310" s="16">
        <f t="shared" si="167"/>
        <v>0</v>
      </c>
      <c r="L310" s="16">
        <f t="shared" si="167"/>
        <v>0</v>
      </c>
      <c r="M310" s="16">
        <f t="shared" si="167"/>
        <v>0</v>
      </c>
    </row>
    <row r="311" spans="1:13" ht="12.75">
      <c r="A311" s="62" t="str">
        <f t="shared" si="157"/>
        <v>Gas Line Backhoe</v>
      </c>
      <c r="B311" s="4">
        <f>VLOOKUP(A311,'Const. Equip. EFs'!$A$5:$I$19,6,FALSE)</f>
        <v>0.11789846155883012</v>
      </c>
      <c r="C311" s="16">
        <f aca="true" t="shared" si="168" ref="C311:M318">$B311*C227</f>
        <v>0.7073907693529807</v>
      </c>
      <c r="D311" s="16">
        <f t="shared" si="168"/>
        <v>0.7073907693529807</v>
      </c>
      <c r="E311" s="16">
        <f t="shared" si="168"/>
        <v>0.7073907693529807</v>
      </c>
      <c r="F311" s="16">
        <f t="shared" si="168"/>
        <v>0.7073907693529807</v>
      </c>
      <c r="G311" s="16">
        <f t="shared" si="168"/>
        <v>0</v>
      </c>
      <c r="H311" s="16">
        <f t="shared" si="168"/>
        <v>0</v>
      </c>
      <c r="I311" s="16">
        <f t="shared" si="168"/>
        <v>0</v>
      </c>
      <c r="J311" s="16">
        <f t="shared" si="168"/>
        <v>0</v>
      </c>
      <c r="K311" s="16">
        <f t="shared" si="168"/>
        <v>0</v>
      </c>
      <c r="L311" s="16">
        <f t="shared" si="168"/>
        <v>0</v>
      </c>
      <c r="M311" s="16">
        <f t="shared" si="168"/>
        <v>0</v>
      </c>
    </row>
    <row r="312" spans="1:13" ht="12.75">
      <c r="A312" s="62" t="str">
        <f t="shared" si="157"/>
        <v>Gas Line Compressor</v>
      </c>
      <c r="B312" s="4">
        <f>VLOOKUP(A312,'Const. Equip. EFs'!$A$5:$I$19,6,FALSE)</f>
        <v>0.1306045214175718</v>
      </c>
      <c r="C312" s="16">
        <f t="shared" si="168"/>
        <v>0.7836271285054308</v>
      </c>
      <c r="D312" s="16">
        <f t="shared" si="168"/>
        <v>0.7836271285054308</v>
      </c>
      <c r="E312" s="16">
        <f t="shared" si="168"/>
        <v>0.7836271285054308</v>
      </c>
      <c r="F312" s="16">
        <f t="shared" si="168"/>
        <v>0.7836271285054308</v>
      </c>
      <c r="G312" s="16">
        <f t="shared" si="168"/>
        <v>0</v>
      </c>
      <c r="H312" s="16">
        <f t="shared" si="168"/>
        <v>0</v>
      </c>
      <c r="I312" s="16">
        <f t="shared" si="168"/>
        <v>0</v>
      </c>
      <c r="J312" s="16">
        <f t="shared" si="168"/>
        <v>0</v>
      </c>
      <c r="K312" s="16">
        <f t="shared" si="168"/>
        <v>0</v>
      </c>
      <c r="L312" s="16">
        <f t="shared" si="168"/>
        <v>0</v>
      </c>
      <c r="M312" s="16">
        <f t="shared" si="168"/>
        <v>0</v>
      </c>
    </row>
    <row r="313" spans="1:13" ht="12.75">
      <c r="A313" s="62" t="str">
        <f t="shared" si="157"/>
        <v>Gas Line Front-end loader</v>
      </c>
      <c r="B313" s="4">
        <f>VLOOKUP(A313,'Const. Equip. EFs'!$A$5:$I$19,6,FALSE)</f>
        <v>0.17594500463758003</v>
      </c>
      <c r="C313" s="16">
        <f t="shared" si="168"/>
        <v>1.7594500463758003</v>
      </c>
      <c r="D313" s="16">
        <f t="shared" si="168"/>
        <v>1.7594500463758003</v>
      </c>
      <c r="E313" s="16">
        <f t="shared" si="168"/>
        <v>1.7594500463758003</v>
      </c>
      <c r="F313" s="16">
        <f t="shared" si="168"/>
        <v>1.7594500463758003</v>
      </c>
      <c r="G313" s="16">
        <f t="shared" si="168"/>
        <v>0</v>
      </c>
      <c r="H313" s="16">
        <f t="shared" si="168"/>
        <v>0</v>
      </c>
      <c r="I313" s="16">
        <f t="shared" si="168"/>
        <v>0</v>
      </c>
      <c r="J313" s="16">
        <f t="shared" si="168"/>
        <v>0</v>
      </c>
      <c r="K313" s="16">
        <f t="shared" si="168"/>
        <v>0</v>
      </c>
      <c r="L313" s="16">
        <f t="shared" si="168"/>
        <v>0</v>
      </c>
      <c r="M313" s="16">
        <f t="shared" si="168"/>
        <v>0</v>
      </c>
    </row>
    <row r="314" spans="1:13" ht="12.75">
      <c r="A314" s="62" t="str">
        <f t="shared" si="157"/>
        <v>Gas Line Compactor</v>
      </c>
      <c r="B314" s="4">
        <f>VLOOKUP(A314,'Const. Equip. EFs'!$A$5:$I$19,6,FALSE)</f>
        <v>0.1409823319353536</v>
      </c>
      <c r="C314" s="16">
        <f t="shared" si="168"/>
        <v>0.5639293277414144</v>
      </c>
      <c r="D314" s="16">
        <f t="shared" si="168"/>
        <v>0.5639293277414144</v>
      </c>
      <c r="E314" s="16">
        <f t="shared" si="168"/>
        <v>0.5639293277414144</v>
      </c>
      <c r="F314" s="16">
        <f t="shared" si="168"/>
        <v>0.5639293277414144</v>
      </c>
      <c r="G314" s="16">
        <f t="shared" si="168"/>
        <v>0</v>
      </c>
      <c r="H314" s="16">
        <f t="shared" si="168"/>
        <v>0</v>
      </c>
      <c r="I314" s="16">
        <f t="shared" si="168"/>
        <v>0</v>
      </c>
      <c r="J314" s="16">
        <f t="shared" si="168"/>
        <v>0</v>
      </c>
      <c r="K314" s="16">
        <f t="shared" si="168"/>
        <v>0</v>
      </c>
      <c r="L314" s="16">
        <f t="shared" si="168"/>
        <v>0</v>
      </c>
      <c r="M314" s="16">
        <f t="shared" si="168"/>
        <v>0</v>
      </c>
    </row>
    <row r="315" spans="1:13" ht="12.75">
      <c r="A315" s="62" t="str">
        <f t="shared" si="157"/>
        <v>Gas Line Excavator</v>
      </c>
      <c r="B315" s="4">
        <f>VLOOKUP(A315,'Const. Equip. EFs'!$A$5:$I$19,6,FALSE)</f>
        <v>0.1786140482130061</v>
      </c>
      <c r="C315" s="16">
        <f t="shared" si="168"/>
        <v>1.0716842892780367</v>
      </c>
      <c r="D315" s="16">
        <f t="shared" si="168"/>
        <v>1.0716842892780367</v>
      </c>
      <c r="E315" s="16">
        <f t="shared" si="168"/>
        <v>1.0716842892780367</v>
      </c>
      <c r="F315" s="16">
        <f t="shared" si="168"/>
        <v>1.0716842892780367</v>
      </c>
      <c r="G315" s="16">
        <f t="shared" si="168"/>
        <v>0</v>
      </c>
      <c r="H315" s="16">
        <f t="shared" si="168"/>
        <v>0</v>
      </c>
      <c r="I315" s="16">
        <f t="shared" si="168"/>
        <v>0</v>
      </c>
      <c r="J315" s="16">
        <f t="shared" si="168"/>
        <v>0</v>
      </c>
      <c r="K315" s="16">
        <f t="shared" si="168"/>
        <v>0</v>
      </c>
      <c r="L315" s="16">
        <f t="shared" si="168"/>
        <v>0</v>
      </c>
      <c r="M315" s="16">
        <f t="shared" si="168"/>
        <v>0</v>
      </c>
    </row>
    <row r="316" spans="1:13" ht="12.75">
      <c r="A316" s="62" t="str">
        <f t="shared" si="157"/>
        <v>Gas Line 15 ton crane</v>
      </c>
      <c r="B316" s="4">
        <f>VLOOKUP(A316,'Const. Equip. EFs'!$A$5:$I$19,6,FALSE)</f>
        <v>0.14779746601712468</v>
      </c>
      <c r="C316" s="16">
        <f t="shared" si="168"/>
        <v>1.1823797281369974</v>
      </c>
      <c r="D316" s="16">
        <f t="shared" si="168"/>
        <v>1.1823797281369974</v>
      </c>
      <c r="E316" s="16">
        <f t="shared" si="168"/>
        <v>1.1823797281369974</v>
      </c>
      <c r="F316" s="16">
        <f t="shared" si="168"/>
        <v>1.1823797281369974</v>
      </c>
      <c r="G316" s="16">
        <f t="shared" si="168"/>
        <v>0</v>
      </c>
      <c r="H316" s="16">
        <f t="shared" si="168"/>
        <v>0</v>
      </c>
      <c r="I316" s="16">
        <f t="shared" si="168"/>
        <v>0</v>
      </c>
      <c r="J316" s="16">
        <f t="shared" si="168"/>
        <v>0</v>
      </c>
      <c r="K316" s="16">
        <f t="shared" si="168"/>
        <v>0</v>
      </c>
      <c r="L316" s="16">
        <f t="shared" si="168"/>
        <v>0</v>
      </c>
      <c r="M316" s="16">
        <f t="shared" si="168"/>
        <v>0</v>
      </c>
    </row>
    <row r="317" spans="1:13" ht="12.75">
      <c r="A317" s="62" t="str">
        <f t="shared" si="157"/>
        <v>Gas Line Roller</v>
      </c>
      <c r="B317" s="4">
        <f>VLOOKUP(A317,'Const. Equip. EFs'!$A$5:$I$19,6,FALSE)</f>
        <v>0.1409823319353536</v>
      </c>
      <c r="C317" s="16">
        <f t="shared" si="168"/>
        <v>0.5639293277414144</v>
      </c>
      <c r="D317" s="16">
        <f t="shared" si="168"/>
        <v>0.5639293277414144</v>
      </c>
      <c r="E317" s="16">
        <f t="shared" si="168"/>
        <v>0.5639293277414144</v>
      </c>
      <c r="F317" s="16">
        <f t="shared" si="168"/>
        <v>0.5639293277414144</v>
      </c>
      <c r="G317" s="16">
        <f t="shared" si="168"/>
        <v>0</v>
      </c>
      <c r="H317" s="16">
        <f t="shared" si="168"/>
        <v>0</v>
      </c>
      <c r="I317" s="16">
        <f t="shared" si="168"/>
        <v>0</v>
      </c>
      <c r="J317" s="16">
        <f t="shared" si="168"/>
        <v>0</v>
      </c>
      <c r="K317" s="16">
        <f t="shared" si="168"/>
        <v>0</v>
      </c>
      <c r="L317" s="16">
        <f t="shared" si="168"/>
        <v>0</v>
      </c>
      <c r="M317" s="16">
        <f t="shared" si="168"/>
        <v>0</v>
      </c>
    </row>
    <row r="318" spans="1:13" ht="12.75">
      <c r="A318" s="62" t="str">
        <f t="shared" si="157"/>
        <v>Gas Line Reed Screen</v>
      </c>
      <c r="B318" s="4">
        <f>VLOOKUP(A318,'Const. Equip. EFs'!$A$5:$I$19,6,FALSE)</f>
        <v>0.1710636351077758</v>
      </c>
      <c r="C318" s="16">
        <f t="shared" si="168"/>
        <v>1.026381810646655</v>
      </c>
      <c r="D318" s="16">
        <f t="shared" si="168"/>
        <v>1.026381810646655</v>
      </c>
      <c r="E318" s="16">
        <f t="shared" si="168"/>
        <v>1.026381810646655</v>
      </c>
      <c r="F318" s="16">
        <f t="shared" si="168"/>
        <v>1.026381810646655</v>
      </c>
      <c r="G318" s="16">
        <f t="shared" si="168"/>
        <v>0</v>
      </c>
      <c r="H318" s="16">
        <f t="shared" si="168"/>
        <v>0</v>
      </c>
      <c r="I318" s="16">
        <f t="shared" si="168"/>
        <v>0</v>
      </c>
      <c r="J318" s="16">
        <f t="shared" si="168"/>
        <v>0</v>
      </c>
      <c r="K318" s="16">
        <f t="shared" si="168"/>
        <v>0</v>
      </c>
      <c r="L318" s="16">
        <f t="shared" si="168"/>
        <v>0</v>
      </c>
      <c r="M318" s="16">
        <f t="shared" si="168"/>
        <v>0</v>
      </c>
    </row>
    <row r="319" spans="1:13" ht="12.75">
      <c r="A319" s="17" t="str">
        <f t="shared" si="157"/>
        <v>Construction Equipment Total</v>
      </c>
      <c r="B319" s="17"/>
      <c r="C319" s="18">
        <f>SUM(C310:C318)</f>
        <v>11.000009640412955</v>
      </c>
      <c r="D319" s="18">
        <f aca="true" t="shared" si="169" ref="D319:M319">SUM(D310:D318)</f>
        <v>11.000009640412955</v>
      </c>
      <c r="E319" s="18">
        <f t="shared" si="169"/>
        <v>11.000009640412955</v>
      </c>
      <c r="F319" s="18">
        <f t="shared" si="169"/>
        <v>11.000009640412955</v>
      </c>
      <c r="G319" s="18">
        <f t="shared" si="169"/>
        <v>0</v>
      </c>
      <c r="H319" s="18">
        <f t="shared" si="169"/>
        <v>0</v>
      </c>
      <c r="I319" s="18">
        <f t="shared" si="169"/>
        <v>0</v>
      </c>
      <c r="J319" s="18">
        <f t="shared" si="169"/>
        <v>0</v>
      </c>
      <c r="K319" s="18">
        <f t="shared" si="169"/>
        <v>0</v>
      </c>
      <c r="L319" s="18">
        <f t="shared" si="169"/>
        <v>0</v>
      </c>
      <c r="M319" s="18">
        <f t="shared" si="169"/>
        <v>0</v>
      </c>
    </row>
    <row r="320" spans="1:13" ht="12.75">
      <c r="A320" s="17" t="str">
        <f t="shared" si="157"/>
        <v>Motor Vehicles</v>
      </c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>
      <c r="A321" s="62" t="str">
        <f t="shared" si="157"/>
        <v>On-Site Pickup Truck</v>
      </c>
      <c r="B321" s="4">
        <f>VLOOKUP($A321,'Vehicle EFs'!$A$22:$F$27,3,FALSE)</f>
        <v>0.001383</v>
      </c>
      <c r="C321" s="16">
        <f>$B321*C236</f>
        <v>0.08298</v>
      </c>
      <c r="D321" s="16">
        <f aca="true" t="shared" si="170" ref="D321:M321">$B321*D236</f>
        <v>0.08298</v>
      </c>
      <c r="E321" s="16">
        <f t="shared" si="170"/>
        <v>0.08298</v>
      </c>
      <c r="F321" s="16">
        <f t="shared" si="170"/>
        <v>0.08298</v>
      </c>
      <c r="G321" s="16">
        <f t="shared" si="170"/>
        <v>0</v>
      </c>
      <c r="H321" s="16">
        <f t="shared" si="170"/>
        <v>0</v>
      </c>
      <c r="I321" s="16">
        <f t="shared" si="170"/>
        <v>0</v>
      </c>
      <c r="J321" s="16">
        <f t="shared" si="170"/>
        <v>0</v>
      </c>
      <c r="K321" s="16">
        <f t="shared" si="170"/>
        <v>0</v>
      </c>
      <c r="L321" s="16">
        <f t="shared" si="170"/>
        <v>0</v>
      </c>
      <c r="M321" s="16">
        <f t="shared" si="170"/>
        <v>0</v>
      </c>
    </row>
    <row r="322" spans="1:13" ht="12.75">
      <c r="A322" s="62" t="str">
        <f t="shared" si="157"/>
        <v>Off-Site Dump Truck</v>
      </c>
      <c r="B322" s="4">
        <f>VLOOKUP($A322,'Vehicle EFs'!$A$22:$F$27,3,FALSE)</f>
        <v>0.0012265182387436637</v>
      </c>
      <c r="C322" s="16">
        <f>$B322*C237</f>
        <v>0.11038664148692974</v>
      </c>
      <c r="D322" s="16">
        <f aca="true" t="shared" si="171" ref="D322:M322">$B322*D237</f>
        <v>0.11038664148692974</v>
      </c>
      <c r="E322" s="16">
        <f t="shared" si="171"/>
        <v>0.11038664148692974</v>
      </c>
      <c r="F322" s="16">
        <f t="shared" si="171"/>
        <v>0.11038664148692974</v>
      </c>
      <c r="G322" s="16">
        <f t="shared" si="171"/>
        <v>0</v>
      </c>
      <c r="H322" s="16">
        <f t="shared" si="171"/>
        <v>0</v>
      </c>
      <c r="I322" s="16">
        <f t="shared" si="171"/>
        <v>0</v>
      </c>
      <c r="J322" s="16">
        <f t="shared" si="171"/>
        <v>0</v>
      </c>
      <c r="K322" s="16">
        <f t="shared" si="171"/>
        <v>0</v>
      </c>
      <c r="L322" s="16">
        <f t="shared" si="171"/>
        <v>0</v>
      </c>
      <c r="M322" s="16">
        <f t="shared" si="171"/>
        <v>0</v>
      </c>
    </row>
    <row r="323" spans="1:13" ht="12.75">
      <c r="A323" s="62" t="str">
        <f t="shared" si="157"/>
        <v>On-Site Water Truck</v>
      </c>
      <c r="B323" s="4">
        <f>VLOOKUP($A323,'Vehicle EFs'!$A$22:$F$27,3,FALSE)</f>
        <v>0.0012265182387436637</v>
      </c>
      <c r="C323" s="16">
        <f>$B323*C238</f>
        <v>0.024530364774873276</v>
      </c>
      <c r="D323" s="16">
        <f aca="true" t="shared" si="172" ref="D323:M323">$B323*D238</f>
        <v>0.024530364774873276</v>
      </c>
      <c r="E323" s="16">
        <f t="shared" si="172"/>
        <v>0.024530364774873276</v>
      </c>
      <c r="F323" s="16">
        <f t="shared" si="172"/>
        <v>0.024530364774873276</v>
      </c>
      <c r="G323" s="16">
        <f t="shared" si="172"/>
        <v>0</v>
      </c>
      <c r="H323" s="16">
        <f t="shared" si="172"/>
        <v>0</v>
      </c>
      <c r="I323" s="16">
        <f t="shared" si="172"/>
        <v>0</v>
      </c>
      <c r="J323" s="16">
        <f t="shared" si="172"/>
        <v>0</v>
      </c>
      <c r="K323" s="16">
        <f t="shared" si="172"/>
        <v>0</v>
      </c>
      <c r="L323" s="16">
        <f t="shared" si="172"/>
        <v>0</v>
      </c>
      <c r="M323" s="16">
        <f t="shared" si="172"/>
        <v>0</v>
      </c>
    </row>
    <row r="324" spans="1:13" ht="12.75">
      <c r="A324" s="62" t="str">
        <f t="shared" si="157"/>
        <v>Off-Site Concrete Truck</v>
      </c>
      <c r="B324" s="4">
        <f>VLOOKUP($A324,'Vehicle EFs'!$A$22:$F$27,3,FALSE)</f>
        <v>0.0012265182387436637</v>
      </c>
      <c r="C324" s="16">
        <f>$B324*C239</f>
        <v>0.0981214590994931</v>
      </c>
      <c r="D324" s="16">
        <f aca="true" t="shared" si="173" ref="D324:M324">$B324*D239</f>
        <v>0.0981214590994931</v>
      </c>
      <c r="E324" s="16">
        <f t="shared" si="173"/>
        <v>0.0981214590994931</v>
      </c>
      <c r="F324" s="16">
        <f t="shared" si="173"/>
        <v>0.0981214590994931</v>
      </c>
      <c r="G324" s="16">
        <f t="shared" si="173"/>
        <v>0</v>
      </c>
      <c r="H324" s="16">
        <f t="shared" si="173"/>
        <v>0</v>
      </c>
      <c r="I324" s="16">
        <f t="shared" si="173"/>
        <v>0</v>
      </c>
      <c r="J324" s="16">
        <f t="shared" si="173"/>
        <v>0</v>
      </c>
      <c r="K324" s="16">
        <f t="shared" si="173"/>
        <v>0</v>
      </c>
      <c r="L324" s="16">
        <f t="shared" si="173"/>
        <v>0</v>
      </c>
      <c r="M324" s="16">
        <f t="shared" si="173"/>
        <v>0</v>
      </c>
    </row>
    <row r="325" spans="1:13" ht="12.75">
      <c r="A325" s="62" t="str">
        <f t="shared" si="157"/>
        <v>Off-Site Delivery Truck</v>
      </c>
      <c r="B325" s="4">
        <f>VLOOKUP($A325,'Vehicle EFs'!$A$22:$F$27,3,FALSE)</f>
        <v>0.0012265182387436637</v>
      </c>
      <c r="C325" s="16">
        <f aca="true" t="shared" si="174" ref="C325:M325">$B325*C240</f>
        <v>0.0981214590994931</v>
      </c>
      <c r="D325" s="16">
        <f t="shared" si="174"/>
        <v>0.0981214590994931</v>
      </c>
      <c r="E325" s="16">
        <f t="shared" si="174"/>
        <v>0.0981214590994931</v>
      </c>
      <c r="F325" s="16">
        <f t="shared" si="174"/>
        <v>0.0981214590994931</v>
      </c>
      <c r="G325" s="16">
        <f t="shared" si="174"/>
        <v>0</v>
      </c>
      <c r="H325" s="16">
        <f t="shared" si="174"/>
        <v>0</v>
      </c>
      <c r="I325" s="16">
        <f t="shared" si="174"/>
        <v>0</v>
      </c>
      <c r="J325" s="16">
        <f t="shared" si="174"/>
        <v>0</v>
      </c>
      <c r="K325" s="16">
        <f t="shared" si="174"/>
        <v>0</v>
      </c>
      <c r="L325" s="16">
        <f t="shared" si="174"/>
        <v>0</v>
      </c>
      <c r="M325" s="16">
        <f t="shared" si="174"/>
        <v>0</v>
      </c>
    </row>
    <row r="326" spans="1:13" ht="12.75">
      <c r="A326" s="62" t="str">
        <f t="shared" si="157"/>
        <v>Off-Site Construction Worker Commute</v>
      </c>
      <c r="B326" s="4">
        <f>VLOOKUP($A326,'Vehicle EFs'!$A$22:$F$27,3,FALSE)</f>
        <v>0.001383</v>
      </c>
      <c r="C326" s="16">
        <f aca="true" t="shared" si="175" ref="C326:M326">$B326*C241</f>
        <v>2.2127999999999997</v>
      </c>
      <c r="D326" s="16">
        <f t="shared" si="175"/>
        <v>2.2127999999999997</v>
      </c>
      <c r="E326" s="16">
        <f t="shared" si="175"/>
        <v>2.2127999999999997</v>
      </c>
      <c r="F326" s="16">
        <f t="shared" si="175"/>
        <v>2.2127999999999997</v>
      </c>
      <c r="G326" s="16">
        <f t="shared" si="175"/>
        <v>0</v>
      </c>
      <c r="H326" s="16">
        <f t="shared" si="175"/>
        <v>0</v>
      </c>
      <c r="I326" s="16">
        <f t="shared" si="175"/>
        <v>0</v>
      </c>
      <c r="J326" s="16">
        <f t="shared" si="175"/>
        <v>0</v>
      </c>
      <c r="K326" s="16">
        <f t="shared" si="175"/>
        <v>0</v>
      </c>
      <c r="L326" s="16">
        <f t="shared" si="175"/>
        <v>0</v>
      </c>
      <c r="M326" s="16">
        <f t="shared" si="175"/>
        <v>0</v>
      </c>
    </row>
    <row r="327" spans="1:13" ht="12.75">
      <c r="A327" s="17" t="str">
        <f t="shared" si="157"/>
        <v>On-Site Motor Vehicle Total</v>
      </c>
      <c r="B327" s="17"/>
      <c r="C327" s="18">
        <f>C321+C323</f>
        <v>0.10751036477487327</v>
      </c>
      <c r="D327" s="18">
        <f aca="true" t="shared" si="176" ref="D327:M327">D321+D323</f>
        <v>0.10751036477487327</v>
      </c>
      <c r="E327" s="18">
        <f t="shared" si="176"/>
        <v>0.10751036477487327</v>
      </c>
      <c r="F327" s="18">
        <f t="shared" si="176"/>
        <v>0.10751036477487327</v>
      </c>
      <c r="G327" s="18">
        <f t="shared" si="176"/>
        <v>0</v>
      </c>
      <c r="H327" s="18">
        <f t="shared" si="176"/>
        <v>0</v>
      </c>
      <c r="I327" s="18">
        <f t="shared" si="176"/>
        <v>0</v>
      </c>
      <c r="J327" s="18">
        <f t="shared" si="176"/>
        <v>0</v>
      </c>
      <c r="K327" s="18">
        <f t="shared" si="176"/>
        <v>0</v>
      </c>
      <c r="L327" s="18">
        <f t="shared" si="176"/>
        <v>0</v>
      </c>
      <c r="M327" s="18">
        <f t="shared" si="176"/>
        <v>0</v>
      </c>
    </row>
    <row r="328" spans="1:13" ht="12.75">
      <c r="A328" s="17" t="str">
        <f t="shared" si="157"/>
        <v>Off-Site Motor Vehicle Total</v>
      </c>
      <c r="B328" s="17"/>
      <c r="C328" s="18">
        <f>C322+SUM(C324:C326)</f>
        <v>2.5194295596859155</v>
      </c>
      <c r="D328" s="18">
        <f aca="true" t="shared" si="177" ref="D328:M328">D322+SUM(D324:D326)</f>
        <v>2.5194295596859155</v>
      </c>
      <c r="E328" s="18">
        <f t="shared" si="177"/>
        <v>2.5194295596859155</v>
      </c>
      <c r="F328" s="18">
        <f t="shared" si="177"/>
        <v>2.5194295596859155</v>
      </c>
      <c r="G328" s="18">
        <f t="shared" si="177"/>
        <v>0</v>
      </c>
      <c r="H328" s="18">
        <f t="shared" si="177"/>
        <v>0</v>
      </c>
      <c r="I328" s="18">
        <f t="shared" si="177"/>
        <v>0</v>
      </c>
      <c r="J328" s="18">
        <f t="shared" si="177"/>
        <v>0</v>
      </c>
      <c r="K328" s="18">
        <f t="shared" si="177"/>
        <v>0</v>
      </c>
      <c r="L328" s="18">
        <f t="shared" si="177"/>
        <v>0</v>
      </c>
      <c r="M328" s="18">
        <f t="shared" si="177"/>
        <v>0</v>
      </c>
    </row>
    <row r="329" ht="12.75">
      <c r="A329" s="19" t="s">
        <v>43</v>
      </c>
    </row>
    <row r="330" ht="12.75">
      <c r="A330" s="19"/>
    </row>
    <row r="331" spans="1:13" ht="12.75">
      <c r="A331" s="133" t="s">
        <v>218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2.75">
      <c r="A332" s="134" t="str">
        <f>$B$1&amp;" Equipment and Motor Vehicle NOx Emissions"</f>
        <v>Mira Loma Construction Equipment and Motor Vehicle NOx Emissions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2" t="str">
        <f>A245</f>
        <v>Equipment/Vehicle Type</v>
      </c>
      <c r="B333" s="142" t="s">
        <v>154</v>
      </c>
      <c r="C333" s="132" t="s">
        <v>166</v>
      </c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</row>
    <row r="334" spans="1:13" ht="12.75">
      <c r="A334" s="141"/>
      <c r="B334" s="138"/>
      <c r="C334" s="63">
        <f>C290</f>
        <v>39139</v>
      </c>
      <c r="D334" s="63">
        <f aca="true" t="shared" si="178" ref="D334:M334">D290</f>
        <v>39153</v>
      </c>
      <c r="E334" s="63">
        <f t="shared" si="178"/>
        <v>39167</v>
      </c>
      <c r="F334" s="63">
        <f t="shared" si="178"/>
        <v>39181</v>
      </c>
      <c r="G334" s="63">
        <f t="shared" si="178"/>
        <v>39195</v>
      </c>
      <c r="H334" s="63">
        <f t="shared" si="178"/>
        <v>39209</v>
      </c>
      <c r="I334" s="63">
        <f t="shared" si="178"/>
        <v>39223</v>
      </c>
      <c r="J334" s="63">
        <f t="shared" si="178"/>
        <v>39237</v>
      </c>
      <c r="K334" s="63">
        <f t="shared" si="178"/>
        <v>39251</v>
      </c>
      <c r="L334" s="63">
        <f t="shared" si="178"/>
        <v>39265</v>
      </c>
      <c r="M334" s="63">
        <f t="shared" si="178"/>
        <v>39279</v>
      </c>
    </row>
    <row r="335" spans="1:13" ht="12.75">
      <c r="A335" s="17" t="str">
        <f>A291</f>
        <v>Power Plant</v>
      </c>
      <c r="B335" s="92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2.75">
      <c r="A336" s="17" t="str">
        <f>A292</f>
        <v>Construction Equipment</v>
      </c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62" t="str">
        <f>A293</f>
        <v>Welding rigs</v>
      </c>
      <c r="B337" s="4">
        <f>VLOOKUP(A337,'Const. Equip. EFs'!$A$5:$I$19,7,FALSE)</f>
        <v>0.2824510000548262</v>
      </c>
      <c r="C337" s="16">
        <f>$B337*C212</f>
        <v>3.3894120006579147</v>
      </c>
      <c r="D337" s="16">
        <f aca="true" t="shared" si="179" ref="D337:M337">$B337*D212</f>
        <v>3.3894120006579147</v>
      </c>
      <c r="E337" s="16">
        <f t="shared" si="179"/>
        <v>3.3894120006579147</v>
      </c>
      <c r="F337" s="16">
        <f t="shared" si="179"/>
        <v>3.3894120006579147</v>
      </c>
      <c r="G337" s="16">
        <f t="shared" si="179"/>
        <v>3.3894120006579147</v>
      </c>
      <c r="H337" s="16">
        <f t="shared" si="179"/>
        <v>3.3894120006579147</v>
      </c>
      <c r="I337" s="16">
        <f t="shared" si="179"/>
        <v>1.6947060003289574</v>
      </c>
      <c r="J337" s="16">
        <f t="shared" si="179"/>
        <v>1.6947060003289574</v>
      </c>
      <c r="K337" s="16">
        <f t="shared" si="179"/>
        <v>0</v>
      </c>
      <c r="L337" s="16">
        <f t="shared" si="179"/>
        <v>0</v>
      </c>
      <c r="M337" s="16">
        <f t="shared" si="179"/>
        <v>0</v>
      </c>
    </row>
    <row r="338" spans="1:13" ht="12.75">
      <c r="A338" s="62" t="str">
        <f aca="true" t="shared" si="180" ref="A338:A372">A294</f>
        <v>Backhoe</v>
      </c>
      <c r="B338" s="4">
        <f>VLOOKUP(A338,'Const. Equip. EFs'!$A$5:$I$19,7,FALSE)</f>
        <v>0.6979432017902252</v>
      </c>
      <c r="C338" s="16">
        <f>$B338*C213</f>
        <v>4.1876592107413515</v>
      </c>
      <c r="D338" s="16">
        <f aca="true" t="shared" si="181" ref="D338:M338">$B338*D213</f>
        <v>8.375318421482703</v>
      </c>
      <c r="E338" s="16">
        <f t="shared" si="181"/>
        <v>8.375318421482703</v>
      </c>
      <c r="F338" s="16">
        <f t="shared" si="181"/>
        <v>4.1876592107413515</v>
      </c>
      <c r="G338" s="16">
        <f t="shared" si="181"/>
        <v>4.1876592107413515</v>
      </c>
      <c r="H338" s="16">
        <f t="shared" si="181"/>
        <v>0</v>
      </c>
      <c r="I338" s="16">
        <f t="shared" si="181"/>
        <v>0</v>
      </c>
      <c r="J338" s="16">
        <f t="shared" si="181"/>
        <v>0</v>
      </c>
      <c r="K338" s="16">
        <f t="shared" si="181"/>
        <v>0</v>
      </c>
      <c r="L338" s="16">
        <f t="shared" si="181"/>
        <v>0</v>
      </c>
      <c r="M338" s="16">
        <f t="shared" si="181"/>
        <v>0</v>
      </c>
    </row>
    <row r="339" spans="1:13" ht="12.75">
      <c r="A339" s="62" t="str">
        <f t="shared" si="180"/>
        <v>Compressor</v>
      </c>
      <c r="B339" s="4">
        <f>VLOOKUP(A339,'Const. Equip. EFs'!$A$5:$I$19,7,FALSE)</f>
        <v>0.24678652350684688</v>
      </c>
      <c r="C339" s="16">
        <f>$B339*C214</f>
        <v>1.4807191410410812</v>
      </c>
      <c r="D339" s="16">
        <f aca="true" t="shared" si="182" ref="D339:M339">$B339*D214</f>
        <v>2.9614382820821623</v>
      </c>
      <c r="E339" s="16">
        <f t="shared" si="182"/>
        <v>5.922876564164325</v>
      </c>
      <c r="F339" s="16">
        <f t="shared" si="182"/>
        <v>5.922876564164325</v>
      </c>
      <c r="G339" s="16">
        <f t="shared" si="182"/>
        <v>5.922876564164325</v>
      </c>
      <c r="H339" s="16">
        <f t="shared" si="182"/>
        <v>4.442157423123244</v>
      </c>
      <c r="I339" s="16">
        <f t="shared" si="182"/>
        <v>2.9614382820821623</v>
      </c>
      <c r="J339" s="16">
        <f t="shared" si="182"/>
        <v>2.9614382820821623</v>
      </c>
      <c r="K339" s="16">
        <f t="shared" si="182"/>
        <v>0</v>
      </c>
      <c r="L339" s="16">
        <f t="shared" si="182"/>
        <v>0</v>
      </c>
      <c r="M339" s="16">
        <f t="shared" si="182"/>
        <v>0</v>
      </c>
    </row>
    <row r="340" spans="1:13" ht="12.75">
      <c r="A340" s="62" t="str">
        <f t="shared" si="180"/>
        <v>Front-end  loader</v>
      </c>
      <c r="B340" s="4">
        <f>VLOOKUP(A340,'Const. Equip. EFs'!$A$5:$I$19,7,FALSE)</f>
        <v>1.384927599678421</v>
      </c>
      <c r="C340" s="16">
        <f>$B340*C215</f>
        <v>0</v>
      </c>
      <c r="D340" s="16">
        <f aca="true" t="shared" si="183" ref="D340:M340">$B340*D215</f>
        <v>8.309565598070526</v>
      </c>
      <c r="E340" s="16">
        <f t="shared" si="183"/>
        <v>8.309565598070526</v>
      </c>
      <c r="F340" s="16">
        <f t="shared" si="183"/>
        <v>8.309565598070526</v>
      </c>
      <c r="G340" s="16">
        <f t="shared" si="183"/>
        <v>8.309565598070526</v>
      </c>
      <c r="H340" s="16">
        <f t="shared" si="183"/>
        <v>0</v>
      </c>
      <c r="I340" s="16">
        <f t="shared" si="183"/>
        <v>0</v>
      </c>
      <c r="J340" s="16">
        <f t="shared" si="183"/>
        <v>0</v>
      </c>
      <c r="K340" s="16">
        <f t="shared" si="183"/>
        <v>0</v>
      </c>
      <c r="L340" s="16">
        <f t="shared" si="183"/>
        <v>0</v>
      </c>
      <c r="M340" s="16">
        <f t="shared" si="183"/>
        <v>0</v>
      </c>
    </row>
    <row r="341" spans="1:13" ht="12.75">
      <c r="A341" s="62" t="str">
        <f t="shared" si="180"/>
        <v>15 ton crane</v>
      </c>
      <c r="B341" s="4">
        <f>VLOOKUP(A341,'Const. Equip. EFs'!$A$5:$I$19,7,FALSE)</f>
        <v>1.10085797570599</v>
      </c>
      <c r="C341" s="16">
        <f aca="true" t="shared" si="184" ref="C341:M341">$B341*C216</f>
        <v>0</v>
      </c>
      <c r="D341" s="16">
        <f t="shared" si="184"/>
        <v>6.605147854235939</v>
      </c>
      <c r="E341" s="16">
        <f t="shared" si="184"/>
        <v>6.605147854235939</v>
      </c>
      <c r="F341" s="16">
        <f t="shared" si="184"/>
        <v>19.81544356270782</v>
      </c>
      <c r="G341" s="16">
        <f t="shared" si="184"/>
        <v>13.210295708471879</v>
      </c>
      <c r="H341" s="16">
        <f t="shared" si="184"/>
        <v>13.210295708471879</v>
      </c>
      <c r="I341" s="16">
        <f t="shared" si="184"/>
        <v>13.210295708471879</v>
      </c>
      <c r="J341" s="16">
        <f t="shared" si="184"/>
        <v>13.210295708471879</v>
      </c>
      <c r="K341" s="16">
        <f t="shared" si="184"/>
        <v>0</v>
      </c>
      <c r="L341" s="16">
        <f t="shared" si="184"/>
        <v>0</v>
      </c>
      <c r="M341" s="16">
        <f t="shared" si="184"/>
        <v>0</v>
      </c>
    </row>
    <row r="342" spans="1:13" ht="12.75">
      <c r="A342" s="62" t="str">
        <f t="shared" si="180"/>
        <v>75 ton crane</v>
      </c>
      <c r="B342" s="4">
        <f>VLOOKUP(A342,'Const. Equip. EFs'!$A$5:$I$19,7,FALSE)</f>
        <v>1.4664521646974422</v>
      </c>
      <c r="C342" s="16">
        <f aca="true" t="shared" si="185" ref="C342:M342">$B342*C217</f>
        <v>0</v>
      </c>
      <c r="D342" s="16">
        <f t="shared" si="185"/>
        <v>0</v>
      </c>
      <c r="E342" s="16">
        <f t="shared" si="185"/>
        <v>0</v>
      </c>
      <c r="F342" s="16">
        <f t="shared" si="185"/>
        <v>8.798712988184654</v>
      </c>
      <c r="G342" s="16">
        <f t="shared" si="185"/>
        <v>0</v>
      </c>
      <c r="H342" s="16">
        <f t="shared" si="185"/>
        <v>0</v>
      </c>
      <c r="I342" s="16">
        <f t="shared" si="185"/>
        <v>0</v>
      </c>
      <c r="J342" s="16">
        <f t="shared" si="185"/>
        <v>0</v>
      </c>
      <c r="K342" s="16">
        <f t="shared" si="185"/>
        <v>0</v>
      </c>
      <c r="L342" s="16">
        <f t="shared" si="185"/>
        <v>0</v>
      </c>
      <c r="M342" s="16">
        <f t="shared" si="185"/>
        <v>0</v>
      </c>
    </row>
    <row r="343" spans="1:13" ht="12.75">
      <c r="A343" s="17" t="str">
        <f t="shared" si="180"/>
        <v>Construction Equipment Total</v>
      </c>
      <c r="B343" s="17"/>
      <c r="C343" s="18">
        <f aca="true" t="shared" si="186" ref="C343:M343">SUM(C337:C342)</f>
        <v>9.057790352440348</v>
      </c>
      <c r="D343" s="18">
        <f t="shared" si="186"/>
        <v>29.640882156529244</v>
      </c>
      <c r="E343" s="18">
        <f t="shared" si="186"/>
        <v>32.60232043861141</v>
      </c>
      <c r="F343" s="18">
        <f t="shared" si="186"/>
        <v>50.42366992452659</v>
      </c>
      <c r="G343" s="18">
        <f t="shared" si="186"/>
        <v>35.01980908210599</v>
      </c>
      <c r="H343" s="18">
        <f t="shared" si="186"/>
        <v>21.041865132253037</v>
      </c>
      <c r="I343" s="18">
        <f t="shared" si="186"/>
        <v>17.866439990883</v>
      </c>
      <c r="J343" s="18">
        <f t="shared" si="186"/>
        <v>17.866439990883</v>
      </c>
      <c r="K343" s="18">
        <f t="shared" si="186"/>
        <v>0</v>
      </c>
      <c r="L343" s="18">
        <f t="shared" si="186"/>
        <v>0</v>
      </c>
      <c r="M343" s="18">
        <f t="shared" si="186"/>
        <v>0</v>
      </c>
    </row>
    <row r="344" spans="1:13" ht="12.75">
      <c r="A344" s="17" t="str">
        <f t="shared" si="180"/>
        <v>Motor Vehicles</v>
      </c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62" t="str">
        <f t="shared" si="180"/>
        <v>On-Site Pickup Truck</v>
      </c>
      <c r="B345" s="4">
        <f>VLOOKUP($A345,'Vehicle EFs'!$A$22:$F$27,4,FALSE)</f>
        <v>0.001361</v>
      </c>
      <c r="C345" s="16">
        <f>$B345*C219</f>
        <v>0.034025</v>
      </c>
      <c r="D345" s="16">
        <f aca="true" t="shared" si="187" ref="D345:M345">$B345*D219</f>
        <v>0.06805</v>
      </c>
      <c r="E345" s="16">
        <f t="shared" si="187"/>
        <v>0.06805</v>
      </c>
      <c r="F345" s="16">
        <f t="shared" si="187"/>
        <v>0.102075</v>
      </c>
      <c r="G345" s="16">
        <f t="shared" si="187"/>
        <v>0.102075</v>
      </c>
      <c r="H345" s="16">
        <f t="shared" si="187"/>
        <v>0.06805</v>
      </c>
      <c r="I345" s="16">
        <f t="shared" si="187"/>
        <v>0.06805</v>
      </c>
      <c r="J345" s="16">
        <f t="shared" si="187"/>
        <v>0.06805</v>
      </c>
      <c r="K345" s="16">
        <f t="shared" si="187"/>
        <v>0.034025</v>
      </c>
      <c r="L345" s="16">
        <f t="shared" si="187"/>
        <v>0</v>
      </c>
      <c r="M345" s="16">
        <f t="shared" si="187"/>
        <v>0</v>
      </c>
    </row>
    <row r="346" spans="1:13" ht="12.75">
      <c r="A346" s="62" t="str">
        <f t="shared" si="180"/>
        <v>Off-Site Dump Truck</v>
      </c>
      <c r="B346" s="4">
        <f>VLOOKUP($A346,'Vehicle EFs'!$A$22:$F$27,4,FALSE)</f>
        <v>0.035634628764536325</v>
      </c>
      <c r="C346" s="16">
        <f>$B346*C220</f>
        <v>1.7817314382268163</v>
      </c>
      <c r="D346" s="16">
        <f aca="true" t="shared" si="188" ref="D346:M346">$B346*D220</f>
        <v>3.5634628764536327</v>
      </c>
      <c r="E346" s="16">
        <f t="shared" si="188"/>
        <v>3.5634628764536327</v>
      </c>
      <c r="F346" s="16">
        <f t="shared" si="188"/>
        <v>1.7817314382268163</v>
      </c>
      <c r="G346" s="16">
        <f t="shared" si="188"/>
        <v>1.7817314382268163</v>
      </c>
      <c r="H346" s="16">
        <f t="shared" si="188"/>
        <v>0</v>
      </c>
      <c r="I346" s="16">
        <f t="shared" si="188"/>
        <v>0</v>
      </c>
      <c r="J346" s="16">
        <f t="shared" si="188"/>
        <v>0</v>
      </c>
      <c r="K346" s="16">
        <f t="shared" si="188"/>
        <v>0</v>
      </c>
      <c r="L346" s="16">
        <f t="shared" si="188"/>
        <v>0</v>
      </c>
      <c r="M346" s="16">
        <f t="shared" si="188"/>
        <v>0</v>
      </c>
    </row>
    <row r="347" spans="1:13" ht="12.75">
      <c r="A347" s="62" t="str">
        <f t="shared" si="180"/>
        <v>Off-Site Concrete Truck</v>
      </c>
      <c r="B347" s="4">
        <f>VLOOKUP($A347,'Vehicle EFs'!$A$22:$F$27,4,FALSE)</f>
        <v>0.035634628764536325</v>
      </c>
      <c r="C347" s="16">
        <f>$B347*C221</f>
        <v>0</v>
      </c>
      <c r="D347" s="16">
        <f aca="true" t="shared" si="189" ref="D347:M347">$B347*D221</f>
        <v>8.90865719113408</v>
      </c>
      <c r="E347" s="16">
        <f t="shared" si="189"/>
        <v>8.90865719113408</v>
      </c>
      <c r="F347" s="16">
        <f t="shared" si="189"/>
        <v>0</v>
      </c>
      <c r="G347" s="16">
        <f t="shared" si="189"/>
        <v>0</v>
      </c>
      <c r="H347" s="16">
        <f t="shared" si="189"/>
        <v>0</v>
      </c>
      <c r="I347" s="16">
        <f t="shared" si="189"/>
        <v>0</v>
      </c>
      <c r="J347" s="16">
        <f t="shared" si="189"/>
        <v>0</v>
      </c>
      <c r="K347" s="16">
        <f t="shared" si="189"/>
        <v>0</v>
      </c>
      <c r="L347" s="16">
        <f t="shared" si="189"/>
        <v>0</v>
      </c>
      <c r="M347" s="16">
        <f t="shared" si="189"/>
        <v>0</v>
      </c>
    </row>
    <row r="348" spans="1:13" ht="12.75">
      <c r="A348" s="62" t="str">
        <f t="shared" si="180"/>
        <v>Off-Site Delivery Truck</v>
      </c>
      <c r="B348" s="4">
        <f>VLOOKUP($A348,'Vehicle EFs'!$A$22:$F$27,4,FALSE)</f>
        <v>0.035634628764536325</v>
      </c>
      <c r="C348" s="16">
        <f aca="true" t="shared" si="190" ref="C348:M348">$B348*C222</f>
        <v>0</v>
      </c>
      <c r="D348" s="16">
        <f t="shared" si="190"/>
        <v>1.7817314382268163</v>
      </c>
      <c r="E348" s="16">
        <f t="shared" si="190"/>
        <v>1.7817314382268163</v>
      </c>
      <c r="F348" s="16">
        <f t="shared" si="190"/>
        <v>1.7817314382268163</v>
      </c>
      <c r="G348" s="16">
        <f t="shared" si="190"/>
        <v>1.7817314382268163</v>
      </c>
      <c r="H348" s="16">
        <f t="shared" si="190"/>
        <v>1.7817314382268163</v>
      </c>
      <c r="I348" s="16">
        <f t="shared" si="190"/>
        <v>1.7817314382268163</v>
      </c>
      <c r="J348" s="16">
        <f t="shared" si="190"/>
        <v>1.7817314382268163</v>
      </c>
      <c r="K348" s="16">
        <f t="shared" si="190"/>
        <v>0</v>
      </c>
      <c r="L348" s="16">
        <f t="shared" si="190"/>
        <v>0</v>
      </c>
      <c r="M348" s="16">
        <f t="shared" si="190"/>
        <v>0</v>
      </c>
    </row>
    <row r="349" spans="1:13" ht="12.75">
      <c r="A349" s="62" t="str">
        <f t="shared" si="180"/>
        <v>Off-Site Construction Worker Commute</v>
      </c>
      <c r="B349" s="4">
        <f>VLOOKUP($A349,'Vehicle EFs'!$A$22:$F$27,4,FALSE)</f>
        <v>0.001361</v>
      </c>
      <c r="C349" s="16">
        <f aca="true" t="shared" si="191" ref="C349:M349">$B349*C223</f>
        <v>0.28581</v>
      </c>
      <c r="D349" s="16">
        <f t="shared" si="191"/>
        <v>1.04797</v>
      </c>
      <c r="E349" s="16">
        <f t="shared" si="191"/>
        <v>1.42905</v>
      </c>
      <c r="F349" s="16">
        <f t="shared" si="191"/>
        <v>1.81013</v>
      </c>
      <c r="G349" s="16">
        <f t="shared" si="191"/>
        <v>1.71486</v>
      </c>
      <c r="H349" s="16">
        <f t="shared" si="191"/>
        <v>1.14324</v>
      </c>
      <c r="I349" s="16">
        <f t="shared" si="191"/>
        <v>1.14324</v>
      </c>
      <c r="J349" s="16">
        <f t="shared" si="191"/>
        <v>0.7621600000000001</v>
      </c>
      <c r="K349" s="16">
        <f t="shared" si="191"/>
        <v>0.19054000000000001</v>
      </c>
      <c r="L349" s="16">
        <f t="shared" si="191"/>
        <v>0</v>
      </c>
      <c r="M349" s="16">
        <f t="shared" si="191"/>
        <v>0</v>
      </c>
    </row>
    <row r="350" spans="1:13" ht="12.75">
      <c r="A350" s="17" t="str">
        <f t="shared" si="180"/>
        <v>On-Site Motor Vehicle Total</v>
      </c>
      <c r="B350" s="17"/>
      <c r="C350" s="18">
        <f aca="true" t="shared" si="192" ref="C350:M350">C345</f>
        <v>0.034025</v>
      </c>
      <c r="D350" s="18">
        <f t="shared" si="192"/>
        <v>0.06805</v>
      </c>
      <c r="E350" s="18">
        <f t="shared" si="192"/>
        <v>0.06805</v>
      </c>
      <c r="F350" s="18">
        <f t="shared" si="192"/>
        <v>0.102075</v>
      </c>
      <c r="G350" s="18">
        <f t="shared" si="192"/>
        <v>0.102075</v>
      </c>
      <c r="H350" s="18">
        <f t="shared" si="192"/>
        <v>0.06805</v>
      </c>
      <c r="I350" s="18">
        <f t="shared" si="192"/>
        <v>0.06805</v>
      </c>
      <c r="J350" s="18">
        <f t="shared" si="192"/>
        <v>0.06805</v>
      </c>
      <c r="K350" s="18">
        <f t="shared" si="192"/>
        <v>0.034025</v>
      </c>
      <c r="L350" s="18">
        <f t="shared" si="192"/>
        <v>0</v>
      </c>
      <c r="M350" s="18">
        <f t="shared" si="192"/>
        <v>0</v>
      </c>
    </row>
    <row r="351" spans="1:13" ht="12.75">
      <c r="A351" s="17" t="str">
        <f t="shared" si="180"/>
        <v>Off-Site Motor Vehicle Total</v>
      </c>
      <c r="B351" s="17"/>
      <c r="C351" s="18">
        <f aca="true" t="shared" si="193" ref="C351:M351">SUM(C346:C349)</f>
        <v>2.0675414382268165</v>
      </c>
      <c r="D351" s="18">
        <f t="shared" si="193"/>
        <v>15.30182150581453</v>
      </c>
      <c r="E351" s="18">
        <f t="shared" si="193"/>
        <v>15.682901505814531</v>
      </c>
      <c r="F351" s="18">
        <f t="shared" si="193"/>
        <v>5.373592876453633</v>
      </c>
      <c r="G351" s="18">
        <f t="shared" si="193"/>
        <v>5.2783228764536325</v>
      </c>
      <c r="H351" s="18">
        <f t="shared" si="193"/>
        <v>2.9249714382268164</v>
      </c>
      <c r="I351" s="18">
        <f t="shared" si="193"/>
        <v>2.9249714382268164</v>
      </c>
      <c r="J351" s="18">
        <f t="shared" si="193"/>
        <v>2.5438914382268165</v>
      </c>
      <c r="K351" s="18">
        <f t="shared" si="193"/>
        <v>0.19054000000000001</v>
      </c>
      <c r="L351" s="18">
        <f t="shared" si="193"/>
        <v>0</v>
      </c>
      <c r="M351" s="18">
        <f t="shared" si="193"/>
        <v>0</v>
      </c>
    </row>
    <row r="352" spans="1:13" ht="12.75">
      <c r="A352" s="17" t="str">
        <f t="shared" si="180"/>
        <v>Gas Line</v>
      </c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>
      <c r="A353" s="17" t="str">
        <f t="shared" si="180"/>
        <v>Construction Equipment</v>
      </c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>
      <c r="A354" s="62" t="str">
        <f t="shared" si="180"/>
        <v>Gas Line Welding rigs</v>
      </c>
      <c r="B354" s="4">
        <f>VLOOKUP(A354,'Const. Equip. EFs'!$A$5:$I$19,7,FALSE)</f>
        <v>0.2824510000548262</v>
      </c>
      <c r="C354" s="16">
        <f aca="true" t="shared" si="194" ref="C354:C360">$B354*C226</f>
        <v>6.778824001315829</v>
      </c>
      <c r="D354" s="16">
        <f aca="true" t="shared" si="195" ref="D354:M354">$B354*D226</f>
        <v>6.778824001315829</v>
      </c>
      <c r="E354" s="16">
        <f t="shared" si="195"/>
        <v>6.778824001315829</v>
      </c>
      <c r="F354" s="16">
        <f t="shared" si="195"/>
        <v>6.778824001315829</v>
      </c>
      <c r="G354" s="16">
        <f t="shared" si="195"/>
        <v>0</v>
      </c>
      <c r="H354" s="16">
        <f t="shared" si="195"/>
        <v>0</v>
      </c>
      <c r="I354" s="16">
        <f t="shared" si="195"/>
        <v>0</v>
      </c>
      <c r="J354" s="16">
        <f t="shared" si="195"/>
        <v>0</v>
      </c>
      <c r="K354" s="16">
        <f t="shared" si="195"/>
        <v>0</v>
      </c>
      <c r="L354" s="16">
        <f t="shared" si="195"/>
        <v>0</v>
      </c>
      <c r="M354" s="16">
        <f t="shared" si="195"/>
        <v>0</v>
      </c>
    </row>
    <row r="355" spans="1:13" ht="12.75">
      <c r="A355" s="62" t="str">
        <f t="shared" si="180"/>
        <v>Gas Line Backhoe</v>
      </c>
      <c r="B355" s="4">
        <f>VLOOKUP(A355,'Const. Equip. EFs'!$A$5:$I$19,7,FALSE)</f>
        <v>0.6979432017902252</v>
      </c>
      <c r="C355" s="16">
        <f t="shared" si="194"/>
        <v>4.1876592107413515</v>
      </c>
      <c r="D355" s="16">
        <f aca="true" t="shared" si="196" ref="D355:M355">$B355*D227</f>
        <v>4.1876592107413515</v>
      </c>
      <c r="E355" s="16">
        <f t="shared" si="196"/>
        <v>4.1876592107413515</v>
      </c>
      <c r="F355" s="16">
        <f t="shared" si="196"/>
        <v>4.1876592107413515</v>
      </c>
      <c r="G355" s="16">
        <f t="shared" si="196"/>
        <v>0</v>
      </c>
      <c r="H355" s="16">
        <f t="shared" si="196"/>
        <v>0</v>
      </c>
      <c r="I355" s="16">
        <f t="shared" si="196"/>
        <v>0</v>
      </c>
      <c r="J355" s="16">
        <f t="shared" si="196"/>
        <v>0</v>
      </c>
      <c r="K355" s="16">
        <f t="shared" si="196"/>
        <v>0</v>
      </c>
      <c r="L355" s="16">
        <f t="shared" si="196"/>
        <v>0</v>
      </c>
      <c r="M355" s="16">
        <f t="shared" si="196"/>
        <v>0</v>
      </c>
    </row>
    <row r="356" spans="1:13" ht="12.75">
      <c r="A356" s="62" t="str">
        <f t="shared" si="180"/>
        <v>Gas Line Compressor</v>
      </c>
      <c r="B356" s="4">
        <f>VLOOKUP(A356,'Const. Equip. EFs'!$A$5:$I$19,7,FALSE)</f>
        <v>0.24678652350684688</v>
      </c>
      <c r="C356" s="16">
        <f t="shared" si="194"/>
        <v>1.4807191410410812</v>
      </c>
      <c r="D356" s="16">
        <f aca="true" t="shared" si="197" ref="D356:M356">$B356*D228</f>
        <v>1.4807191410410812</v>
      </c>
      <c r="E356" s="16">
        <f t="shared" si="197"/>
        <v>1.4807191410410812</v>
      </c>
      <c r="F356" s="16">
        <f t="shared" si="197"/>
        <v>1.4807191410410812</v>
      </c>
      <c r="G356" s="16">
        <f t="shared" si="197"/>
        <v>0</v>
      </c>
      <c r="H356" s="16">
        <f t="shared" si="197"/>
        <v>0</v>
      </c>
      <c r="I356" s="16">
        <f t="shared" si="197"/>
        <v>0</v>
      </c>
      <c r="J356" s="16">
        <f t="shared" si="197"/>
        <v>0</v>
      </c>
      <c r="K356" s="16">
        <f t="shared" si="197"/>
        <v>0</v>
      </c>
      <c r="L356" s="16">
        <f t="shared" si="197"/>
        <v>0</v>
      </c>
      <c r="M356" s="16">
        <f t="shared" si="197"/>
        <v>0</v>
      </c>
    </row>
    <row r="357" spans="1:13" ht="12.75">
      <c r="A357" s="62" t="str">
        <f t="shared" si="180"/>
        <v>Gas Line Front-end loader</v>
      </c>
      <c r="B357" s="4">
        <f>VLOOKUP(A357,'Const. Equip. EFs'!$A$5:$I$19,7,FALSE)</f>
        <v>1.384927599678421</v>
      </c>
      <c r="C357" s="16">
        <f t="shared" si="194"/>
        <v>13.84927599678421</v>
      </c>
      <c r="D357" s="16">
        <f aca="true" t="shared" si="198" ref="D357:M357">$B357*D229</f>
        <v>13.84927599678421</v>
      </c>
      <c r="E357" s="16">
        <f t="shared" si="198"/>
        <v>13.84927599678421</v>
      </c>
      <c r="F357" s="16">
        <f t="shared" si="198"/>
        <v>13.84927599678421</v>
      </c>
      <c r="G357" s="16">
        <f t="shared" si="198"/>
        <v>0</v>
      </c>
      <c r="H357" s="16">
        <f t="shared" si="198"/>
        <v>0</v>
      </c>
      <c r="I357" s="16">
        <f t="shared" si="198"/>
        <v>0</v>
      </c>
      <c r="J357" s="16">
        <f t="shared" si="198"/>
        <v>0</v>
      </c>
      <c r="K357" s="16">
        <f t="shared" si="198"/>
        <v>0</v>
      </c>
      <c r="L357" s="16">
        <f t="shared" si="198"/>
        <v>0</v>
      </c>
      <c r="M357" s="16">
        <f t="shared" si="198"/>
        <v>0</v>
      </c>
    </row>
    <row r="358" spans="1:13" ht="12.75">
      <c r="A358" s="62" t="str">
        <f t="shared" si="180"/>
        <v>Gas Line Compactor</v>
      </c>
      <c r="B358" s="4">
        <f>VLOOKUP(A358,'Const. Equip. EFs'!$A$5:$I$19,7,FALSE)</f>
        <v>0.9073413185547913</v>
      </c>
      <c r="C358" s="16">
        <f t="shared" si="194"/>
        <v>3.629365274219165</v>
      </c>
      <c r="D358" s="16">
        <f aca="true" t="shared" si="199" ref="D358:M358">$B358*D230</f>
        <v>3.629365274219165</v>
      </c>
      <c r="E358" s="16">
        <f t="shared" si="199"/>
        <v>3.629365274219165</v>
      </c>
      <c r="F358" s="16">
        <f t="shared" si="199"/>
        <v>3.629365274219165</v>
      </c>
      <c r="G358" s="16">
        <f t="shared" si="199"/>
        <v>0</v>
      </c>
      <c r="H358" s="16">
        <f t="shared" si="199"/>
        <v>0</v>
      </c>
      <c r="I358" s="16">
        <f t="shared" si="199"/>
        <v>0</v>
      </c>
      <c r="J358" s="16">
        <f t="shared" si="199"/>
        <v>0</v>
      </c>
      <c r="K358" s="16">
        <f t="shared" si="199"/>
        <v>0</v>
      </c>
      <c r="L358" s="16">
        <f t="shared" si="199"/>
        <v>0</v>
      </c>
      <c r="M358" s="16">
        <f t="shared" si="199"/>
        <v>0</v>
      </c>
    </row>
    <row r="359" spans="1:13" ht="12.75">
      <c r="A359" s="62" t="str">
        <f t="shared" si="180"/>
        <v>Gas Line Excavator</v>
      </c>
      <c r="B359" s="4">
        <f>VLOOKUP(A359,'Const. Equip. EFs'!$A$5:$I$19,7,FALSE)</f>
        <v>1.030544168338401</v>
      </c>
      <c r="C359" s="16">
        <f t="shared" si="194"/>
        <v>6.183265010030405</v>
      </c>
      <c r="D359" s="16">
        <f aca="true" t="shared" si="200" ref="D359:M359">$B359*D231</f>
        <v>6.183265010030405</v>
      </c>
      <c r="E359" s="16">
        <f t="shared" si="200"/>
        <v>6.183265010030405</v>
      </c>
      <c r="F359" s="16">
        <f t="shared" si="200"/>
        <v>6.183265010030405</v>
      </c>
      <c r="G359" s="16">
        <f t="shared" si="200"/>
        <v>0</v>
      </c>
      <c r="H359" s="16">
        <f t="shared" si="200"/>
        <v>0</v>
      </c>
      <c r="I359" s="16">
        <f t="shared" si="200"/>
        <v>0</v>
      </c>
      <c r="J359" s="16">
        <f t="shared" si="200"/>
        <v>0</v>
      </c>
      <c r="K359" s="16">
        <f t="shared" si="200"/>
        <v>0</v>
      </c>
      <c r="L359" s="16">
        <f t="shared" si="200"/>
        <v>0</v>
      </c>
      <c r="M359" s="16">
        <f t="shared" si="200"/>
        <v>0</v>
      </c>
    </row>
    <row r="360" spans="1:13" ht="12.75">
      <c r="A360" s="62" t="str">
        <f t="shared" si="180"/>
        <v>Gas Line 15 ton crane</v>
      </c>
      <c r="B360" s="4">
        <f>VLOOKUP(A360,'Const. Equip. EFs'!$A$5:$I$19,7,FALSE)</f>
        <v>1.4664521646974422</v>
      </c>
      <c r="C360" s="16">
        <f t="shared" si="194"/>
        <v>11.731617317579538</v>
      </c>
      <c r="D360" s="16">
        <f aca="true" t="shared" si="201" ref="D360:M360">$B360*D232</f>
        <v>11.731617317579538</v>
      </c>
      <c r="E360" s="16">
        <f t="shared" si="201"/>
        <v>11.731617317579538</v>
      </c>
      <c r="F360" s="16">
        <f t="shared" si="201"/>
        <v>11.731617317579538</v>
      </c>
      <c r="G360" s="16">
        <f t="shared" si="201"/>
        <v>0</v>
      </c>
      <c r="H360" s="16">
        <f t="shared" si="201"/>
        <v>0</v>
      </c>
      <c r="I360" s="16">
        <f t="shared" si="201"/>
        <v>0</v>
      </c>
      <c r="J360" s="16">
        <f t="shared" si="201"/>
        <v>0</v>
      </c>
      <c r="K360" s="16">
        <f t="shared" si="201"/>
        <v>0</v>
      </c>
      <c r="L360" s="16">
        <f t="shared" si="201"/>
        <v>0</v>
      </c>
      <c r="M360" s="16">
        <f t="shared" si="201"/>
        <v>0</v>
      </c>
    </row>
    <row r="361" spans="1:13" ht="12.75">
      <c r="A361" s="62" t="str">
        <f t="shared" si="180"/>
        <v>Gas Line Roller</v>
      </c>
      <c r="B361" s="4">
        <f>VLOOKUP(A361,'Const. Equip. EFs'!$A$5:$I$19,7,FALSE)</f>
        <v>0.9073413185547913</v>
      </c>
      <c r="C361" s="16">
        <f aca="true" t="shared" si="202" ref="C361:M361">$B361*C233</f>
        <v>3.629365274219165</v>
      </c>
      <c r="D361" s="16">
        <f t="shared" si="202"/>
        <v>3.629365274219165</v>
      </c>
      <c r="E361" s="16">
        <f t="shared" si="202"/>
        <v>3.629365274219165</v>
      </c>
      <c r="F361" s="16">
        <f t="shared" si="202"/>
        <v>3.629365274219165</v>
      </c>
      <c r="G361" s="16">
        <f t="shared" si="202"/>
        <v>0</v>
      </c>
      <c r="H361" s="16">
        <f t="shared" si="202"/>
        <v>0</v>
      </c>
      <c r="I361" s="16">
        <f t="shared" si="202"/>
        <v>0</v>
      </c>
      <c r="J361" s="16">
        <f t="shared" si="202"/>
        <v>0</v>
      </c>
      <c r="K361" s="16">
        <f t="shared" si="202"/>
        <v>0</v>
      </c>
      <c r="L361" s="16">
        <f t="shared" si="202"/>
        <v>0</v>
      </c>
      <c r="M361" s="16">
        <f t="shared" si="202"/>
        <v>0</v>
      </c>
    </row>
    <row r="362" spans="1:13" ht="12.75">
      <c r="A362" s="62" t="str">
        <f t="shared" si="180"/>
        <v>Gas Line Reed Screen</v>
      </c>
      <c r="B362" s="4">
        <f>VLOOKUP(A362,'Const. Equip. EFs'!$A$5:$I$19,7,FALSE)</f>
        <v>1.0579275281669862</v>
      </c>
      <c r="C362" s="16">
        <f aca="true" t="shared" si="203" ref="C362:M362">$B362*C234</f>
        <v>6.347565169001918</v>
      </c>
      <c r="D362" s="16">
        <f t="shared" si="203"/>
        <v>6.347565169001918</v>
      </c>
      <c r="E362" s="16">
        <f t="shared" si="203"/>
        <v>6.347565169001918</v>
      </c>
      <c r="F362" s="16">
        <f t="shared" si="203"/>
        <v>6.347565169001918</v>
      </c>
      <c r="G362" s="16">
        <f t="shared" si="203"/>
        <v>0</v>
      </c>
      <c r="H362" s="16">
        <f t="shared" si="203"/>
        <v>0</v>
      </c>
      <c r="I362" s="16">
        <f t="shared" si="203"/>
        <v>0</v>
      </c>
      <c r="J362" s="16">
        <f t="shared" si="203"/>
        <v>0</v>
      </c>
      <c r="K362" s="16">
        <f t="shared" si="203"/>
        <v>0</v>
      </c>
      <c r="L362" s="16">
        <f t="shared" si="203"/>
        <v>0</v>
      </c>
      <c r="M362" s="16">
        <f t="shared" si="203"/>
        <v>0</v>
      </c>
    </row>
    <row r="363" spans="1:13" ht="12.75">
      <c r="A363" s="17" t="str">
        <f t="shared" si="180"/>
        <v>Construction Equipment Total</v>
      </c>
      <c r="B363" s="17"/>
      <c r="C363" s="18">
        <f aca="true" t="shared" si="204" ref="C363:M363">SUM(C354:C362)</f>
        <v>57.81765639493266</v>
      </c>
      <c r="D363" s="18">
        <f t="shared" si="204"/>
        <v>57.81765639493266</v>
      </c>
      <c r="E363" s="18">
        <f t="shared" si="204"/>
        <v>57.81765639493266</v>
      </c>
      <c r="F363" s="18">
        <f t="shared" si="204"/>
        <v>57.81765639493266</v>
      </c>
      <c r="G363" s="18">
        <f t="shared" si="204"/>
        <v>0</v>
      </c>
      <c r="H363" s="18">
        <f t="shared" si="204"/>
        <v>0</v>
      </c>
      <c r="I363" s="18">
        <f t="shared" si="204"/>
        <v>0</v>
      </c>
      <c r="J363" s="18">
        <f t="shared" si="204"/>
        <v>0</v>
      </c>
      <c r="K363" s="18">
        <f t="shared" si="204"/>
        <v>0</v>
      </c>
      <c r="L363" s="18">
        <f t="shared" si="204"/>
        <v>0</v>
      </c>
      <c r="M363" s="18">
        <f t="shared" si="204"/>
        <v>0</v>
      </c>
    </row>
    <row r="364" spans="1:13" ht="12.75">
      <c r="A364" s="17" t="str">
        <f t="shared" si="180"/>
        <v>Motor Vehicles</v>
      </c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>
      <c r="A365" s="62" t="str">
        <f t="shared" si="180"/>
        <v>On-Site Pickup Truck</v>
      </c>
      <c r="B365" s="4">
        <f>VLOOKUP($A365,'Vehicle EFs'!$A$22:$F$27,4,FALSE)</f>
        <v>0.001361</v>
      </c>
      <c r="C365" s="16">
        <f>$B365*C236</f>
        <v>0.08166</v>
      </c>
      <c r="D365" s="16">
        <f aca="true" t="shared" si="205" ref="D365:M365">$B365*D236</f>
        <v>0.08166</v>
      </c>
      <c r="E365" s="16">
        <f t="shared" si="205"/>
        <v>0.08166</v>
      </c>
      <c r="F365" s="16">
        <f t="shared" si="205"/>
        <v>0.08166</v>
      </c>
      <c r="G365" s="16">
        <f t="shared" si="205"/>
        <v>0</v>
      </c>
      <c r="H365" s="16">
        <f t="shared" si="205"/>
        <v>0</v>
      </c>
      <c r="I365" s="16">
        <f t="shared" si="205"/>
        <v>0</v>
      </c>
      <c r="J365" s="16">
        <f t="shared" si="205"/>
        <v>0</v>
      </c>
      <c r="K365" s="16">
        <f t="shared" si="205"/>
        <v>0</v>
      </c>
      <c r="L365" s="16">
        <f t="shared" si="205"/>
        <v>0</v>
      </c>
      <c r="M365" s="16">
        <f t="shared" si="205"/>
        <v>0</v>
      </c>
    </row>
    <row r="366" spans="1:13" ht="12.75">
      <c r="A366" s="62" t="str">
        <f t="shared" si="180"/>
        <v>Off-Site Dump Truck</v>
      </c>
      <c r="B366" s="4">
        <f>VLOOKUP($A366,'Vehicle EFs'!$A$22:$F$27,4,FALSE)</f>
        <v>0.035634628764536325</v>
      </c>
      <c r="C366" s="16">
        <f>$B366*C237</f>
        <v>3.2071165888082693</v>
      </c>
      <c r="D366" s="16">
        <f aca="true" t="shared" si="206" ref="D366:M366">$B366*D237</f>
        <v>3.2071165888082693</v>
      </c>
      <c r="E366" s="16">
        <f t="shared" si="206"/>
        <v>3.2071165888082693</v>
      </c>
      <c r="F366" s="16">
        <f t="shared" si="206"/>
        <v>3.2071165888082693</v>
      </c>
      <c r="G366" s="16">
        <f t="shared" si="206"/>
        <v>0</v>
      </c>
      <c r="H366" s="16">
        <f t="shared" si="206"/>
        <v>0</v>
      </c>
      <c r="I366" s="16">
        <f t="shared" si="206"/>
        <v>0</v>
      </c>
      <c r="J366" s="16">
        <f t="shared" si="206"/>
        <v>0</v>
      </c>
      <c r="K366" s="16">
        <f t="shared" si="206"/>
        <v>0</v>
      </c>
      <c r="L366" s="16">
        <f t="shared" si="206"/>
        <v>0</v>
      </c>
      <c r="M366" s="16">
        <f t="shared" si="206"/>
        <v>0</v>
      </c>
    </row>
    <row r="367" spans="1:13" ht="12.75">
      <c r="A367" s="62" t="str">
        <f t="shared" si="180"/>
        <v>On-Site Water Truck</v>
      </c>
      <c r="B367" s="4">
        <f>VLOOKUP($A367,'Vehicle EFs'!$A$22:$F$27,4,FALSE)</f>
        <v>0.035634628764536325</v>
      </c>
      <c r="C367" s="16">
        <f>$B367*C238</f>
        <v>0.7126925752907265</v>
      </c>
      <c r="D367" s="16">
        <f aca="true" t="shared" si="207" ref="D367:M367">$B367*D238</f>
        <v>0.7126925752907265</v>
      </c>
      <c r="E367" s="16">
        <f t="shared" si="207"/>
        <v>0.7126925752907265</v>
      </c>
      <c r="F367" s="16">
        <f t="shared" si="207"/>
        <v>0.7126925752907265</v>
      </c>
      <c r="G367" s="16">
        <f t="shared" si="207"/>
        <v>0</v>
      </c>
      <c r="H367" s="16">
        <f t="shared" si="207"/>
        <v>0</v>
      </c>
      <c r="I367" s="16">
        <f t="shared" si="207"/>
        <v>0</v>
      </c>
      <c r="J367" s="16">
        <f t="shared" si="207"/>
        <v>0</v>
      </c>
      <c r="K367" s="16">
        <f t="shared" si="207"/>
        <v>0</v>
      </c>
      <c r="L367" s="16">
        <f t="shared" si="207"/>
        <v>0</v>
      </c>
      <c r="M367" s="16">
        <f t="shared" si="207"/>
        <v>0</v>
      </c>
    </row>
    <row r="368" spans="1:13" ht="12.75">
      <c r="A368" s="62" t="str">
        <f t="shared" si="180"/>
        <v>Off-Site Concrete Truck</v>
      </c>
      <c r="B368" s="4">
        <f>VLOOKUP($A368,'Vehicle EFs'!$A$22:$F$27,4,FALSE)</f>
        <v>0.035634628764536325</v>
      </c>
      <c r="C368" s="16">
        <f>$B368*C239</f>
        <v>2.850770301162906</v>
      </c>
      <c r="D368" s="16">
        <f aca="true" t="shared" si="208" ref="D368:M368">$B368*D239</f>
        <v>2.850770301162906</v>
      </c>
      <c r="E368" s="16">
        <f t="shared" si="208"/>
        <v>2.850770301162906</v>
      </c>
      <c r="F368" s="16">
        <f t="shared" si="208"/>
        <v>2.850770301162906</v>
      </c>
      <c r="G368" s="16">
        <f t="shared" si="208"/>
        <v>0</v>
      </c>
      <c r="H368" s="16">
        <f t="shared" si="208"/>
        <v>0</v>
      </c>
      <c r="I368" s="16">
        <f t="shared" si="208"/>
        <v>0</v>
      </c>
      <c r="J368" s="16">
        <f t="shared" si="208"/>
        <v>0</v>
      </c>
      <c r="K368" s="16">
        <f t="shared" si="208"/>
        <v>0</v>
      </c>
      <c r="L368" s="16">
        <f t="shared" si="208"/>
        <v>0</v>
      </c>
      <c r="M368" s="16">
        <f t="shared" si="208"/>
        <v>0</v>
      </c>
    </row>
    <row r="369" spans="1:13" ht="12.75">
      <c r="A369" s="62" t="str">
        <f t="shared" si="180"/>
        <v>Off-Site Delivery Truck</v>
      </c>
      <c r="B369" s="4">
        <f>VLOOKUP($A369,'Vehicle EFs'!$A$22:$F$27,4,FALSE)</f>
        <v>0.035634628764536325</v>
      </c>
      <c r="C369" s="16">
        <f aca="true" t="shared" si="209" ref="C369:M369">$B369*C240</f>
        <v>2.850770301162906</v>
      </c>
      <c r="D369" s="16">
        <f t="shared" si="209"/>
        <v>2.850770301162906</v>
      </c>
      <c r="E369" s="16">
        <f t="shared" si="209"/>
        <v>2.850770301162906</v>
      </c>
      <c r="F369" s="16">
        <f t="shared" si="209"/>
        <v>2.850770301162906</v>
      </c>
      <c r="G369" s="16">
        <f t="shared" si="209"/>
        <v>0</v>
      </c>
      <c r="H369" s="16">
        <f t="shared" si="209"/>
        <v>0</v>
      </c>
      <c r="I369" s="16">
        <f t="shared" si="209"/>
        <v>0</v>
      </c>
      <c r="J369" s="16">
        <f t="shared" si="209"/>
        <v>0</v>
      </c>
      <c r="K369" s="16">
        <f t="shared" si="209"/>
        <v>0</v>
      </c>
      <c r="L369" s="16">
        <f t="shared" si="209"/>
        <v>0</v>
      </c>
      <c r="M369" s="16">
        <f t="shared" si="209"/>
        <v>0</v>
      </c>
    </row>
    <row r="370" spans="1:13" ht="12.75">
      <c r="A370" s="62" t="str">
        <f t="shared" si="180"/>
        <v>Off-Site Construction Worker Commute</v>
      </c>
      <c r="B370" s="4">
        <f>VLOOKUP($A370,'Vehicle EFs'!$A$22:$F$27,4,FALSE)</f>
        <v>0.001361</v>
      </c>
      <c r="C370" s="16">
        <f aca="true" t="shared" si="210" ref="C370:M370">$B370*C241</f>
        <v>2.1776</v>
      </c>
      <c r="D370" s="16">
        <f t="shared" si="210"/>
        <v>2.1776</v>
      </c>
      <c r="E370" s="16">
        <f t="shared" si="210"/>
        <v>2.1776</v>
      </c>
      <c r="F370" s="16">
        <f t="shared" si="210"/>
        <v>2.1776</v>
      </c>
      <c r="G370" s="16">
        <f t="shared" si="210"/>
        <v>0</v>
      </c>
      <c r="H370" s="16">
        <f t="shared" si="210"/>
        <v>0</v>
      </c>
      <c r="I370" s="16">
        <f t="shared" si="210"/>
        <v>0</v>
      </c>
      <c r="J370" s="16">
        <f t="shared" si="210"/>
        <v>0</v>
      </c>
      <c r="K370" s="16">
        <f t="shared" si="210"/>
        <v>0</v>
      </c>
      <c r="L370" s="16">
        <f t="shared" si="210"/>
        <v>0</v>
      </c>
      <c r="M370" s="16">
        <f t="shared" si="210"/>
        <v>0</v>
      </c>
    </row>
    <row r="371" spans="1:13" ht="12.75">
      <c r="A371" s="17" t="str">
        <f t="shared" si="180"/>
        <v>On-Site Motor Vehicle Total</v>
      </c>
      <c r="B371" s="17"/>
      <c r="C371" s="18">
        <f>C365+C367</f>
        <v>0.7943525752907264</v>
      </c>
      <c r="D371" s="18">
        <f aca="true" t="shared" si="211" ref="D371:M371">D365+D367</f>
        <v>0.7943525752907264</v>
      </c>
      <c r="E371" s="18">
        <f t="shared" si="211"/>
        <v>0.7943525752907264</v>
      </c>
      <c r="F371" s="18">
        <f t="shared" si="211"/>
        <v>0.7943525752907264</v>
      </c>
      <c r="G371" s="18">
        <f t="shared" si="211"/>
        <v>0</v>
      </c>
      <c r="H371" s="18">
        <f t="shared" si="211"/>
        <v>0</v>
      </c>
      <c r="I371" s="18">
        <f t="shared" si="211"/>
        <v>0</v>
      </c>
      <c r="J371" s="18">
        <f t="shared" si="211"/>
        <v>0</v>
      </c>
      <c r="K371" s="18">
        <f t="shared" si="211"/>
        <v>0</v>
      </c>
      <c r="L371" s="18">
        <f t="shared" si="211"/>
        <v>0</v>
      </c>
      <c r="M371" s="18">
        <f t="shared" si="211"/>
        <v>0</v>
      </c>
    </row>
    <row r="372" spans="1:13" ht="12.75">
      <c r="A372" s="17" t="str">
        <f t="shared" si="180"/>
        <v>Off-Site Motor Vehicle Total</v>
      </c>
      <c r="B372" s="17"/>
      <c r="C372" s="18">
        <f>C366+SUM(C368:C370)</f>
        <v>11.08625719113408</v>
      </c>
      <c r="D372" s="18">
        <f aca="true" t="shared" si="212" ref="D372:M372">D366+SUM(D368:D370)</f>
        <v>11.08625719113408</v>
      </c>
      <c r="E372" s="18">
        <f t="shared" si="212"/>
        <v>11.08625719113408</v>
      </c>
      <c r="F372" s="18">
        <f t="shared" si="212"/>
        <v>11.08625719113408</v>
      </c>
      <c r="G372" s="18">
        <f t="shared" si="212"/>
        <v>0</v>
      </c>
      <c r="H372" s="18">
        <f t="shared" si="212"/>
        <v>0</v>
      </c>
      <c r="I372" s="18">
        <f t="shared" si="212"/>
        <v>0</v>
      </c>
      <c r="J372" s="18">
        <f t="shared" si="212"/>
        <v>0</v>
      </c>
      <c r="K372" s="18">
        <f t="shared" si="212"/>
        <v>0</v>
      </c>
      <c r="L372" s="18">
        <f t="shared" si="212"/>
        <v>0</v>
      </c>
      <c r="M372" s="18">
        <f t="shared" si="212"/>
        <v>0</v>
      </c>
    </row>
    <row r="373" ht="12.75">
      <c r="A373" s="19" t="s">
        <v>43</v>
      </c>
    </row>
    <row r="374" ht="12.75">
      <c r="A374" s="19"/>
    </row>
    <row r="375" spans="1:13" ht="12.75">
      <c r="A375" s="133" t="s">
        <v>219</v>
      </c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</row>
    <row r="376" spans="1:13" ht="12.75">
      <c r="A376" s="134" t="str">
        <f>$B$1&amp;" Equipment and Motor Vehicle SOx Emissions"</f>
        <v>Mira Loma Construction Equipment and Motor Vehicle SOx Emissions</v>
      </c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2" t="str">
        <f>A333</f>
        <v>Equipment/Vehicle Type</v>
      </c>
      <c r="B377" s="142" t="s">
        <v>154</v>
      </c>
      <c r="C377" s="132" t="s">
        <v>166</v>
      </c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</row>
    <row r="378" spans="1:13" ht="12.75">
      <c r="A378" s="141"/>
      <c r="B378" s="138"/>
      <c r="C378" s="63">
        <f>C334</f>
        <v>39139</v>
      </c>
      <c r="D378" s="63">
        <f aca="true" t="shared" si="213" ref="D378:M378">D334</f>
        <v>39153</v>
      </c>
      <c r="E378" s="63">
        <f t="shared" si="213"/>
        <v>39167</v>
      </c>
      <c r="F378" s="63">
        <f t="shared" si="213"/>
        <v>39181</v>
      </c>
      <c r="G378" s="63">
        <f t="shared" si="213"/>
        <v>39195</v>
      </c>
      <c r="H378" s="63">
        <f t="shared" si="213"/>
        <v>39209</v>
      </c>
      <c r="I378" s="63">
        <f t="shared" si="213"/>
        <v>39223</v>
      </c>
      <c r="J378" s="63">
        <f t="shared" si="213"/>
        <v>39237</v>
      </c>
      <c r="K378" s="63">
        <f t="shared" si="213"/>
        <v>39251</v>
      </c>
      <c r="L378" s="63">
        <f t="shared" si="213"/>
        <v>39265</v>
      </c>
      <c r="M378" s="63">
        <f t="shared" si="213"/>
        <v>39279</v>
      </c>
    </row>
    <row r="379" spans="1:13" ht="12.75">
      <c r="A379" s="17" t="str">
        <f>A335</f>
        <v>Power Plant</v>
      </c>
      <c r="B379" s="92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2.75">
      <c r="A380" s="17" t="str">
        <f>A336</f>
        <v>Construction Equipment</v>
      </c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62" t="str">
        <f>A337</f>
        <v>Welding rigs</v>
      </c>
      <c r="B381" s="4">
        <f>VLOOKUP(A381,'Const. Equip. EFs'!$A$5:$I$19,8,FALSE)</f>
        <v>0.00033557297655662324</v>
      </c>
      <c r="C381" s="16">
        <f>$B381*C212</f>
        <v>0.004026875718679479</v>
      </c>
      <c r="D381" s="16">
        <f aca="true" t="shared" si="214" ref="D381:M381">$B381*D212</f>
        <v>0.004026875718679479</v>
      </c>
      <c r="E381" s="16">
        <f t="shared" si="214"/>
        <v>0.004026875718679479</v>
      </c>
      <c r="F381" s="16">
        <f t="shared" si="214"/>
        <v>0.004026875718679479</v>
      </c>
      <c r="G381" s="16">
        <f t="shared" si="214"/>
        <v>0.004026875718679479</v>
      </c>
      <c r="H381" s="16">
        <f t="shared" si="214"/>
        <v>0.004026875718679479</v>
      </c>
      <c r="I381" s="16">
        <f t="shared" si="214"/>
        <v>0.0020134378593397394</v>
      </c>
      <c r="J381" s="16">
        <f t="shared" si="214"/>
        <v>0.0020134378593397394</v>
      </c>
      <c r="K381" s="16">
        <f t="shared" si="214"/>
        <v>0</v>
      </c>
      <c r="L381" s="16">
        <f t="shared" si="214"/>
        <v>0</v>
      </c>
      <c r="M381" s="16">
        <f t="shared" si="214"/>
        <v>0</v>
      </c>
    </row>
    <row r="382" spans="1:13" ht="12.75">
      <c r="A382" s="62" t="str">
        <f aca="true" t="shared" si="215" ref="A382:A416">A338</f>
        <v>Backhoe</v>
      </c>
      <c r="B382" s="4">
        <f>VLOOKUP(A382,'Const. Equip. EFs'!$A$5:$I$19,8,FALSE)</f>
        <v>0.0006067963189681883</v>
      </c>
      <c r="C382" s="16">
        <f>$B382*C213</f>
        <v>0.0036407779138091295</v>
      </c>
      <c r="D382" s="16">
        <f aca="true" t="shared" si="216" ref="D382:M382">$B382*D213</f>
        <v>0.007281555827618259</v>
      </c>
      <c r="E382" s="16">
        <f t="shared" si="216"/>
        <v>0.007281555827618259</v>
      </c>
      <c r="F382" s="16">
        <f t="shared" si="216"/>
        <v>0.0036407779138091295</v>
      </c>
      <c r="G382" s="16">
        <f t="shared" si="216"/>
        <v>0.0036407779138091295</v>
      </c>
      <c r="H382" s="16">
        <f t="shared" si="216"/>
        <v>0</v>
      </c>
      <c r="I382" s="16">
        <f t="shared" si="216"/>
        <v>0</v>
      </c>
      <c r="J382" s="16">
        <f t="shared" si="216"/>
        <v>0</v>
      </c>
      <c r="K382" s="16">
        <f t="shared" si="216"/>
        <v>0</v>
      </c>
      <c r="L382" s="16">
        <f t="shared" si="216"/>
        <v>0</v>
      </c>
      <c r="M382" s="16">
        <f t="shared" si="216"/>
        <v>0</v>
      </c>
    </row>
    <row r="383" spans="1:13" ht="12.75">
      <c r="A383" s="62" t="str">
        <f t="shared" si="215"/>
        <v>Compressor</v>
      </c>
      <c r="B383" s="4">
        <f>VLOOKUP(A383,'Const. Equip. EFs'!$A$5:$I$19,8,FALSE)</f>
        <v>0.00028791181050463743</v>
      </c>
      <c r="C383" s="16">
        <f>$B383*C214</f>
        <v>0.0017274708630278246</v>
      </c>
      <c r="D383" s="16">
        <f aca="true" t="shared" si="217" ref="D383:M383">$B383*D214</f>
        <v>0.003454941726055649</v>
      </c>
      <c r="E383" s="16">
        <f t="shared" si="217"/>
        <v>0.006909883452111298</v>
      </c>
      <c r="F383" s="16">
        <f t="shared" si="217"/>
        <v>0.006909883452111298</v>
      </c>
      <c r="G383" s="16">
        <f t="shared" si="217"/>
        <v>0.006909883452111298</v>
      </c>
      <c r="H383" s="16">
        <f t="shared" si="217"/>
        <v>0.005182412589083474</v>
      </c>
      <c r="I383" s="16">
        <f t="shared" si="217"/>
        <v>0.003454941726055649</v>
      </c>
      <c r="J383" s="16">
        <f t="shared" si="217"/>
        <v>0.003454941726055649</v>
      </c>
      <c r="K383" s="16">
        <f t="shared" si="217"/>
        <v>0</v>
      </c>
      <c r="L383" s="16">
        <f t="shared" si="217"/>
        <v>0</v>
      </c>
      <c r="M383" s="16">
        <f t="shared" si="217"/>
        <v>0</v>
      </c>
    </row>
    <row r="384" spans="1:13" ht="12.75">
      <c r="A384" s="62" t="str">
        <f t="shared" si="215"/>
        <v>Front-end  loader</v>
      </c>
      <c r="B384" s="4">
        <f>VLOOKUP(A384,'Const. Equip. EFs'!$A$5:$I$19,8,FALSE)</f>
        <v>0.0011962282019979415</v>
      </c>
      <c r="C384" s="16">
        <f>$B384*C215</f>
        <v>0</v>
      </c>
      <c r="D384" s="16">
        <f aca="true" t="shared" si="218" ref="D384:M384">$B384*D215</f>
        <v>0.007177369211987649</v>
      </c>
      <c r="E384" s="16">
        <f t="shared" si="218"/>
        <v>0.007177369211987649</v>
      </c>
      <c r="F384" s="16">
        <f t="shared" si="218"/>
        <v>0.007177369211987649</v>
      </c>
      <c r="G384" s="16">
        <f t="shared" si="218"/>
        <v>0.007177369211987649</v>
      </c>
      <c r="H384" s="16">
        <f t="shared" si="218"/>
        <v>0</v>
      </c>
      <c r="I384" s="16">
        <f t="shared" si="218"/>
        <v>0</v>
      </c>
      <c r="J384" s="16">
        <f t="shared" si="218"/>
        <v>0</v>
      </c>
      <c r="K384" s="16">
        <f t="shared" si="218"/>
        <v>0</v>
      </c>
      <c r="L384" s="16">
        <f t="shared" si="218"/>
        <v>0</v>
      </c>
      <c r="M384" s="16">
        <f t="shared" si="218"/>
        <v>0</v>
      </c>
    </row>
    <row r="385" spans="1:13" ht="12.75">
      <c r="A385" s="62" t="str">
        <f t="shared" si="215"/>
        <v>15 ton crane</v>
      </c>
      <c r="B385" s="4">
        <f>VLOOKUP(A385,'Const. Equip. EFs'!$A$5:$I$19,8,FALSE)</f>
        <v>0.0009040144085523899</v>
      </c>
      <c r="C385" s="16">
        <f aca="true" t="shared" si="219" ref="C385:M385">$B385*C216</f>
        <v>0</v>
      </c>
      <c r="D385" s="16">
        <f t="shared" si="219"/>
        <v>0.00542408645131434</v>
      </c>
      <c r="E385" s="16">
        <f t="shared" si="219"/>
        <v>0.00542408645131434</v>
      </c>
      <c r="F385" s="16">
        <f t="shared" si="219"/>
        <v>0.016272259353943018</v>
      </c>
      <c r="G385" s="16">
        <f t="shared" si="219"/>
        <v>0.01084817290262868</v>
      </c>
      <c r="H385" s="16">
        <f t="shared" si="219"/>
        <v>0.01084817290262868</v>
      </c>
      <c r="I385" s="16">
        <f t="shared" si="219"/>
        <v>0.01084817290262868</v>
      </c>
      <c r="J385" s="16">
        <f t="shared" si="219"/>
        <v>0.01084817290262868</v>
      </c>
      <c r="K385" s="16">
        <f t="shared" si="219"/>
        <v>0</v>
      </c>
      <c r="L385" s="16">
        <f t="shared" si="219"/>
        <v>0</v>
      </c>
      <c r="M385" s="16">
        <f t="shared" si="219"/>
        <v>0</v>
      </c>
    </row>
    <row r="386" spans="1:13" ht="12.75">
      <c r="A386" s="62" t="str">
        <f t="shared" si="215"/>
        <v>75 ton crane</v>
      </c>
      <c r="B386" s="4">
        <f>VLOOKUP(A386,'Const. Equip. EFs'!$A$5:$I$19,8,FALSE)</f>
        <v>0.0012619799662471345</v>
      </c>
      <c r="C386" s="16">
        <f aca="true" t="shared" si="220" ref="C386:M386">$B386*C217</f>
        <v>0</v>
      </c>
      <c r="D386" s="16">
        <f t="shared" si="220"/>
        <v>0</v>
      </c>
      <c r="E386" s="16">
        <f t="shared" si="220"/>
        <v>0</v>
      </c>
      <c r="F386" s="16">
        <f t="shared" si="220"/>
        <v>0.007571879797482807</v>
      </c>
      <c r="G386" s="16">
        <f t="shared" si="220"/>
        <v>0</v>
      </c>
      <c r="H386" s="16">
        <f t="shared" si="220"/>
        <v>0</v>
      </c>
      <c r="I386" s="16">
        <f t="shared" si="220"/>
        <v>0</v>
      </c>
      <c r="J386" s="16">
        <f t="shared" si="220"/>
        <v>0</v>
      </c>
      <c r="K386" s="16">
        <f t="shared" si="220"/>
        <v>0</v>
      </c>
      <c r="L386" s="16">
        <f t="shared" si="220"/>
        <v>0</v>
      </c>
      <c r="M386" s="16">
        <f t="shared" si="220"/>
        <v>0</v>
      </c>
    </row>
    <row r="387" spans="1:13" ht="12.75">
      <c r="A387" s="17" t="str">
        <f t="shared" si="215"/>
        <v>Construction Equipment Total</v>
      </c>
      <c r="B387" s="17"/>
      <c r="C387" s="18">
        <f aca="true" t="shared" si="221" ref="C387:M387">SUM(C381:C386)</f>
        <v>0.009395124495516433</v>
      </c>
      <c r="D387" s="18">
        <f t="shared" si="221"/>
        <v>0.027364828935655373</v>
      </c>
      <c r="E387" s="18">
        <f t="shared" si="221"/>
        <v>0.030819770661711023</v>
      </c>
      <c r="F387" s="18">
        <f t="shared" si="221"/>
        <v>0.04559904544801338</v>
      </c>
      <c r="G387" s="18">
        <f t="shared" si="221"/>
        <v>0.032603079199216234</v>
      </c>
      <c r="H387" s="18">
        <f t="shared" si="221"/>
        <v>0.020057461210391633</v>
      </c>
      <c r="I387" s="18">
        <f t="shared" si="221"/>
        <v>0.01631655248802407</v>
      </c>
      <c r="J387" s="18">
        <f t="shared" si="221"/>
        <v>0.01631655248802407</v>
      </c>
      <c r="K387" s="18">
        <f t="shared" si="221"/>
        <v>0</v>
      </c>
      <c r="L387" s="18">
        <f t="shared" si="221"/>
        <v>0</v>
      </c>
      <c r="M387" s="18">
        <f t="shared" si="221"/>
        <v>0</v>
      </c>
    </row>
    <row r="388" spans="1:13" ht="12.75">
      <c r="A388" s="17" t="str">
        <f t="shared" si="215"/>
        <v>Motor Vehicles</v>
      </c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62" t="str">
        <f t="shared" si="215"/>
        <v>On-Site Pickup Truck</v>
      </c>
      <c r="B389" s="4">
        <f>VLOOKUP($A389,'Vehicle EFs'!$A$22:$F$27,5,FALSE)</f>
        <v>9E-06</v>
      </c>
      <c r="C389" s="16">
        <f>$B389*C219</f>
        <v>0.000225</v>
      </c>
      <c r="D389" s="16">
        <f aca="true" t="shared" si="222" ref="D389:M389">$B389*D219</f>
        <v>0.00045</v>
      </c>
      <c r="E389" s="16">
        <f t="shared" si="222"/>
        <v>0.00045</v>
      </c>
      <c r="F389" s="16">
        <f t="shared" si="222"/>
        <v>0.000675</v>
      </c>
      <c r="G389" s="16">
        <f t="shared" si="222"/>
        <v>0.000675</v>
      </c>
      <c r="H389" s="16">
        <f t="shared" si="222"/>
        <v>0.00045</v>
      </c>
      <c r="I389" s="16">
        <f t="shared" si="222"/>
        <v>0.00045</v>
      </c>
      <c r="J389" s="16">
        <f t="shared" si="222"/>
        <v>0.00045</v>
      </c>
      <c r="K389" s="16">
        <f t="shared" si="222"/>
        <v>0.000225</v>
      </c>
      <c r="L389" s="16">
        <f t="shared" si="222"/>
        <v>0</v>
      </c>
      <c r="M389" s="16">
        <f t="shared" si="222"/>
        <v>0</v>
      </c>
    </row>
    <row r="390" spans="1:13" ht="12.75">
      <c r="A390" s="62" t="str">
        <f t="shared" si="215"/>
        <v>Off-Site Dump Truck</v>
      </c>
      <c r="B390" s="4">
        <f>VLOOKUP($A390,'Vehicle EFs'!$A$22:$F$27,5,FALSE)</f>
        <v>4.5721101282178714E-05</v>
      </c>
      <c r="C390" s="16">
        <f>$B390*C220</f>
        <v>0.0022860550641089356</v>
      </c>
      <c r="D390" s="16">
        <f aca="true" t="shared" si="223" ref="D390:M390">$B390*D220</f>
        <v>0.004572110128217871</v>
      </c>
      <c r="E390" s="16">
        <f t="shared" si="223"/>
        <v>0.004572110128217871</v>
      </c>
      <c r="F390" s="16">
        <f t="shared" si="223"/>
        <v>0.0022860550641089356</v>
      </c>
      <c r="G390" s="16">
        <f t="shared" si="223"/>
        <v>0.0022860550641089356</v>
      </c>
      <c r="H390" s="16">
        <f t="shared" si="223"/>
        <v>0</v>
      </c>
      <c r="I390" s="16">
        <f t="shared" si="223"/>
        <v>0</v>
      </c>
      <c r="J390" s="16">
        <f t="shared" si="223"/>
        <v>0</v>
      </c>
      <c r="K390" s="16">
        <f t="shared" si="223"/>
        <v>0</v>
      </c>
      <c r="L390" s="16">
        <f t="shared" si="223"/>
        <v>0</v>
      </c>
      <c r="M390" s="16">
        <f t="shared" si="223"/>
        <v>0</v>
      </c>
    </row>
    <row r="391" spans="1:13" ht="12.75">
      <c r="A391" s="62" t="str">
        <f t="shared" si="215"/>
        <v>Off-Site Concrete Truck</v>
      </c>
      <c r="B391" s="4">
        <f>VLOOKUP($A391,'Vehicle EFs'!$A$22:$F$27,5,FALSE)</f>
        <v>4.5721101282178714E-05</v>
      </c>
      <c r="C391" s="16">
        <f>$B391*C221</f>
        <v>0</v>
      </c>
      <c r="D391" s="16">
        <f aca="true" t="shared" si="224" ref="D391:M391">$B391*D221</f>
        <v>0.011430275320544678</v>
      </c>
      <c r="E391" s="16">
        <f t="shared" si="224"/>
        <v>0.011430275320544678</v>
      </c>
      <c r="F391" s="16">
        <f t="shared" si="224"/>
        <v>0</v>
      </c>
      <c r="G391" s="16">
        <f t="shared" si="224"/>
        <v>0</v>
      </c>
      <c r="H391" s="16">
        <f t="shared" si="224"/>
        <v>0</v>
      </c>
      <c r="I391" s="16">
        <f t="shared" si="224"/>
        <v>0</v>
      </c>
      <c r="J391" s="16">
        <f t="shared" si="224"/>
        <v>0</v>
      </c>
      <c r="K391" s="16">
        <f t="shared" si="224"/>
        <v>0</v>
      </c>
      <c r="L391" s="16">
        <f t="shared" si="224"/>
        <v>0</v>
      </c>
      <c r="M391" s="16">
        <f t="shared" si="224"/>
        <v>0</v>
      </c>
    </row>
    <row r="392" spans="1:13" ht="12.75">
      <c r="A392" s="62" t="str">
        <f t="shared" si="215"/>
        <v>Off-Site Delivery Truck</v>
      </c>
      <c r="B392" s="4">
        <f>VLOOKUP($A392,'Vehicle EFs'!$A$22:$F$27,5,FALSE)</f>
        <v>4.5721101282178714E-05</v>
      </c>
      <c r="C392" s="16">
        <f aca="true" t="shared" si="225" ref="C392:M392">$B392*C222</f>
        <v>0</v>
      </c>
      <c r="D392" s="16">
        <f t="shared" si="225"/>
        <v>0.0022860550641089356</v>
      </c>
      <c r="E392" s="16">
        <f t="shared" si="225"/>
        <v>0.0022860550641089356</v>
      </c>
      <c r="F392" s="16">
        <f t="shared" si="225"/>
        <v>0.0022860550641089356</v>
      </c>
      <c r="G392" s="16">
        <f t="shared" si="225"/>
        <v>0.0022860550641089356</v>
      </c>
      <c r="H392" s="16">
        <f t="shared" si="225"/>
        <v>0.0022860550641089356</v>
      </c>
      <c r="I392" s="16">
        <f t="shared" si="225"/>
        <v>0.0022860550641089356</v>
      </c>
      <c r="J392" s="16">
        <f t="shared" si="225"/>
        <v>0.0022860550641089356</v>
      </c>
      <c r="K392" s="16">
        <f t="shared" si="225"/>
        <v>0</v>
      </c>
      <c r="L392" s="16">
        <f t="shared" si="225"/>
        <v>0</v>
      </c>
      <c r="M392" s="16">
        <f t="shared" si="225"/>
        <v>0</v>
      </c>
    </row>
    <row r="393" spans="1:13" ht="12.75">
      <c r="A393" s="62" t="str">
        <f t="shared" si="215"/>
        <v>Off-Site Construction Worker Commute</v>
      </c>
      <c r="B393" s="4">
        <f>VLOOKUP($A393,'Vehicle EFs'!$A$22:$F$27,5,FALSE)</f>
        <v>9E-06</v>
      </c>
      <c r="C393" s="16">
        <f aca="true" t="shared" si="226" ref="C393:M393">$B393*C223</f>
        <v>0.00189</v>
      </c>
      <c r="D393" s="16">
        <f t="shared" si="226"/>
        <v>0.00693</v>
      </c>
      <c r="E393" s="16">
        <f t="shared" si="226"/>
        <v>0.00945</v>
      </c>
      <c r="F393" s="16">
        <f t="shared" si="226"/>
        <v>0.01197</v>
      </c>
      <c r="G393" s="16">
        <f t="shared" si="226"/>
        <v>0.011340000000000001</v>
      </c>
      <c r="H393" s="16">
        <f t="shared" si="226"/>
        <v>0.00756</v>
      </c>
      <c r="I393" s="16">
        <f t="shared" si="226"/>
        <v>0.00756</v>
      </c>
      <c r="J393" s="16">
        <f t="shared" si="226"/>
        <v>0.00504</v>
      </c>
      <c r="K393" s="16">
        <f t="shared" si="226"/>
        <v>0.00126</v>
      </c>
      <c r="L393" s="16">
        <f t="shared" si="226"/>
        <v>0</v>
      </c>
      <c r="M393" s="16">
        <f t="shared" si="226"/>
        <v>0</v>
      </c>
    </row>
    <row r="394" spans="1:13" ht="12.75">
      <c r="A394" s="17" t="str">
        <f t="shared" si="215"/>
        <v>On-Site Motor Vehicle Total</v>
      </c>
      <c r="B394" s="17"/>
      <c r="C394" s="18">
        <f aca="true" t="shared" si="227" ref="C394:M394">C389</f>
        <v>0.000225</v>
      </c>
      <c r="D394" s="18">
        <f t="shared" si="227"/>
        <v>0.00045</v>
      </c>
      <c r="E394" s="18">
        <f t="shared" si="227"/>
        <v>0.00045</v>
      </c>
      <c r="F394" s="18">
        <f t="shared" si="227"/>
        <v>0.000675</v>
      </c>
      <c r="G394" s="18">
        <f t="shared" si="227"/>
        <v>0.000675</v>
      </c>
      <c r="H394" s="18">
        <f t="shared" si="227"/>
        <v>0.00045</v>
      </c>
      <c r="I394" s="18">
        <f t="shared" si="227"/>
        <v>0.00045</v>
      </c>
      <c r="J394" s="18">
        <f t="shared" si="227"/>
        <v>0.00045</v>
      </c>
      <c r="K394" s="18">
        <f t="shared" si="227"/>
        <v>0.000225</v>
      </c>
      <c r="L394" s="18">
        <f t="shared" si="227"/>
        <v>0</v>
      </c>
      <c r="M394" s="18">
        <f t="shared" si="227"/>
        <v>0</v>
      </c>
    </row>
    <row r="395" spans="1:13" ht="12.75">
      <c r="A395" s="17" t="str">
        <f t="shared" si="215"/>
        <v>Off-Site Motor Vehicle Total</v>
      </c>
      <c r="B395" s="17"/>
      <c r="C395" s="18">
        <f aca="true" t="shared" si="228" ref="C395:M395">SUM(C390:C393)</f>
        <v>0.004176055064108936</v>
      </c>
      <c r="D395" s="18">
        <f t="shared" si="228"/>
        <v>0.025218440512871483</v>
      </c>
      <c r="E395" s="18">
        <f t="shared" si="228"/>
        <v>0.027738440512871484</v>
      </c>
      <c r="F395" s="18">
        <f t="shared" si="228"/>
        <v>0.016542110128217873</v>
      </c>
      <c r="G395" s="18">
        <f t="shared" si="228"/>
        <v>0.015912110128217874</v>
      </c>
      <c r="H395" s="18">
        <f t="shared" si="228"/>
        <v>0.009846055064108936</v>
      </c>
      <c r="I395" s="18">
        <f t="shared" si="228"/>
        <v>0.009846055064108936</v>
      </c>
      <c r="J395" s="18">
        <f t="shared" si="228"/>
        <v>0.007326055064108936</v>
      </c>
      <c r="K395" s="18">
        <f t="shared" si="228"/>
        <v>0.00126</v>
      </c>
      <c r="L395" s="18">
        <f t="shared" si="228"/>
        <v>0</v>
      </c>
      <c r="M395" s="18">
        <f t="shared" si="228"/>
        <v>0</v>
      </c>
    </row>
    <row r="396" spans="1:13" ht="12.75">
      <c r="A396" s="17" t="str">
        <f t="shared" si="215"/>
        <v>Gas Line</v>
      </c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2.75">
      <c r="A397" s="17" t="str">
        <f t="shared" si="215"/>
        <v>Construction Equipment</v>
      </c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2.75">
      <c r="A398" s="62" t="str">
        <f t="shared" si="215"/>
        <v>Gas Line Welding rigs</v>
      </c>
      <c r="B398" s="4">
        <f>VLOOKUP(A398,'Const. Equip. EFs'!$A$5:$I$19,8,FALSE)</f>
        <v>0.00033557297655662324</v>
      </c>
      <c r="C398" s="16">
        <f aca="true" t="shared" si="229" ref="C398:C404">$B398*C226</f>
        <v>0.008053751437358958</v>
      </c>
      <c r="D398" s="16">
        <f aca="true" t="shared" si="230" ref="D398:M398">$B398*D226</f>
        <v>0.008053751437358958</v>
      </c>
      <c r="E398" s="16">
        <f t="shared" si="230"/>
        <v>0.008053751437358958</v>
      </c>
      <c r="F398" s="16">
        <f t="shared" si="230"/>
        <v>0.008053751437358958</v>
      </c>
      <c r="G398" s="16">
        <f t="shared" si="230"/>
        <v>0</v>
      </c>
      <c r="H398" s="16">
        <f t="shared" si="230"/>
        <v>0</v>
      </c>
      <c r="I398" s="16">
        <f t="shared" si="230"/>
        <v>0</v>
      </c>
      <c r="J398" s="16">
        <f t="shared" si="230"/>
        <v>0</v>
      </c>
      <c r="K398" s="16">
        <f t="shared" si="230"/>
        <v>0</v>
      </c>
      <c r="L398" s="16">
        <f t="shared" si="230"/>
        <v>0</v>
      </c>
      <c r="M398" s="16">
        <f t="shared" si="230"/>
        <v>0</v>
      </c>
    </row>
    <row r="399" spans="1:13" ht="12.75">
      <c r="A399" s="62" t="str">
        <f t="shared" si="215"/>
        <v>Gas Line Backhoe</v>
      </c>
      <c r="B399" s="4">
        <f>VLOOKUP(A399,'Const. Equip. EFs'!$A$5:$I$19,8,FALSE)</f>
        <v>0.0006067963189681883</v>
      </c>
      <c r="C399" s="16">
        <f t="shared" si="229"/>
        <v>0.0036407779138091295</v>
      </c>
      <c r="D399" s="16">
        <f aca="true" t="shared" si="231" ref="D399:M399">$B399*D227</f>
        <v>0.0036407779138091295</v>
      </c>
      <c r="E399" s="16">
        <f t="shared" si="231"/>
        <v>0.0036407779138091295</v>
      </c>
      <c r="F399" s="16">
        <f t="shared" si="231"/>
        <v>0.0036407779138091295</v>
      </c>
      <c r="G399" s="16">
        <f t="shared" si="231"/>
        <v>0</v>
      </c>
      <c r="H399" s="16">
        <f t="shared" si="231"/>
        <v>0</v>
      </c>
      <c r="I399" s="16">
        <f t="shared" si="231"/>
        <v>0</v>
      </c>
      <c r="J399" s="16">
        <f t="shared" si="231"/>
        <v>0</v>
      </c>
      <c r="K399" s="16">
        <f t="shared" si="231"/>
        <v>0</v>
      </c>
      <c r="L399" s="16">
        <f t="shared" si="231"/>
        <v>0</v>
      </c>
      <c r="M399" s="16">
        <f t="shared" si="231"/>
        <v>0</v>
      </c>
    </row>
    <row r="400" spans="1:13" ht="12.75">
      <c r="A400" s="62" t="str">
        <f t="shared" si="215"/>
        <v>Gas Line Compressor</v>
      </c>
      <c r="B400" s="4">
        <f>VLOOKUP(A400,'Const. Equip. EFs'!$A$5:$I$19,8,FALSE)</f>
        <v>0.00028791181050463743</v>
      </c>
      <c r="C400" s="16">
        <f t="shared" si="229"/>
        <v>0.0017274708630278246</v>
      </c>
      <c r="D400" s="16">
        <f aca="true" t="shared" si="232" ref="D400:M400">$B400*D228</f>
        <v>0.0017274708630278246</v>
      </c>
      <c r="E400" s="16">
        <f t="shared" si="232"/>
        <v>0.0017274708630278246</v>
      </c>
      <c r="F400" s="16">
        <f t="shared" si="232"/>
        <v>0.0017274708630278246</v>
      </c>
      <c r="G400" s="16">
        <f t="shared" si="232"/>
        <v>0</v>
      </c>
      <c r="H400" s="16">
        <f t="shared" si="232"/>
        <v>0</v>
      </c>
      <c r="I400" s="16">
        <f t="shared" si="232"/>
        <v>0</v>
      </c>
      <c r="J400" s="16">
        <f t="shared" si="232"/>
        <v>0</v>
      </c>
      <c r="K400" s="16">
        <f t="shared" si="232"/>
        <v>0</v>
      </c>
      <c r="L400" s="16">
        <f t="shared" si="232"/>
        <v>0</v>
      </c>
      <c r="M400" s="16">
        <f t="shared" si="232"/>
        <v>0</v>
      </c>
    </row>
    <row r="401" spans="1:13" ht="12.75">
      <c r="A401" s="62" t="str">
        <f t="shared" si="215"/>
        <v>Gas Line Front-end loader</v>
      </c>
      <c r="B401" s="4">
        <f>VLOOKUP(A401,'Const. Equip. EFs'!$A$5:$I$19,8,FALSE)</f>
        <v>0.0011962282019979415</v>
      </c>
      <c r="C401" s="16">
        <f t="shared" si="229"/>
        <v>0.011962282019979415</v>
      </c>
      <c r="D401" s="16">
        <f aca="true" t="shared" si="233" ref="D401:M401">$B401*D229</f>
        <v>0.011962282019979415</v>
      </c>
      <c r="E401" s="16">
        <f t="shared" si="233"/>
        <v>0.011962282019979415</v>
      </c>
      <c r="F401" s="16">
        <f t="shared" si="233"/>
        <v>0.011962282019979415</v>
      </c>
      <c r="G401" s="16">
        <f t="shared" si="233"/>
        <v>0</v>
      </c>
      <c r="H401" s="16">
        <f t="shared" si="233"/>
        <v>0</v>
      </c>
      <c r="I401" s="16">
        <f t="shared" si="233"/>
        <v>0</v>
      </c>
      <c r="J401" s="16">
        <f t="shared" si="233"/>
        <v>0</v>
      </c>
      <c r="K401" s="16">
        <f t="shared" si="233"/>
        <v>0</v>
      </c>
      <c r="L401" s="16">
        <f t="shared" si="233"/>
        <v>0</v>
      </c>
      <c r="M401" s="16">
        <f t="shared" si="233"/>
        <v>0</v>
      </c>
    </row>
    <row r="402" spans="1:13" ht="12.75">
      <c r="A402" s="62" t="str">
        <f t="shared" si="215"/>
        <v>Gas Line Compactor</v>
      </c>
      <c r="B402" s="4">
        <f>VLOOKUP(A402,'Const. Equip. EFs'!$A$5:$I$19,8,FALSE)</f>
        <v>0.0007697333730389982</v>
      </c>
      <c r="C402" s="16">
        <f t="shared" si="229"/>
        <v>0.003078933492155993</v>
      </c>
      <c r="D402" s="16">
        <f aca="true" t="shared" si="234" ref="D402:M402">$B402*D230</f>
        <v>0.003078933492155993</v>
      </c>
      <c r="E402" s="16">
        <f t="shared" si="234"/>
        <v>0.003078933492155993</v>
      </c>
      <c r="F402" s="16">
        <f t="shared" si="234"/>
        <v>0.003078933492155993</v>
      </c>
      <c r="G402" s="16">
        <f t="shared" si="234"/>
        <v>0</v>
      </c>
      <c r="H402" s="16">
        <f t="shared" si="234"/>
        <v>0</v>
      </c>
      <c r="I402" s="16">
        <f t="shared" si="234"/>
        <v>0</v>
      </c>
      <c r="J402" s="16">
        <f t="shared" si="234"/>
        <v>0</v>
      </c>
      <c r="K402" s="16">
        <f t="shared" si="234"/>
        <v>0</v>
      </c>
      <c r="L402" s="16">
        <f t="shared" si="234"/>
        <v>0</v>
      </c>
      <c r="M402" s="16">
        <f t="shared" si="234"/>
        <v>0</v>
      </c>
    </row>
    <row r="403" spans="1:13" ht="12.75">
      <c r="A403" s="62" t="str">
        <f t="shared" si="215"/>
        <v>Gas Line Excavator</v>
      </c>
      <c r="B403" s="4">
        <f>VLOOKUP(A403,'Const. Equip. EFs'!$A$5:$I$19,8,FALSE)</f>
        <v>0.0008636360991281652</v>
      </c>
      <c r="C403" s="16">
        <f t="shared" si="229"/>
        <v>0.0051818165947689915</v>
      </c>
      <c r="D403" s="16">
        <f aca="true" t="shared" si="235" ref="D403:M403">$B403*D231</f>
        <v>0.0051818165947689915</v>
      </c>
      <c r="E403" s="16">
        <f t="shared" si="235"/>
        <v>0.0051818165947689915</v>
      </c>
      <c r="F403" s="16">
        <f t="shared" si="235"/>
        <v>0.0051818165947689915</v>
      </c>
      <c r="G403" s="16">
        <f t="shared" si="235"/>
        <v>0</v>
      </c>
      <c r="H403" s="16">
        <f t="shared" si="235"/>
        <v>0</v>
      </c>
      <c r="I403" s="16">
        <f t="shared" si="235"/>
        <v>0</v>
      </c>
      <c r="J403" s="16">
        <f t="shared" si="235"/>
        <v>0</v>
      </c>
      <c r="K403" s="16">
        <f t="shared" si="235"/>
        <v>0</v>
      </c>
      <c r="L403" s="16">
        <f t="shared" si="235"/>
        <v>0</v>
      </c>
      <c r="M403" s="16">
        <f t="shared" si="235"/>
        <v>0</v>
      </c>
    </row>
    <row r="404" spans="1:13" ht="12.75">
      <c r="A404" s="62" t="str">
        <f t="shared" si="215"/>
        <v>Gas Line 15 ton crane</v>
      </c>
      <c r="B404" s="4">
        <f>VLOOKUP(A404,'Const. Equip. EFs'!$A$5:$I$19,8,FALSE)</f>
        <v>0.0012619799662471345</v>
      </c>
      <c r="C404" s="16">
        <f t="shared" si="229"/>
        <v>0.010095839729977076</v>
      </c>
      <c r="D404" s="16">
        <f aca="true" t="shared" si="236" ref="D404:M404">$B404*D232</f>
        <v>0.010095839729977076</v>
      </c>
      <c r="E404" s="16">
        <f t="shared" si="236"/>
        <v>0.010095839729977076</v>
      </c>
      <c r="F404" s="16">
        <f t="shared" si="236"/>
        <v>0.010095839729977076</v>
      </c>
      <c r="G404" s="16">
        <f t="shared" si="236"/>
        <v>0</v>
      </c>
      <c r="H404" s="16">
        <f t="shared" si="236"/>
        <v>0</v>
      </c>
      <c r="I404" s="16">
        <f t="shared" si="236"/>
        <v>0</v>
      </c>
      <c r="J404" s="16">
        <f t="shared" si="236"/>
        <v>0</v>
      </c>
      <c r="K404" s="16">
        <f t="shared" si="236"/>
        <v>0</v>
      </c>
      <c r="L404" s="16">
        <f t="shared" si="236"/>
        <v>0</v>
      </c>
      <c r="M404" s="16">
        <f t="shared" si="236"/>
        <v>0</v>
      </c>
    </row>
    <row r="405" spans="1:13" ht="12.75">
      <c r="A405" s="62" t="str">
        <f t="shared" si="215"/>
        <v>Gas Line Roller</v>
      </c>
      <c r="B405" s="4">
        <f>VLOOKUP(A405,'Const. Equip. EFs'!$A$5:$I$19,8,FALSE)</f>
        <v>0.0007697333730389982</v>
      </c>
      <c r="C405" s="16">
        <f aca="true" t="shared" si="237" ref="C405:M405">$B405*C233</f>
        <v>0.003078933492155993</v>
      </c>
      <c r="D405" s="16">
        <f t="shared" si="237"/>
        <v>0.003078933492155993</v>
      </c>
      <c r="E405" s="16">
        <f t="shared" si="237"/>
        <v>0.003078933492155993</v>
      </c>
      <c r="F405" s="16">
        <f t="shared" si="237"/>
        <v>0.003078933492155993</v>
      </c>
      <c r="G405" s="16">
        <f t="shared" si="237"/>
        <v>0</v>
      </c>
      <c r="H405" s="16">
        <f t="shared" si="237"/>
        <v>0</v>
      </c>
      <c r="I405" s="16">
        <f t="shared" si="237"/>
        <v>0</v>
      </c>
      <c r="J405" s="16">
        <f t="shared" si="237"/>
        <v>0</v>
      </c>
      <c r="K405" s="16">
        <f t="shared" si="237"/>
        <v>0</v>
      </c>
      <c r="L405" s="16">
        <f t="shared" si="237"/>
        <v>0</v>
      </c>
      <c r="M405" s="16">
        <f t="shared" si="237"/>
        <v>0</v>
      </c>
    </row>
    <row r="406" spans="1:13" ht="12.75">
      <c r="A406" s="62" t="str">
        <f t="shared" si="215"/>
        <v>Gas Line Reed Screen</v>
      </c>
      <c r="B406" s="4">
        <f>VLOOKUP(A406,'Const. Equip. EFs'!$A$5:$I$19,8,FALSE)</f>
        <v>0.0009485142521554979</v>
      </c>
      <c r="C406" s="16">
        <f aca="true" t="shared" si="238" ref="C406:M406">$B406*C234</f>
        <v>0.005691085512932987</v>
      </c>
      <c r="D406" s="16">
        <f t="shared" si="238"/>
        <v>0.005691085512932987</v>
      </c>
      <c r="E406" s="16">
        <f t="shared" si="238"/>
        <v>0.005691085512932987</v>
      </c>
      <c r="F406" s="16">
        <f t="shared" si="238"/>
        <v>0.005691085512932987</v>
      </c>
      <c r="G406" s="16">
        <f t="shared" si="238"/>
        <v>0</v>
      </c>
      <c r="H406" s="16">
        <f t="shared" si="238"/>
        <v>0</v>
      </c>
      <c r="I406" s="16">
        <f t="shared" si="238"/>
        <v>0</v>
      </c>
      <c r="J406" s="16">
        <f t="shared" si="238"/>
        <v>0</v>
      </c>
      <c r="K406" s="16">
        <f t="shared" si="238"/>
        <v>0</v>
      </c>
      <c r="L406" s="16">
        <f t="shared" si="238"/>
        <v>0</v>
      </c>
      <c r="M406" s="16">
        <f t="shared" si="238"/>
        <v>0</v>
      </c>
    </row>
    <row r="407" spans="1:13" ht="12.75">
      <c r="A407" s="17" t="str">
        <f t="shared" si="215"/>
        <v>Construction Equipment Total</v>
      </c>
      <c r="B407" s="17"/>
      <c r="C407" s="18">
        <f aca="true" t="shared" si="239" ref="C407:M407">SUM(C398:C406)</f>
        <v>0.05251089105616637</v>
      </c>
      <c r="D407" s="18">
        <f t="shared" si="239"/>
        <v>0.05251089105616637</v>
      </c>
      <c r="E407" s="18">
        <f t="shared" si="239"/>
        <v>0.05251089105616637</v>
      </c>
      <c r="F407" s="18">
        <f t="shared" si="239"/>
        <v>0.05251089105616637</v>
      </c>
      <c r="G407" s="18">
        <f t="shared" si="239"/>
        <v>0</v>
      </c>
      <c r="H407" s="18">
        <f t="shared" si="239"/>
        <v>0</v>
      </c>
      <c r="I407" s="18">
        <f t="shared" si="239"/>
        <v>0</v>
      </c>
      <c r="J407" s="18">
        <f t="shared" si="239"/>
        <v>0</v>
      </c>
      <c r="K407" s="18">
        <f t="shared" si="239"/>
        <v>0</v>
      </c>
      <c r="L407" s="18">
        <f t="shared" si="239"/>
        <v>0</v>
      </c>
      <c r="M407" s="18">
        <f t="shared" si="239"/>
        <v>0</v>
      </c>
    </row>
    <row r="408" spans="1:13" ht="12.75">
      <c r="A408" s="17" t="str">
        <f t="shared" si="215"/>
        <v>Motor Vehicles</v>
      </c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2.75">
      <c r="A409" s="62" t="str">
        <f t="shared" si="215"/>
        <v>On-Site Pickup Truck</v>
      </c>
      <c r="B409" s="4">
        <f>VLOOKUP($A409,'Vehicle EFs'!$A$22:$F$27,5,FALSE)</f>
        <v>9E-06</v>
      </c>
      <c r="C409" s="16">
        <f>$B409*C236</f>
        <v>0.00054</v>
      </c>
      <c r="D409" s="16">
        <f aca="true" t="shared" si="240" ref="D409:M409">$B409*D236</f>
        <v>0.00054</v>
      </c>
      <c r="E409" s="16">
        <f t="shared" si="240"/>
        <v>0.00054</v>
      </c>
      <c r="F409" s="16">
        <f t="shared" si="240"/>
        <v>0.00054</v>
      </c>
      <c r="G409" s="16">
        <f t="shared" si="240"/>
        <v>0</v>
      </c>
      <c r="H409" s="16">
        <f t="shared" si="240"/>
        <v>0</v>
      </c>
      <c r="I409" s="16">
        <f t="shared" si="240"/>
        <v>0</v>
      </c>
      <c r="J409" s="16">
        <f t="shared" si="240"/>
        <v>0</v>
      </c>
      <c r="K409" s="16">
        <f t="shared" si="240"/>
        <v>0</v>
      </c>
      <c r="L409" s="16">
        <f t="shared" si="240"/>
        <v>0</v>
      </c>
      <c r="M409" s="16">
        <f t="shared" si="240"/>
        <v>0</v>
      </c>
    </row>
    <row r="410" spans="1:13" ht="12.75">
      <c r="A410" s="62" t="str">
        <f t="shared" si="215"/>
        <v>Off-Site Dump Truck</v>
      </c>
      <c r="B410" s="4">
        <f>VLOOKUP($A410,'Vehicle EFs'!$A$22:$F$27,5,FALSE)</f>
        <v>4.5721101282178714E-05</v>
      </c>
      <c r="C410" s="16">
        <f>$B410*C237</f>
        <v>0.004114899115396084</v>
      </c>
      <c r="D410" s="16">
        <f aca="true" t="shared" si="241" ref="D410:M410">$B410*D237</f>
        <v>0.004114899115396084</v>
      </c>
      <c r="E410" s="16">
        <f t="shared" si="241"/>
        <v>0.004114899115396084</v>
      </c>
      <c r="F410" s="16">
        <f t="shared" si="241"/>
        <v>0.004114899115396084</v>
      </c>
      <c r="G410" s="16">
        <f t="shared" si="241"/>
        <v>0</v>
      </c>
      <c r="H410" s="16">
        <f t="shared" si="241"/>
        <v>0</v>
      </c>
      <c r="I410" s="16">
        <f t="shared" si="241"/>
        <v>0</v>
      </c>
      <c r="J410" s="16">
        <f t="shared" si="241"/>
        <v>0</v>
      </c>
      <c r="K410" s="16">
        <f t="shared" si="241"/>
        <v>0</v>
      </c>
      <c r="L410" s="16">
        <f t="shared" si="241"/>
        <v>0</v>
      </c>
      <c r="M410" s="16">
        <f t="shared" si="241"/>
        <v>0</v>
      </c>
    </row>
    <row r="411" spans="1:13" ht="12.75">
      <c r="A411" s="62" t="str">
        <f t="shared" si="215"/>
        <v>On-Site Water Truck</v>
      </c>
      <c r="B411" s="4">
        <f>VLOOKUP($A411,'Vehicle EFs'!$A$22:$F$27,5,FALSE)</f>
        <v>4.5721101282178714E-05</v>
      </c>
      <c r="C411" s="16">
        <f>$B411*C238</f>
        <v>0.0009144220256435743</v>
      </c>
      <c r="D411" s="16">
        <f aca="true" t="shared" si="242" ref="D411:M411">$B411*D238</f>
        <v>0.0009144220256435743</v>
      </c>
      <c r="E411" s="16">
        <f t="shared" si="242"/>
        <v>0.0009144220256435743</v>
      </c>
      <c r="F411" s="16">
        <f t="shared" si="242"/>
        <v>0.0009144220256435743</v>
      </c>
      <c r="G411" s="16">
        <f t="shared" si="242"/>
        <v>0</v>
      </c>
      <c r="H411" s="16">
        <f t="shared" si="242"/>
        <v>0</v>
      </c>
      <c r="I411" s="16">
        <f t="shared" si="242"/>
        <v>0</v>
      </c>
      <c r="J411" s="16">
        <f t="shared" si="242"/>
        <v>0</v>
      </c>
      <c r="K411" s="16">
        <f t="shared" si="242"/>
        <v>0</v>
      </c>
      <c r="L411" s="16">
        <f t="shared" si="242"/>
        <v>0</v>
      </c>
      <c r="M411" s="16">
        <f t="shared" si="242"/>
        <v>0</v>
      </c>
    </row>
    <row r="412" spans="1:13" ht="12.75">
      <c r="A412" s="62" t="str">
        <f t="shared" si="215"/>
        <v>Off-Site Concrete Truck</v>
      </c>
      <c r="B412" s="4">
        <f>VLOOKUP($A412,'Vehicle EFs'!$A$22:$F$27,5,FALSE)</f>
        <v>4.5721101282178714E-05</v>
      </c>
      <c r="C412" s="16">
        <f>$B412*C239</f>
        <v>0.0036576881025742972</v>
      </c>
      <c r="D412" s="16">
        <f aca="true" t="shared" si="243" ref="D412:M412">$B412*D239</f>
        <v>0.0036576881025742972</v>
      </c>
      <c r="E412" s="16">
        <f t="shared" si="243"/>
        <v>0.0036576881025742972</v>
      </c>
      <c r="F412" s="16">
        <f t="shared" si="243"/>
        <v>0.0036576881025742972</v>
      </c>
      <c r="G412" s="16">
        <f t="shared" si="243"/>
        <v>0</v>
      </c>
      <c r="H412" s="16">
        <f t="shared" si="243"/>
        <v>0</v>
      </c>
      <c r="I412" s="16">
        <f t="shared" si="243"/>
        <v>0</v>
      </c>
      <c r="J412" s="16">
        <f t="shared" si="243"/>
        <v>0</v>
      </c>
      <c r="K412" s="16">
        <f t="shared" si="243"/>
        <v>0</v>
      </c>
      <c r="L412" s="16">
        <f t="shared" si="243"/>
        <v>0</v>
      </c>
      <c r="M412" s="16">
        <f t="shared" si="243"/>
        <v>0</v>
      </c>
    </row>
    <row r="413" spans="1:13" ht="12.75">
      <c r="A413" s="62" t="str">
        <f t="shared" si="215"/>
        <v>Off-Site Delivery Truck</v>
      </c>
      <c r="B413" s="4">
        <f>VLOOKUP($A413,'Vehicle EFs'!$A$22:$F$27,5,FALSE)</f>
        <v>4.5721101282178714E-05</v>
      </c>
      <c r="C413" s="16">
        <f aca="true" t="shared" si="244" ref="C413:M413">$B413*C240</f>
        <v>0.0036576881025742972</v>
      </c>
      <c r="D413" s="16">
        <f t="shared" si="244"/>
        <v>0.0036576881025742972</v>
      </c>
      <c r="E413" s="16">
        <f t="shared" si="244"/>
        <v>0.0036576881025742972</v>
      </c>
      <c r="F413" s="16">
        <f t="shared" si="244"/>
        <v>0.0036576881025742972</v>
      </c>
      <c r="G413" s="16">
        <f t="shared" si="244"/>
        <v>0</v>
      </c>
      <c r="H413" s="16">
        <f t="shared" si="244"/>
        <v>0</v>
      </c>
      <c r="I413" s="16">
        <f t="shared" si="244"/>
        <v>0</v>
      </c>
      <c r="J413" s="16">
        <f t="shared" si="244"/>
        <v>0</v>
      </c>
      <c r="K413" s="16">
        <f t="shared" si="244"/>
        <v>0</v>
      </c>
      <c r="L413" s="16">
        <f t="shared" si="244"/>
        <v>0</v>
      </c>
      <c r="M413" s="16">
        <f t="shared" si="244"/>
        <v>0</v>
      </c>
    </row>
    <row r="414" spans="1:13" ht="12.75">
      <c r="A414" s="62" t="str">
        <f t="shared" si="215"/>
        <v>Off-Site Construction Worker Commute</v>
      </c>
      <c r="B414" s="4">
        <f>VLOOKUP($A414,'Vehicle EFs'!$A$22:$F$27,5,FALSE)</f>
        <v>9E-06</v>
      </c>
      <c r="C414" s="16">
        <f aca="true" t="shared" si="245" ref="C414:M414">$B414*C241</f>
        <v>0.0144</v>
      </c>
      <c r="D414" s="16">
        <f t="shared" si="245"/>
        <v>0.0144</v>
      </c>
      <c r="E414" s="16">
        <f t="shared" si="245"/>
        <v>0.0144</v>
      </c>
      <c r="F414" s="16">
        <f t="shared" si="245"/>
        <v>0.0144</v>
      </c>
      <c r="G414" s="16">
        <f t="shared" si="245"/>
        <v>0</v>
      </c>
      <c r="H414" s="16">
        <f t="shared" si="245"/>
        <v>0</v>
      </c>
      <c r="I414" s="16">
        <f t="shared" si="245"/>
        <v>0</v>
      </c>
      <c r="J414" s="16">
        <f t="shared" si="245"/>
        <v>0</v>
      </c>
      <c r="K414" s="16">
        <f t="shared" si="245"/>
        <v>0</v>
      </c>
      <c r="L414" s="16">
        <f t="shared" si="245"/>
        <v>0</v>
      </c>
      <c r="M414" s="16">
        <f t="shared" si="245"/>
        <v>0</v>
      </c>
    </row>
    <row r="415" spans="1:13" ht="12.75">
      <c r="A415" s="17" t="str">
        <f t="shared" si="215"/>
        <v>On-Site Motor Vehicle Total</v>
      </c>
      <c r="B415" s="17"/>
      <c r="C415" s="18">
        <f>C409+C411</f>
        <v>0.0014544220256435744</v>
      </c>
      <c r="D415" s="18">
        <f aca="true" t="shared" si="246" ref="D415:M415">D409+D411</f>
        <v>0.0014544220256435744</v>
      </c>
      <c r="E415" s="18">
        <f t="shared" si="246"/>
        <v>0.0014544220256435744</v>
      </c>
      <c r="F415" s="18">
        <f t="shared" si="246"/>
        <v>0.0014544220256435744</v>
      </c>
      <c r="G415" s="18">
        <f t="shared" si="246"/>
        <v>0</v>
      </c>
      <c r="H415" s="18">
        <f t="shared" si="246"/>
        <v>0</v>
      </c>
      <c r="I415" s="18">
        <f t="shared" si="246"/>
        <v>0</v>
      </c>
      <c r="J415" s="18">
        <f t="shared" si="246"/>
        <v>0</v>
      </c>
      <c r="K415" s="18">
        <f t="shared" si="246"/>
        <v>0</v>
      </c>
      <c r="L415" s="18">
        <f t="shared" si="246"/>
        <v>0</v>
      </c>
      <c r="M415" s="18">
        <f t="shared" si="246"/>
        <v>0</v>
      </c>
    </row>
    <row r="416" spans="1:13" ht="12.75">
      <c r="A416" s="17" t="str">
        <f t="shared" si="215"/>
        <v>Off-Site Motor Vehicle Total</v>
      </c>
      <c r="B416" s="17"/>
      <c r="C416" s="18">
        <f>C410+SUM(C412:C414)</f>
        <v>0.025830275320544677</v>
      </c>
      <c r="D416" s="18">
        <f aca="true" t="shared" si="247" ref="D416:M416">D410+SUM(D412:D414)</f>
        <v>0.025830275320544677</v>
      </c>
      <c r="E416" s="18">
        <f t="shared" si="247"/>
        <v>0.025830275320544677</v>
      </c>
      <c r="F416" s="18">
        <f t="shared" si="247"/>
        <v>0.025830275320544677</v>
      </c>
      <c r="G416" s="18">
        <f t="shared" si="247"/>
        <v>0</v>
      </c>
      <c r="H416" s="18">
        <f t="shared" si="247"/>
        <v>0</v>
      </c>
      <c r="I416" s="18">
        <f t="shared" si="247"/>
        <v>0</v>
      </c>
      <c r="J416" s="18">
        <f t="shared" si="247"/>
        <v>0</v>
      </c>
      <c r="K416" s="18">
        <f t="shared" si="247"/>
        <v>0</v>
      </c>
      <c r="L416" s="18">
        <f t="shared" si="247"/>
        <v>0</v>
      </c>
      <c r="M416" s="18">
        <f t="shared" si="247"/>
        <v>0</v>
      </c>
    </row>
    <row r="417" ht="12.75">
      <c r="A417" s="19" t="s">
        <v>43</v>
      </c>
    </row>
    <row r="418" ht="12.75">
      <c r="A418" s="19"/>
    </row>
    <row r="419" spans="1:13" ht="12.75">
      <c r="A419" s="133" t="s">
        <v>220</v>
      </c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</row>
    <row r="420" spans="1:13" ht="12.75">
      <c r="A420" s="134" t="str">
        <f>$B$1&amp;" Equipment and Motor Vehicle Exhaust PM10 Emissions"</f>
        <v>Mira Loma Construction Equipment and Motor Vehicle Exhaust PM10 Emissions</v>
      </c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2" t="str">
        <f>A377</f>
        <v>Equipment/Vehicle Type</v>
      </c>
      <c r="B421" s="142" t="s">
        <v>154</v>
      </c>
      <c r="C421" s="132" t="s">
        <v>166</v>
      </c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</row>
    <row r="422" spans="1:13" ht="12.75">
      <c r="A422" s="141"/>
      <c r="B422" s="138"/>
      <c r="C422" s="63">
        <f>C378</f>
        <v>39139</v>
      </c>
      <c r="D422" s="63">
        <f aca="true" t="shared" si="248" ref="D422:M422">D378</f>
        <v>39153</v>
      </c>
      <c r="E422" s="63">
        <f t="shared" si="248"/>
        <v>39167</v>
      </c>
      <c r="F422" s="63">
        <f t="shared" si="248"/>
        <v>39181</v>
      </c>
      <c r="G422" s="63">
        <f t="shared" si="248"/>
        <v>39195</v>
      </c>
      <c r="H422" s="63">
        <f t="shared" si="248"/>
        <v>39209</v>
      </c>
      <c r="I422" s="63">
        <f t="shared" si="248"/>
        <v>39223</v>
      </c>
      <c r="J422" s="63">
        <f t="shared" si="248"/>
        <v>39237</v>
      </c>
      <c r="K422" s="63">
        <f t="shared" si="248"/>
        <v>39251</v>
      </c>
      <c r="L422" s="63">
        <f t="shared" si="248"/>
        <v>39265</v>
      </c>
      <c r="M422" s="63">
        <f t="shared" si="248"/>
        <v>39279</v>
      </c>
    </row>
    <row r="423" spans="1:13" ht="12.75">
      <c r="A423" s="17" t="str">
        <f>A379</f>
        <v>Power Plant</v>
      </c>
      <c r="B423" s="92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2.75">
      <c r="A424" s="17" t="str">
        <f>A380</f>
        <v>Construction Equipment</v>
      </c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62" t="str">
        <f>A381</f>
        <v>Welding rigs</v>
      </c>
      <c r="B425" s="4">
        <f>VLOOKUP(A425,'Const. Equip. EFs'!$A$5:$I$19,9,FALSE)</f>
        <v>0.03168163202330049</v>
      </c>
      <c r="C425" s="16">
        <f>$B425*C212</f>
        <v>0.38017958427960585</v>
      </c>
      <c r="D425" s="16">
        <f aca="true" t="shared" si="249" ref="D425:M425">$B425*D212</f>
        <v>0.38017958427960585</v>
      </c>
      <c r="E425" s="16">
        <f t="shared" si="249"/>
        <v>0.38017958427960585</v>
      </c>
      <c r="F425" s="16">
        <f t="shared" si="249"/>
        <v>0.38017958427960585</v>
      </c>
      <c r="G425" s="16">
        <f t="shared" si="249"/>
        <v>0.38017958427960585</v>
      </c>
      <c r="H425" s="16">
        <f t="shared" si="249"/>
        <v>0.38017958427960585</v>
      </c>
      <c r="I425" s="16">
        <f t="shared" si="249"/>
        <v>0.19008979213980293</v>
      </c>
      <c r="J425" s="16">
        <f t="shared" si="249"/>
        <v>0.19008979213980293</v>
      </c>
      <c r="K425" s="16">
        <f t="shared" si="249"/>
        <v>0</v>
      </c>
      <c r="L425" s="16">
        <f t="shared" si="249"/>
        <v>0</v>
      </c>
      <c r="M425" s="16">
        <f t="shared" si="249"/>
        <v>0</v>
      </c>
    </row>
    <row r="426" spans="1:13" ht="12.75">
      <c r="A426" s="62" t="str">
        <f aca="true" t="shared" si="250" ref="A426:A460">A382</f>
        <v>Backhoe</v>
      </c>
      <c r="B426" s="4">
        <f>VLOOKUP(A426,'Const. Equip. EFs'!$A$5:$I$19,9,FALSE)</f>
        <v>0.06347939984437417</v>
      </c>
      <c r="C426" s="16">
        <f>$B426*C213</f>
        <v>0.38087639906624504</v>
      </c>
      <c r="D426" s="16">
        <f aca="true" t="shared" si="251" ref="D426:M426">$B426*D213</f>
        <v>0.7617527981324901</v>
      </c>
      <c r="E426" s="16">
        <f t="shared" si="251"/>
        <v>0.7617527981324901</v>
      </c>
      <c r="F426" s="16">
        <f t="shared" si="251"/>
        <v>0.38087639906624504</v>
      </c>
      <c r="G426" s="16">
        <f t="shared" si="251"/>
        <v>0.38087639906624504</v>
      </c>
      <c r="H426" s="16">
        <f t="shared" si="251"/>
        <v>0</v>
      </c>
      <c r="I426" s="16">
        <f t="shared" si="251"/>
        <v>0</v>
      </c>
      <c r="J426" s="16">
        <f t="shared" si="251"/>
        <v>0</v>
      </c>
      <c r="K426" s="16">
        <f t="shared" si="251"/>
        <v>0</v>
      </c>
      <c r="L426" s="16">
        <f t="shared" si="251"/>
        <v>0</v>
      </c>
      <c r="M426" s="16">
        <f t="shared" si="251"/>
        <v>0</v>
      </c>
    </row>
    <row r="427" spans="1:13" ht="12.75">
      <c r="A427" s="62" t="str">
        <f t="shared" si="250"/>
        <v>Compressor</v>
      </c>
      <c r="B427" s="4">
        <f>VLOOKUP(A427,'Const. Equip. EFs'!$A$5:$I$19,9,FALSE)</f>
        <v>0.028982944405649226</v>
      </c>
      <c r="C427" s="16">
        <f>$B427*C214</f>
        <v>0.17389766643389537</v>
      </c>
      <c r="D427" s="16">
        <f aca="true" t="shared" si="252" ref="D427:M427">$B427*D214</f>
        <v>0.34779533286779074</v>
      </c>
      <c r="E427" s="16">
        <f t="shared" si="252"/>
        <v>0.6955906657355815</v>
      </c>
      <c r="F427" s="16">
        <f t="shared" si="252"/>
        <v>0.6955906657355815</v>
      </c>
      <c r="G427" s="16">
        <f t="shared" si="252"/>
        <v>0.6955906657355815</v>
      </c>
      <c r="H427" s="16">
        <f t="shared" si="252"/>
        <v>0.5216929993016861</v>
      </c>
      <c r="I427" s="16">
        <f t="shared" si="252"/>
        <v>0.34779533286779074</v>
      </c>
      <c r="J427" s="16">
        <f t="shared" si="252"/>
        <v>0.34779533286779074</v>
      </c>
      <c r="K427" s="16">
        <f t="shared" si="252"/>
        <v>0</v>
      </c>
      <c r="L427" s="16">
        <f t="shared" si="252"/>
        <v>0</v>
      </c>
      <c r="M427" s="16">
        <f t="shared" si="252"/>
        <v>0</v>
      </c>
    </row>
    <row r="428" spans="1:13" ht="12.75">
      <c r="A428" s="62" t="str">
        <f t="shared" si="250"/>
        <v>Front-end  loader</v>
      </c>
      <c r="B428" s="4">
        <f>VLOOKUP(A428,'Const. Equip. EFs'!$A$5:$I$19,9,FALSE)</f>
        <v>0.07688365904239662</v>
      </c>
      <c r="C428" s="16">
        <f>$B428*C215</f>
        <v>0</v>
      </c>
      <c r="D428" s="16">
        <f aca="true" t="shared" si="253" ref="D428:M428">$B428*D215</f>
        <v>0.4613019542543797</v>
      </c>
      <c r="E428" s="16">
        <f t="shared" si="253"/>
        <v>0.4613019542543797</v>
      </c>
      <c r="F428" s="16">
        <f t="shared" si="253"/>
        <v>0.4613019542543797</v>
      </c>
      <c r="G428" s="16">
        <f t="shared" si="253"/>
        <v>0.4613019542543797</v>
      </c>
      <c r="H428" s="16">
        <f t="shared" si="253"/>
        <v>0</v>
      </c>
      <c r="I428" s="16">
        <f t="shared" si="253"/>
        <v>0</v>
      </c>
      <c r="J428" s="16">
        <f t="shared" si="253"/>
        <v>0</v>
      </c>
      <c r="K428" s="16">
        <f t="shared" si="253"/>
        <v>0</v>
      </c>
      <c r="L428" s="16">
        <f t="shared" si="253"/>
        <v>0</v>
      </c>
      <c r="M428" s="16">
        <f t="shared" si="253"/>
        <v>0</v>
      </c>
    </row>
    <row r="429" spans="1:13" ht="12.75">
      <c r="A429" s="62" t="str">
        <f t="shared" si="250"/>
        <v>15 ton crane</v>
      </c>
      <c r="B429" s="4">
        <f>VLOOKUP(A429,'Const. Equip. EFs'!$A$5:$I$19,9,FALSE)</f>
        <v>0.061474693931191406</v>
      </c>
      <c r="C429" s="16">
        <f aca="true" t="shared" si="254" ref="C429:M429">$B429*C216</f>
        <v>0</v>
      </c>
      <c r="D429" s="16">
        <f t="shared" si="254"/>
        <v>0.36884816358714845</v>
      </c>
      <c r="E429" s="16">
        <f t="shared" si="254"/>
        <v>0.36884816358714845</v>
      </c>
      <c r="F429" s="16">
        <f t="shared" si="254"/>
        <v>1.1065444907614452</v>
      </c>
      <c r="G429" s="16">
        <f t="shared" si="254"/>
        <v>0.7376963271742969</v>
      </c>
      <c r="H429" s="16">
        <f t="shared" si="254"/>
        <v>0.7376963271742969</v>
      </c>
      <c r="I429" s="16">
        <f t="shared" si="254"/>
        <v>0.7376963271742969</v>
      </c>
      <c r="J429" s="16">
        <f t="shared" si="254"/>
        <v>0.7376963271742969</v>
      </c>
      <c r="K429" s="16">
        <f t="shared" si="254"/>
        <v>0</v>
      </c>
      <c r="L429" s="16">
        <f t="shared" si="254"/>
        <v>0</v>
      </c>
      <c r="M429" s="16">
        <f t="shared" si="254"/>
        <v>0</v>
      </c>
    </row>
    <row r="430" spans="1:13" ht="12.75">
      <c r="A430" s="62" t="str">
        <f t="shared" si="250"/>
        <v>75 ton crane</v>
      </c>
      <c r="B430" s="4">
        <f>VLOOKUP(A430,'Const. Equip. EFs'!$A$5:$I$19,9,FALSE)</f>
        <v>0.0570941375614551</v>
      </c>
      <c r="C430" s="16">
        <f aca="true" t="shared" si="255" ref="C430:M430">$B430*C217</f>
        <v>0</v>
      </c>
      <c r="D430" s="16">
        <f t="shared" si="255"/>
        <v>0</v>
      </c>
      <c r="E430" s="16">
        <f t="shared" si="255"/>
        <v>0</v>
      </c>
      <c r="F430" s="16">
        <f t="shared" si="255"/>
        <v>0.3425648253687306</v>
      </c>
      <c r="G430" s="16">
        <f t="shared" si="255"/>
        <v>0</v>
      </c>
      <c r="H430" s="16">
        <f t="shared" si="255"/>
        <v>0</v>
      </c>
      <c r="I430" s="16">
        <f t="shared" si="255"/>
        <v>0</v>
      </c>
      <c r="J430" s="16">
        <f t="shared" si="255"/>
        <v>0</v>
      </c>
      <c r="K430" s="16">
        <f t="shared" si="255"/>
        <v>0</v>
      </c>
      <c r="L430" s="16">
        <f t="shared" si="255"/>
        <v>0</v>
      </c>
      <c r="M430" s="16">
        <f t="shared" si="255"/>
        <v>0</v>
      </c>
    </row>
    <row r="431" spans="1:13" ht="12.75">
      <c r="A431" s="17" t="str">
        <f t="shared" si="250"/>
        <v>Construction Equipment Total</v>
      </c>
      <c r="B431" s="17"/>
      <c r="C431" s="18">
        <f aca="true" t="shared" si="256" ref="C431:M431">SUM(C425:C430)</f>
        <v>0.9349536497797463</v>
      </c>
      <c r="D431" s="18">
        <f t="shared" si="256"/>
        <v>2.319877833121415</v>
      </c>
      <c r="E431" s="18">
        <f t="shared" si="256"/>
        <v>2.6676731659892057</v>
      </c>
      <c r="F431" s="18">
        <f t="shared" si="256"/>
        <v>3.3670579194659878</v>
      </c>
      <c r="G431" s="18">
        <f t="shared" si="256"/>
        <v>2.6556449305101086</v>
      </c>
      <c r="H431" s="18">
        <f t="shared" si="256"/>
        <v>1.6395689107555889</v>
      </c>
      <c r="I431" s="18">
        <f t="shared" si="256"/>
        <v>1.2755814521818905</v>
      </c>
      <c r="J431" s="18">
        <f t="shared" si="256"/>
        <v>1.2755814521818905</v>
      </c>
      <c r="K431" s="18">
        <f t="shared" si="256"/>
        <v>0</v>
      </c>
      <c r="L431" s="18">
        <f t="shared" si="256"/>
        <v>0</v>
      </c>
      <c r="M431" s="18">
        <f t="shared" si="256"/>
        <v>0</v>
      </c>
    </row>
    <row r="432" spans="1:13" ht="12.75">
      <c r="A432" s="17" t="str">
        <f t="shared" si="250"/>
        <v>Motor Vehicles</v>
      </c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62" t="str">
        <f t="shared" si="250"/>
        <v>On-Site Pickup Truck</v>
      </c>
      <c r="B433" s="4">
        <f>VLOOKUP($A433,'Vehicle EFs'!$A$22:$F$27,6,FALSE)</f>
        <v>7.994837978627972E-05</v>
      </c>
      <c r="C433" s="16">
        <f>$B433*C219</f>
        <v>0.001998709494656993</v>
      </c>
      <c r="D433" s="16">
        <f aca="true" t="shared" si="257" ref="D433:M433">$B433*D219</f>
        <v>0.003997418989313986</v>
      </c>
      <c r="E433" s="16">
        <f t="shared" si="257"/>
        <v>0.003997418989313986</v>
      </c>
      <c r="F433" s="16">
        <f t="shared" si="257"/>
        <v>0.0059961284839709795</v>
      </c>
      <c r="G433" s="16">
        <f t="shared" si="257"/>
        <v>0.0059961284839709795</v>
      </c>
      <c r="H433" s="16">
        <f t="shared" si="257"/>
        <v>0.003997418989313986</v>
      </c>
      <c r="I433" s="16">
        <f t="shared" si="257"/>
        <v>0.003997418989313986</v>
      </c>
      <c r="J433" s="16">
        <f t="shared" si="257"/>
        <v>0.003997418989313986</v>
      </c>
      <c r="K433" s="16">
        <f t="shared" si="257"/>
        <v>0.001998709494656993</v>
      </c>
      <c r="L433" s="16">
        <f t="shared" si="257"/>
        <v>0</v>
      </c>
      <c r="M433" s="16">
        <f t="shared" si="257"/>
        <v>0</v>
      </c>
    </row>
    <row r="434" spans="1:13" ht="12.75">
      <c r="A434" s="62" t="str">
        <f t="shared" si="250"/>
        <v>Off-Site Dump Truck</v>
      </c>
      <c r="B434" s="4">
        <f>VLOOKUP($A434,'Vehicle EFs'!$A$22:$F$27,6,FALSE)</f>
        <v>0.0006440711658880828</v>
      </c>
      <c r="C434" s="16">
        <f>$B434*C220</f>
        <v>0.03220355829440414</v>
      </c>
      <c r="D434" s="16">
        <f aca="true" t="shared" si="258" ref="D434:M434">$B434*D220</f>
        <v>0.06440711658880828</v>
      </c>
      <c r="E434" s="16">
        <f t="shared" si="258"/>
        <v>0.06440711658880828</v>
      </c>
      <c r="F434" s="16">
        <f t="shared" si="258"/>
        <v>0.03220355829440414</v>
      </c>
      <c r="G434" s="16">
        <f t="shared" si="258"/>
        <v>0.03220355829440414</v>
      </c>
      <c r="H434" s="16">
        <f t="shared" si="258"/>
        <v>0</v>
      </c>
      <c r="I434" s="16">
        <f t="shared" si="258"/>
        <v>0</v>
      </c>
      <c r="J434" s="16">
        <f t="shared" si="258"/>
        <v>0</v>
      </c>
      <c r="K434" s="16">
        <f t="shared" si="258"/>
        <v>0</v>
      </c>
      <c r="L434" s="16">
        <f t="shared" si="258"/>
        <v>0</v>
      </c>
      <c r="M434" s="16">
        <f t="shared" si="258"/>
        <v>0</v>
      </c>
    </row>
    <row r="435" spans="1:13" ht="12.75">
      <c r="A435" s="62" t="str">
        <f t="shared" si="250"/>
        <v>Off-Site Concrete Truck</v>
      </c>
      <c r="B435" s="4">
        <f>VLOOKUP($A435,'Vehicle EFs'!$A$22:$F$27,6,FALSE)</f>
        <v>0.0006440711658880828</v>
      </c>
      <c r="C435" s="16">
        <f>$B435*C221</f>
        <v>0</v>
      </c>
      <c r="D435" s="16">
        <f aca="true" t="shared" si="259" ref="D435:M435">$B435*D221</f>
        <v>0.1610177914720207</v>
      </c>
      <c r="E435" s="16">
        <f t="shared" si="259"/>
        <v>0.1610177914720207</v>
      </c>
      <c r="F435" s="16">
        <f t="shared" si="259"/>
        <v>0</v>
      </c>
      <c r="G435" s="16">
        <f t="shared" si="259"/>
        <v>0</v>
      </c>
      <c r="H435" s="16">
        <f t="shared" si="259"/>
        <v>0</v>
      </c>
      <c r="I435" s="16">
        <f t="shared" si="259"/>
        <v>0</v>
      </c>
      <c r="J435" s="16">
        <f t="shared" si="259"/>
        <v>0</v>
      </c>
      <c r="K435" s="16">
        <f t="shared" si="259"/>
        <v>0</v>
      </c>
      <c r="L435" s="16">
        <f t="shared" si="259"/>
        <v>0</v>
      </c>
      <c r="M435" s="16">
        <f t="shared" si="259"/>
        <v>0</v>
      </c>
    </row>
    <row r="436" spans="1:13" ht="12.75">
      <c r="A436" s="62" t="str">
        <f t="shared" si="250"/>
        <v>Off-Site Delivery Truck</v>
      </c>
      <c r="B436" s="4">
        <f>VLOOKUP($A436,'Vehicle EFs'!$A$22:$F$27,6,FALSE)</f>
        <v>0.0006440711658880828</v>
      </c>
      <c r="C436" s="16">
        <f aca="true" t="shared" si="260" ref="C436:M436">$B436*C222</f>
        <v>0</v>
      </c>
      <c r="D436" s="16">
        <f t="shared" si="260"/>
        <v>0.03220355829440414</v>
      </c>
      <c r="E436" s="16">
        <f t="shared" si="260"/>
        <v>0.03220355829440414</v>
      </c>
      <c r="F436" s="16">
        <f t="shared" si="260"/>
        <v>0.03220355829440414</v>
      </c>
      <c r="G436" s="16">
        <f t="shared" si="260"/>
        <v>0.03220355829440414</v>
      </c>
      <c r="H436" s="16">
        <f t="shared" si="260"/>
        <v>0.03220355829440414</v>
      </c>
      <c r="I436" s="16">
        <f t="shared" si="260"/>
        <v>0.03220355829440414</v>
      </c>
      <c r="J436" s="16">
        <f t="shared" si="260"/>
        <v>0.03220355829440414</v>
      </c>
      <c r="K436" s="16">
        <f t="shared" si="260"/>
        <v>0</v>
      </c>
      <c r="L436" s="16">
        <f t="shared" si="260"/>
        <v>0</v>
      </c>
      <c r="M436" s="16">
        <f t="shared" si="260"/>
        <v>0</v>
      </c>
    </row>
    <row r="437" spans="1:13" ht="12.75">
      <c r="A437" s="62" t="str">
        <f t="shared" si="250"/>
        <v>Off-Site Construction Worker Commute</v>
      </c>
      <c r="B437" s="4">
        <f>VLOOKUP($A437,'Vehicle EFs'!$A$22:$F$27,6,FALSE)</f>
        <v>7.994837978627972E-05</v>
      </c>
      <c r="C437" s="16">
        <f aca="true" t="shared" si="261" ref="C437:M437">$B437*C223</f>
        <v>0.016789159755118743</v>
      </c>
      <c r="D437" s="16">
        <f t="shared" si="261"/>
        <v>0.061560252435435385</v>
      </c>
      <c r="E437" s="16">
        <f t="shared" si="261"/>
        <v>0.08394579877559372</v>
      </c>
      <c r="F437" s="16">
        <f t="shared" si="261"/>
        <v>0.10633134511575203</v>
      </c>
      <c r="G437" s="16">
        <f t="shared" si="261"/>
        <v>0.10073495853071245</v>
      </c>
      <c r="H437" s="16">
        <f t="shared" si="261"/>
        <v>0.06715663902047497</v>
      </c>
      <c r="I437" s="16">
        <f t="shared" si="261"/>
        <v>0.06715663902047497</v>
      </c>
      <c r="J437" s="16">
        <f t="shared" si="261"/>
        <v>0.04477109268031665</v>
      </c>
      <c r="K437" s="16">
        <f t="shared" si="261"/>
        <v>0.011192773170079162</v>
      </c>
      <c r="L437" s="16">
        <f t="shared" si="261"/>
        <v>0</v>
      </c>
      <c r="M437" s="16">
        <f t="shared" si="261"/>
        <v>0</v>
      </c>
    </row>
    <row r="438" spans="1:13" ht="12.75">
      <c r="A438" s="17" t="str">
        <f t="shared" si="250"/>
        <v>On-Site Motor Vehicle Total</v>
      </c>
      <c r="B438" s="17"/>
      <c r="C438" s="18">
        <f aca="true" t="shared" si="262" ref="C438:M438">C433</f>
        <v>0.001998709494656993</v>
      </c>
      <c r="D438" s="18">
        <f t="shared" si="262"/>
        <v>0.003997418989313986</v>
      </c>
      <c r="E438" s="18">
        <f t="shared" si="262"/>
        <v>0.003997418989313986</v>
      </c>
      <c r="F438" s="18">
        <f t="shared" si="262"/>
        <v>0.0059961284839709795</v>
      </c>
      <c r="G438" s="18">
        <f t="shared" si="262"/>
        <v>0.0059961284839709795</v>
      </c>
      <c r="H438" s="18">
        <f t="shared" si="262"/>
        <v>0.003997418989313986</v>
      </c>
      <c r="I438" s="18">
        <f t="shared" si="262"/>
        <v>0.003997418989313986</v>
      </c>
      <c r="J438" s="18">
        <f t="shared" si="262"/>
        <v>0.003997418989313986</v>
      </c>
      <c r="K438" s="18">
        <f t="shared" si="262"/>
        <v>0.001998709494656993</v>
      </c>
      <c r="L438" s="18">
        <f t="shared" si="262"/>
        <v>0</v>
      </c>
      <c r="M438" s="18">
        <f t="shared" si="262"/>
        <v>0</v>
      </c>
    </row>
    <row r="439" spans="1:13" ht="12.75">
      <c r="A439" s="17" t="str">
        <f t="shared" si="250"/>
        <v>Off-Site Motor Vehicle Total</v>
      </c>
      <c r="B439" s="17"/>
      <c r="C439" s="18">
        <f aca="true" t="shared" si="263" ref="C439:M439">SUM(C434:C437)</f>
        <v>0.04899271804952288</v>
      </c>
      <c r="D439" s="18">
        <f t="shared" si="263"/>
        <v>0.3191887187906685</v>
      </c>
      <c r="E439" s="18">
        <f t="shared" si="263"/>
        <v>0.34157426513082684</v>
      </c>
      <c r="F439" s="18">
        <f t="shared" si="263"/>
        <v>0.1707384617045603</v>
      </c>
      <c r="G439" s="18">
        <f t="shared" si="263"/>
        <v>0.16514207511952073</v>
      </c>
      <c r="H439" s="18">
        <f t="shared" si="263"/>
        <v>0.0993601973148791</v>
      </c>
      <c r="I439" s="18">
        <f t="shared" si="263"/>
        <v>0.0993601973148791</v>
      </c>
      <c r="J439" s="18">
        <f t="shared" si="263"/>
        <v>0.07697465097472078</v>
      </c>
      <c r="K439" s="18">
        <f t="shared" si="263"/>
        <v>0.011192773170079162</v>
      </c>
      <c r="L439" s="18">
        <f t="shared" si="263"/>
        <v>0</v>
      </c>
      <c r="M439" s="18">
        <f t="shared" si="263"/>
        <v>0</v>
      </c>
    </row>
    <row r="440" spans="1:13" ht="12.75">
      <c r="A440" s="17" t="str">
        <f t="shared" si="250"/>
        <v>Gas Line</v>
      </c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2.75">
      <c r="A441" s="17" t="str">
        <f t="shared" si="250"/>
        <v>Construction Equipment</v>
      </c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>
      <c r="A442" s="62" t="str">
        <f t="shared" si="250"/>
        <v>Gas Line Welding rigs</v>
      </c>
      <c r="B442" s="4">
        <f>VLOOKUP(A442,'Const. Equip. EFs'!$A$5:$I$19,9,FALSE)</f>
        <v>0.03168163202330049</v>
      </c>
      <c r="C442" s="16">
        <f aca="true" t="shared" si="264" ref="C442:C448">$B442*C226</f>
        <v>0.7603591685592117</v>
      </c>
      <c r="D442" s="16">
        <f aca="true" t="shared" si="265" ref="D442:M442">$B442*D226</f>
        <v>0.7603591685592117</v>
      </c>
      <c r="E442" s="16">
        <f t="shared" si="265"/>
        <v>0.7603591685592117</v>
      </c>
      <c r="F442" s="16">
        <f t="shared" si="265"/>
        <v>0.7603591685592117</v>
      </c>
      <c r="G442" s="16">
        <f t="shared" si="265"/>
        <v>0</v>
      </c>
      <c r="H442" s="16">
        <f t="shared" si="265"/>
        <v>0</v>
      </c>
      <c r="I442" s="16">
        <f t="shared" si="265"/>
        <v>0</v>
      </c>
      <c r="J442" s="16">
        <f t="shared" si="265"/>
        <v>0</v>
      </c>
      <c r="K442" s="16">
        <f t="shared" si="265"/>
        <v>0</v>
      </c>
      <c r="L442" s="16">
        <f t="shared" si="265"/>
        <v>0</v>
      </c>
      <c r="M442" s="16">
        <f t="shared" si="265"/>
        <v>0</v>
      </c>
    </row>
    <row r="443" spans="1:13" ht="12.75">
      <c r="A443" s="62" t="str">
        <f t="shared" si="250"/>
        <v>Gas Line Backhoe</v>
      </c>
      <c r="B443" s="4">
        <f>VLOOKUP(A443,'Const. Equip. EFs'!$A$5:$I$19,9,FALSE)</f>
        <v>0.06347939984437417</v>
      </c>
      <c r="C443" s="16">
        <f t="shared" si="264"/>
        <v>0.38087639906624504</v>
      </c>
      <c r="D443" s="16">
        <f aca="true" t="shared" si="266" ref="D443:M443">$B443*D227</f>
        <v>0.38087639906624504</v>
      </c>
      <c r="E443" s="16">
        <f t="shared" si="266"/>
        <v>0.38087639906624504</v>
      </c>
      <c r="F443" s="16">
        <f t="shared" si="266"/>
        <v>0.38087639906624504</v>
      </c>
      <c r="G443" s="16">
        <f t="shared" si="266"/>
        <v>0</v>
      </c>
      <c r="H443" s="16">
        <f t="shared" si="266"/>
        <v>0</v>
      </c>
      <c r="I443" s="16">
        <f t="shared" si="266"/>
        <v>0</v>
      </c>
      <c r="J443" s="16">
        <f t="shared" si="266"/>
        <v>0</v>
      </c>
      <c r="K443" s="16">
        <f t="shared" si="266"/>
        <v>0</v>
      </c>
      <c r="L443" s="16">
        <f t="shared" si="266"/>
        <v>0</v>
      </c>
      <c r="M443" s="16">
        <f t="shared" si="266"/>
        <v>0</v>
      </c>
    </row>
    <row r="444" spans="1:13" ht="12.75">
      <c r="A444" s="62" t="str">
        <f t="shared" si="250"/>
        <v>Gas Line Compressor</v>
      </c>
      <c r="B444" s="4">
        <f>VLOOKUP(A444,'Const. Equip. EFs'!$A$5:$I$19,9,FALSE)</f>
        <v>0.028982944405649226</v>
      </c>
      <c r="C444" s="16">
        <f t="shared" si="264"/>
        <v>0.17389766643389537</v>
      </c>
      <c r="D444" s="16">
        <f aca="true" t="shared" si="267" ref="D444:M444">$B444*D228</f>
        <v>0.17389766643389537</v>
      </c>
      <c r="E444" s="16">
        <f t="shared" si="267"/>
        <v>0.17389766643389537</v>
      </c>
      <c r="F444" s="16">
        <f t="shared" si="267"/>
        <v>0.17389766643389537</v>
      </c>
      <c r="G444" s="16">
        <f t="shared" si="267"/>
        <v>0</v>
      </c>
      <c r="H444" s="16">
        <f t="shared" si="267"/>
        <v>0</v>
      </c>
      <c r="I444" s="16">
        <f t="shared" si="267"/>
        <v>0</v>
      </c>
      <c r="J444" s="16">
        <f t="shared" si="267"/>
        <v>0</v>
      </c>
      <c r="K444" s="16">
        <f t="shared" si="267"/>
        <v>0</v>
      </c>
      <c r="L444" s="16">
        <f t="shared" si="267"/>
        <v>0</v>
      </c>
      <c r="M444" s="16">
        <f t="shared" si="267"/>
        <v>0</v>
      </c>
    </row>
    <row r="445" spans="1:13" ht="12.75">
      <c r="A445" s="62" t="str">
        <f t="shared" si="250"/>
        <v>Gas Line Front-end loader</v>
      </c>
      <c r="B445" s="4">
        <f>VLOOKUP(A445,'Const. Equip. EFs'!$A$5:$I$19,9,FALSE)</f>
        <v>0.07688365904239662</v>
      </c>
      <c r="C445" s="16">
        <f t="shared" si="264"/>
        <v>0.7688365904239662</v>
      </c>
      <c r="D445" s="16">
        <f aca="true" t="shared" si="268" ref="D445:M445">$B445*D229</f>
        <v>0.7688365904239662</v>
      </c>
      <c r="E445" s="16">
        <f t="shared" si="268"/>
        <v>0.7688365904239662</v>
      </c>
      <c r="F445" s="16">
        <f t="shared" si="268"/>
        <v>0.7688365904239662</v>
      </c>
      <c r="G445" s="16">
        <f t="shared" si="268"/>
        <v>0</v>
      </c>
      <c r="H445" s="16">
        <f t="shared" si="268"/>
        <v>0</v>
      </c>
      <c r="I445" s="16">
        <f t="shared" si="268"/>
        <v>0</v>
      </c>
      <c r="J445" s="16">
        <f t="shared" si="268"/>
        <v>0</v>
      </c>
      <c r="K445" s="16">
        <f t="shared" si="268"/>
        <v>0</v>
      </c>
      <c r="L445" s="16">
        <f t="shared" si="268"/>
        <v>0</v>
      </c>
      <c r="M445" s="16">
        <f t="shared" si="268"/>
        <v>0</v>
      </c>
    </row>
    <row r="446" spans="1:13" ht="12.75">
      <c r="A446" s="62" t="str">
        <f t="shared" si="250"/>
        <v>Gas Line Compactor</v>
      </c>
      <c r="B446" s="4">
        <f>VLOOKUP(A446,'Const. Equip. EFs'!$A$5:$I$19,9,FALSE)</f>
        <v>0.06287527799437655</v>
      </c>
      <c r="C446" s="16">
        <f t="shared" si="264"/>
        <v>0.2515011119775062</v>
      </c>
      <c r="D446" s="16">
        <f aca="true" t="shared" si="269" ref="D446:M446">$B446*D230</f>
        <v>0.2515011119775062</v>
      </c>
      <c r="E446" s="16">
        <f t="shared" si="269"/>
        <v>0.2515011119775062</v>
      </c>
      <c r="F446" s="16">
        <f t="shared" si="269"/>
        <v>0.2515011119775062</v>
      </c>
      <c r="G446" s="16">
        <f t="shared" si="269"/>
        <v>0</v>
      </c>
      <c r="H446" s="16">
        <f t="shared" si="269"/>
        <v>0</v>
      </c>
      <c r="I446" s="16">
        <f t="shared" si="269"/>
        <v>0</v>
      </c>
      <c r="J446" s="16">
        <f t="shared" si="269"/>
        <v>0</v>
      </c>
      <c r="K446" s="16">
        <f t="shared" si="269"/>
        <v>0</v>
      </c>
      <c r="L446" s="16">
        <f t="shared" si="269"/>
        <v>0</v>
      </c>
      <c r="M446" s="16">
        <f t="shared" si="269"/>
        <v>0</v>
      </c>
    </row>
    <row r="447" spans="1:13" ht="12.75">
      <c r="A447" s="62" t="str">
        <f t="shared" si="250"/>
        <v>Gas Line Excavator</v>
      </c>
      <c r="B447" s="4">
        <f>VLOOKUP(A447,'Const. Equip. EFs'!$A$5:$I$19,9,FALSE)</f>
        <v>0.09631992095612839</v>
      </c>
      <c r="C447" s="16">
        <f t="shared" si="264"/>
        <v>0.5779195257367703</v>
      </c>
      <c r="D447" s="16">
        <f aca="true" t="shared" si="270" ref="D447:M447">$B447*D231</f>
        <v>0.5779195257367703</v>
      </c>
      <c r="E447" s="16">
        <f t="shared" si="270"/>
        <v>0.5779195257367703</v>
      </c>
      <c r="F447" s="16">
        <f t="shared" si="270"/>
        <v>0.5779195257367703</v>
      </c>
      <c r="G447" s="16">
        <f t="shared" si="270"/>
        <v>0</v>
      </c>
      <c r="H447" s="16">
        <f t="shared" si="270"/>
        <v>0</v>
      </c>
      <c r="I447" s="16">
        <f t="shared" si="270"/>
        <v>0</v>
      </c>
      <c r="J447" s="16">
        <f t="shared" si="270"/>
        <v>0</v>
      </c>
      <c r="K447" s="16">
        <f t="shared" si="270"/>
        <v>0</v>
      </c>
      <c r="L447" s="16">
        <f t="shared" si="270"/>
        <v>0</v>
      </c>
      <c r="M447" s="16">
        <f t="shared" si="270"/>
        <v>0</v>
      </c>
    </row>
    <row r="448" spans="1:13" ht="12.75">
      <c r="A448" s="62" t="str">
        <f t="shared" si="250"/>
        <v>Gas Line 15 ton crane</v>
      </c>
      <c r="B448" s="4">
        <f>VLOOKUP(A448,'Const. Equip. EFs'!$A$5:$I$19,9,FALSE)</f>
        <v>0.0570941375614551</v>
      </c>
      <c r="C448" s="16">
        <f t="shared" si="264"/>
        <v>0.4567531004916408</v>
      </c>
      <c r="D448" s="16">
        <f aca="true" t="shared" si="271" ref="D448:M448">$B448*D232</f>
        <v>0.4567531004916408</v>
      </c>
      <c r="E448" s="16">
        <f t="shared" si="271"/>
        <v>0.4567531004916408</v>
      </c>
      <c r="F448" s="16">
        <f t="shared" si="271"/>
        <v>0.4567531004916408</v>
      </c>
      <c r="G448" s="16">
        <f t="shared" si="271"/>
        <v>0</v>
      </c>
      <c r="H448" s="16">
        <f t="shared" si="271"/>
        <v>0</v>
      </c>
      <c r="I448" s="16">
        <f t="shared" si="271"/>
        <v>0</v>
      </c>
      <c r="J448" s="16">
        <f t="shared" si="271"/>
        <v>0</v>
      </c>
      <c r="K448" s="16">
        <f t="shared" si="271"/>
        <v>0</v>
      </c>
      <c r="L448" s="16">
        <f t="shared" si="271"/>
        <v>0</v>
      </c>
      <c r="M448" s="16">
        <f t="shared" si="271"/>
        <v>0</v>
      </c>
    </row>
    <row r="449" spans="1:13" ht="12.75">
      <c r="A449" s="62" t="str">
        <f t="shared" si="250"/>
        <v>Gas Line Roller</v>
      </c>
      <c r="B449" s="4">
        <f>VLOOKUP(A449,'Const. Equip. EFs'!$A$5:$I$19,9,FALSE)</f>
        <v>0.06287527799437655</v>
      </c>
      <c r="C449" s="16">
        <f aca="true" t="shared" si="272" ref="C449:M449">$B449*C233</f>
        <v>0.2515011119775062</v>
      </c>
      <c r="D449" s="16">
        <f t="shared" si="272"/>
        <v>0.2515011119775062</v>
      </c>
      <c r="E449" s="16">
        <f t="shared" si="272"/>
        <v>0.2515011119775062</v>
      </c>
      <c r="F449" s="16">
        <f t="shared" si="272"/>
        <v>0.2515011119775062</v>
      </c>
      <c r="G449" s="16">
        <f t="shared" si="272"/>
        <v>0</v>
      </c>
      <c r="H449" s="16">
        <f t="shared" si="272"/>
        <v>0</v>
      </c>
      <c r="I449" s="16">
        <f t="shared" si="272"/>
        <v>0</v>
      </c>
      <c r="J449" s="16">
        <f t="shared" si="272"/>
        <v>0</v>
      </c>
      <c r="K449" s="16">
        <f t="shared" si="272"/>
        <v>0</v>
      </c>
      <c r="L449" s="16">
        <f t="shared" si="272"/>
        <v>0</v>
      </c>
      <c r="M449" s="16">
        <f t="shared" si="272"/>
        <v>0</v>
      </c>
    </row>
    <row r="450" spans="1:13" ht="12.75">
      <c r="A450" s="62" t="str">
        <f t="shared" si="250"/>
        <v>Gas Line Reed Screen</v>
      </c>
      <c r="B450" s="4">
        <f>VLOOKUP(A450,'Const. Equip. EFs'!$A$5:$I$19,9,FALSE)</f>
        <v>0.08957412011407778</v>
      </c>
      <c r="C450" s="16">
        <f aca="true" t="shared" si="273" ref="C450:M450">$B450*C234</f>
        <v>0.5374447206844667</v>
      </c>
      <c r="D450" s="16">
        <f t="shared" si="273"/>
        <v>0.5374447206844667</v>
      </c>
      <c r="E450" s="16">
        <f t="shared" si="273"/>
        <v>0.5374447206844667</v>
      </c>
      <c r="F450" s="16">
        <f t="shared" si="273"/>
        <v>0.5374447206844667</v>
      </c>
      <c r="G450" s="16">
        <f t="shared" si="273"/>
        <v>0</v>
      </c>
      <c r="H450" s="16">
        <f t="shared" si="273"/>
        <v>0</v>
      </c>
      <c r="I450" s="16">
        <f t="shared" si="273"/>
        <v>0</v>
      </c>
      <c r="J450" s="16">
        <f t="shared" si="273"/>
        <v>0</v>
      </c>
      <c r="K450" s="16">
        <f t="shared" si="273"/>
        <v>0</v>
      </c>
      <c r="L450" s="16">
        <f t="shared" si="273"/>
        <v>0</v>
      </c>
      <c r="M450" s="16">
        <f t="shared" si="273"/>
        <v>0</v>
      </c>
    </row>
    <row r="451" spans="1:13" ht="12.75">
      <c r="A451" s="17" t="str">
        <f t="shared" si="250"/>
        <v>Construction Equipment Total</v>
      </c>
      <c r="B451" s="17"/>
      <c r="C451" s="18">
        <f aca="true" t="shared" si="274" ref="C451:M451">SUM(C442:C450)</f>
        <v>4.1590893953512085</v>
      </c>
      <c r="D451" s="18">
        <f t="shared" si="274"/>
        <v>4.1590893953512085</v>
      </c>
      <c r="E451" s="18">
        <f t="shared" si="274"/>
        <v>4.1590893953512085</v>
      </c>
      <c r="F451" s="18">
        <f t="shared" si="274"/>
        <v>4.1590893953512085</v>
      </c>
      <c r="G451" s="18">
        <f t="shared" si="274"/>
        <v>0</v>
      </c>
      <c r="H451" s="18">
        <f t="shared" si="274"/>
        <v>0</v>
      </c>
      <c r="I451" s="18">
        <f t="shared" si="274"/>
        <v>0</v>
      </c>
      <c r="J451" s="18">
        <f t="shared" si="274"/>
        <v>0</v>
      </c>
      <c r="K451" s="18">
        <f t="shared" si="274"/>
        <v>0</v>
      </c>
      <c r="L451" s="18">
        <f t="shared" si="274"/>
        <v>0</v>
      </c>
      <c r="M451" s="18">
        <f t="shared" si="274"/>
        <v>0</v>
      </c>
    </row>
    <row r="452" spans="1:13" ht="12.75">
      <c r="A452" s="17" t="str">
        <f t="shared" si="250"/>
        <v>Motor Vehicles</v>
      </c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2.75">
      <c r="A453" s="62" t="str">
        <f t="shared" si="250"/>
        <v>On-Site Pickup Truck</v>
      </c>
      <c r="B453" s="4">
        <f>VLOOKUP($A453,'Vehicle EFs'!$A$22:$F$27,6,FALSE)</f>
        <v>7.994837978627972E-05</v>
      </c>
      <c r="C453" s="16">
        <f>$B453*C236</f>
        <v>0.004796902787176783</v>
      </c>
      <c r="D453" s="16">
        <f aca="true" t="shared" si="275" ref="D453:M453">$B453*D236</f>
        <v>0.004796902787176783</v>
      </c>
      <c r="E453" s="16">
        <f t="shared" si="275"/>
        <v>0.004796902787176783</v>
      </c>
      <c r="F453" s="16">
        <f t="shared" si="275"/>
        <v>0.004796902787176783</v>
      </c>
      <c r="G453" s="16">
        <f t="shared" si="275"/>
        <v>0</v>
      </c>
      <c r="H453" s="16">
        <f t="shared" si="275"/>
        <v>0</v>
      </c>
      <c r="I453" s="16">
        <f t="shared" si="275"/>
        <v>0</v>
      </c>
      <c r="J453" s="16">
        <f t="shared" si="275"/>
        <v>0</v>
      </c>
      <c r="K453" s="16">
        <f t="shared" si="275"/>
        <v>0</v>
      </c>
      <c r="L453" s="16">
        <f t="shared" si="275"/>
        <v>0</v>
      </c>
      <c r="M453" s="16">
        <f t="shared" si="275"/>
        <v>0</v>
      </c>
    </row>
    <row r="454" spans="1:13" ht="12.75">
      <c r="A454" s="62" t="str">
        <f t="shared" si="250"/>
        <v>Off-Site Dump Truck</v>
      </c>
      <c r="B454" s="4">
        <f>VLOOKUP($A454,'Vehicle EFs'!$A$22:$F$27,6,FALSE)</f>
        <v>0.0006440711658880828</v>
      </c>
      <c r="C454" s="16">
        <f>$B454*C237</f>
        <v>0.05796640492992745</v>
      </c>
      <c r="D454" s="16">
        <f aca="true" t="shared" si="276" ref="D454:M454">$B454*D237</f>
        <v>0.05796640492992745</v>
      </c>
      <c r="E454" s="16">
        <f t="shared" si="276"/>
        <v>0.05796640492992745</v>
      </c>
      <c r="F454" s="16">
        <f t="shared" si="276"/>
        <v>0.05796640492992745</v>
      </c>
      <c r="G454" s="16">
        <f t="shared" si="276"/>
        <v>0</v>
      </c>
      <c r="H454" s="16">
        <f t="shared" si="276"/>
        <v>0</v>
      </c>
      <c r="I454" s="16">
        <f t="shared" si="276"/>
        <v>0</v>
      </c>
      <c r="J454" s="16">
        <f t="shared" si="276"/>
        <v>0</v>
      </c>
      <c r="K454" s="16">
        <f t="shared" si="276"/>
        <v>0</v>
      </c>
      <c r="L454" s="16">
        <f t="shared" si="276"/>
        <v>0</v>
      </c>
      <c r="M454" s="16">
        <f t="shared" si="276"/>
        <v>0</v>
      </c>
    </row>
    <row r="455" spans="1:13" ht="12.75">
      <c r="A455" s="62" t="str">
        <f t="shared" si="250"/>
        <v>On-Site Water Truck</v>
      </c>
      <c r="B455" s="4">
        <f>VLOOKUP($A455,'Vehicle EFs'!$A$22:$F$27,6,FALSE)</f>
        <v>0.0006440711658880828</v>
      </c>
      <c r="C455" s="16">
        <f>$B455*C238</f>
        <v>0.012881423317761655</v>
      </c>
      <c r="D455" s="16">
        <f aca="true" t="shared" si="277" ref="D455:M455">$B455*D238</f>
        <v>0.012881423317761655</v>
      </c>
      <c r="E455" s="16">
        <f t="shared" si="277"/>
        <v>0.012881423317761655</v>
      </c>
      <c r="F455" s="16">
        <f t="shared" si="277"/>
        <v>0.012881423317761655</v>
      </c>
      <c r="G455" s="16">
        <f t="shared" si="277"/>
        <v>0</v>
      </c>
      <c r="H455" s="16">
        <f t="shared" si="277"/>
        <v>0</v>
      </c>
      <c r="I455" s="16">
        <f t="shared" si="277"/>
        <v>0</v>
      </c>
      <c r="J455" s="16">
        <f t="shared" si="277"/>
        <v>0</v>
      </c>
      <c r="K455" s="16">
        <f t="shared" si="277"/>
        <v>0</v>
      </c>
      <c r="L455" s="16">
        <f t="shared" si="277"/>
        <v>0</v>
      </c>
      <c r="M455" s="16">
        <f t="shared" si="277"/>
        <v>0</v>
      </c>
    </row>
    <row r="456" spans="1:13" ht="12.75">
      <c r="A456" s="62" t="str">
        <f t="shared" si="250"/>
        <v>Off-Site Concrete Truck</v>
      </c>
      <c r="B456" s="4">
        <f>VLOOKUP($A456,'Vehicle EFs'!$A$22:$F$27,6,FALSE)</f>
        <v>0.0006440711658880828</v>
      </c>
      <c r="C456" s="16">
        <f>$B456*C239</f>
        <v>0.05152569327104662</v>
      </c>
      <c r="D456" s="16">
        <f aca="true" t="shared" si="278" ref="D456:M456">$B456*D239</f>
        <v>0.05152569327104662</v>
      </c>
      <c r="E456" s="16">
        <f t="shared" si="278"/>
        <v>0.05152569327104662</v>
      </c>
      <c r="F456" s="16">
        <f t="shared" si="278"/>
        <v>0.05152569327104662</v>
      </c>
      <c r="G456" s="16">
        <f t="shared" si="278"/>
        <v>0</v>
      </c>
      <c r="H456" s="16">
        <f t="shared" si="278"/>
        <v>0</v>
      </c>
      <c r="I456" s="16">
        <f t="shared" si="278"/>
        <v>0</v>
      </c>
      <c r="J456" s="16">
        <f t="shared" si="278"/>
        <v>0</v>
      </c>
      <c r="K456" s="16">
        <f t="shared" si="278"/>
        <v>0</v>
      </c>
      <c r="L456" s="16">
        <f t="shared" si="278"/>
        <v>0</v>
      </c>
      <c r="M456" s="16">
        <f t="shared" si="278"/>
        <v>0</v>
      </c>
    </row>
    <row r="457" spans="1:13" ht="12.75">
      <c r="A457" s="62" t="str">
        <f t="shared" si="250"/>
        <v>Off-Site Delivery Truck</v>
      </c>
      <c r="B457" s="4">
        <f>VLOOKUP($A457,'Vehicle EFs'!$A$22:$F$27,6,FALSE)</f>
        <v>0.0006440711658880828</v>
      </c>
      <c r="C457" s="16">
        <f aca="true" t="shared" si="279" ref="C457:M457">$B457*C240</f>
        <v>0.05152569327104662</v>
      </c>
      <c r="D457" s="16">
        <f t="shared" si="279"/>
        <v>0.05152569327104662</v>
      </c>
      <c r="E457" s="16">
        <f t="shared" si="279"/>
        <v>0.05152569327104662</v>
      </c>
      <c r="F457" s="16">
        <f t="shared" si="279"/>
        <v>0.05152569327104662</v>
      </c>
      <c r="G457" s="16">
        <f t="shared" si="279"/>
        <v>0</v>
      </c>
      <c r="H457" s="16">
        <f t="shared" si="279"/>
        <v>0</v>
      </c>
      <c r="I457" s="16">
        <f t="shared" si="279"/>
        <v>0</v>
      </c>
      <c r="J457" s="16">
        <f t="shared" si="279"/>
        <v>0</v>
      </c>
      <c r="K457" s="16">
        <f t="shared" si="279"/>
        <v>0</v>
      </c>
      <c r="L457" s="16">
        <f t="shared" si="279"/>
        <v>0</v>
      </c>
      <c r="M457" s="16">
        <f t="shared" si="279"/>
        <v>0</v>
      </c>
    </row>
    <row r="458" spans="1:13" ht="12.75">
      <c r="A458" s="62" t="str">
        <f t="shared" si="250"/>
        <v>Off-Site Construction Worker Commute</v>
      </c>
      <c r="B458" s="4">
        <f>VLOOKUP($A458,'Vehicle EFs'!$A$22:$F$27,6,FALSE)</f>
        <v>7.994837978627972E-05</v>
      </c>
      <c r="C458" s="16">
        <f aca="true" t="shared" si="280" ref="C458:M458">$B458*C241</f>
        <v>0.12791740765804754</v>
      </c>
      <c r="D458" s="16">
        <f t="shared" si="280"/>
        <v>0.12791740765804754</v>
      </c>
      <c r="E458" s="16">
        <f t="shared" si="280"/>
        <v>0.12791740765804754</v>
      </c>
      <c r="F458" s="16">
        <f t="shared" si="280"/>
        <v>0.12791740765804754</v>
      </c>
      <c r="G458" s="16">
        <f t="shared" si="280"/>
        <v>0</v>
      </c>
      <c r="H458" s="16">
        <f t="shared" si="280"/>
        <v>0</v>
      </c>
      <c r="I458" s="16">
        <f t="shared" si="280"/>
        <v>0</v>
      </c>
      <c r="J458" s="16">
        <f t="shared" si="280"/>
        <v>0</v>
      </c>
      <c r="K458" s="16">
        <f t="shared" si="280"/>
        <v>0</v>
      </c>
      <c r="L458" s="16">
        <f t="shared" si="280"/>
        <v>0</v>
      </c>
      <c r="M458" s="16">
        <f t="shared" si="280"/>
        <v>0</v>
      </c>
    </row>
    <row r="459" spans="1:13" ht="12.75">
      <c r="A459" s="17" t="str">
        <f t="shared" si="250"/>
        <v>On-Site Motor Vehicle Total</v>
      </c>
      <c r="B459" s="17"/>
      <c r="C459" s="18">
        <f>C453+C455</f>
        <v>0.017678326104938438</v>
      </c>
      <c r="D459" s="18">
        <f aca="true" t="shared" si="281" ref="D459:M459">D453+D455</f>
        <v>0.017678326104938438</v>
      </c>
      <c r="E459" s="18">
        <f t="shared" si="281"/>
        <v>0.017678326104938438</v>
      </c>
      <c r="F459" s="18">
        <f t="shared" si="281"/>
        <v>0.017678326104938438</v>
      </c>
      <c r="G459" s="18">
        <f t="shared" si="281"/>
        <v>0</v>
      </c>
      <c r="H459" s="18">
        <f t="shared" si="281"/>
        <v>0</v>
      </c>
      <c r="I459" s="18">
        <f t="shared" si="281"/>
        <v>0</v>
      </c>
      <c r="J459" s="18">
        <f t="shared" si="281"/>
        <v>0</v>
      </c>
      <c r="K459" s="18">
        <f t="shared" si="281"/>
        <v>0</v>
      </c>
      <c r="L459" s="18">
        <f t="shared" si="281"/>
        <v>0</v>
      </c>
      <c r="M459" s="18">
        <f t="shared" si="281"/>
        <v>0</v>
      </c>
    </row>
    <row r="460" spans="1:13" ht="12.75">
      <c r="A460" s="17" t="str">
        <f t="shared" si="250"/>
        <v>Off-Site Motor Vehicle Total</v>
      </c>
      <c r="B460" s="17"/>
      <c r="C460" s="18">
        <f>C454+SUM(C456:C458)</f>
        <v>0.2889351991300682</v>
      </c>
      <c r="D460" s="18">
        <f aca="true" t="shared" si="282" ref="D460:M460">D454+SUM(D456:D458)</f>
        <v>0.2889351991300682</v>
      </c>
      <c r="E460" s="18">
        <f t="shared" si="282"/>
        <v>0.2889351991300682</v>
      </c>
      <c r="F460" s="18">
        <f t="shared" si="282"/>
        <v>0.2889351991300682</v>
      </c>
      <c r="G460" s="18">
        <f t="shared" si="282"/>
        <v>0</v>
      </c>
      <c r="H460" s="18">
        <f t="shared" si="282"/>
        <v>0</v>
      </c>
      <c r="I460" s="18">
        <f t="shared" si="282"/>
        <v>0</v>
      </c>
      <c r="J460" s="18">
        <f t="shared" si="282"/>
        <v>0</v>
      </c>
      <c r="K460" s="18">
        <f t="shared" si="282"/>
        <v>0</v>
      </c>
      <c r="L460" s="18">
        <f t="shared" si="282"/>
        <v>0</v>
      </c>
      <c r="M460" s="18">
        <f t="shared" si="282"/>
        <v>0</v>
      </c>
    </row>
    <row r="461" ht="12.75">
      <c r="A461" s="19" t="s">
        <v>43</v>
      </c>
    </row>
    <row r="462" ht="12.75">
      <c r="A462" s="19"/>
    </row>
    <row r="463" spans="1:13" ht="12.75">
      <c r="A463" s="133" t="s">
        <v>221</v>
      </c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</row>
    <row r="464" spans="1:13" ht="12.75">
      <c r="A464" s="134" t="str">
        <f>$B$1&amp;" Equipment and Motor Vehicle Fugitive PM10 Emissions"</f>
        <v>Mira Loma Construction Equipment and Motor Vehicle Fugitive PM10 Emissions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2" t="str">
        <f>A421</f>
        <v>Equipment/Vehicle Type</v>
      </c>
      <c r="B465" s="142" t="s">
        <v>154</v>
      </c>
      <c r="C465" s="132" t="s">
        <v>166</v>
      </c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</row>
    <row r="466" spans="1:13" ht="12.75">
      <c r="A466" s="141"/>
      <c r="B466" s="138"/>
      <c r="C466" s="63">
        <f>C422</f>
        <v>39139</v>
      </c>
      <c r="D466" s="63">
        <f aca="true" t="shared" si="283" ref="D466:M466">D422</f>
        <v>39153</v>
      </c>
      <c r="E466" s="63">
        <f t="shared" si="283"/>
        <v>39167</v>
      </c>
      <c r="F466" s="63">
        <f t="shared" si="283"/>
        <v>39181</v>
      </c>
      <c r="G466" s="63">
        <f t="shared" si="283"/>
        <v>39195</v>
      </c>
      <c r="H466" s="63">
        <f t="shared" si="283"/>
        <v>39209</v>
      </c>
      <c r="I466" s="63">
        <f t="shared" si="283"/>
        <v>39223</v>
      </c>
      <c r="J466" s="63">
        <f t="shared" si="283"/>
        <v>39237</v>
      </c>
      <c r="K466" s="63">
        <f t="shared" si="283"/>
        <v>39251</v>
      </c>
      <c r="L466" s="63">
        <f t="shared" si="283"/>
        <v>39265</v>
      </c>
      <c r="M466" s="63">
        <f t="shared" si="283"/>
        <v>39279</v>
      </c>
    </row>
    <row r="467" spans="1:13" ht="12.75">
      <c r="A467" s="17" t="str">
        <f>A423</f>
        <v>Power Plant</v>
      </c>
      <c r="B467" s="92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1:13" ht="12.75">
      <c r="A468" s="62" t="str">
        <f aca="true" t="shared" si="284" ref="A468:A475">A433</f>
        <v>On-Site Pickup Truck</v>
      </c>
      <c r="B468" s="4">
        <f>VLOOKUP($A468,'Vehicle EFs'!$A$38:$E$43,5,FALSE)</f>
        <v>0.003444253821211262</v>
      </c>
      <c r="C468" s="16">
        <f>$B468*C219</f>
        <v>0.08610634553028156</v>
      </c>
      <c r="D468" s="16">
        <f aca="true" t="shared" si="285" ref="D468:M468">$B468*D219</f>
        <v>0.1722126910605631</v>
      </c>
      <c r="E468" s="16">
        <f t="shared" si="285"/>
        <v>0.1722126910605631</v>
      </c>
      <c r="F468" s="16">
        <f t="shared" si="285"/>
        <v>0.25831903659084465</v>
      </c>
      <c r="G468" s="16">
        <f t="shared" si="285"/>
        <v>0.25831903659084465</v>
      </c>
      <c r="H468" s="16">
        <f t="shared" si="285"/>
        <v>0.1722126910605631</v>
      </c>
      <c r="I468" s="16">
        <f t="shared" si="285"/>
        <v>0.1722126910605631</v>
      </c>
      <c r="J468" s="16">
        <f t="shared" si="285"/>
        <v>0.1722126910605631</v>
      </c>
      <c r="K468" s="16">
        <f t="shared" si="285"/>
        <v>0.08610634553028156</v>
      </c>
      <c r="L468" s="16">
        <f t="shared" si="285"/>
        <v>0</v>
      </c>
      <c r="M468" s="16">
        <f t="shared" si="285"/>
        <v>0</v>
      </c>
    </row>
    <row r="469" spans="1:13" ht="12.75">
      <c r="A469" s="62" t="str">
        <f t="shared" si="284"/>
        <v>Off-Site Dump Truck</v>
      </c>
      <c r="B469" s="4">
        <f>VLOOKUP($A469,'Vehicle EFs'!$A$38:$E$43,5,FALSE)</f>
        <v>0.0010216190026505838</v>
      </c>
      <c r="C469" s="16">
        <f>$B469*C220</f>
        <v>0.05108095013252919</v>
      </c>
      <c r="D469" s="16">
        <f aca="true" t="shared" si="286" ref="D469:M469">$B469*D220</f>
        <v>0.10216190026505838</v>
      </c>
      <c r="E469" s="16">
        <f t="shared" si="286"/>
        <v>0.10216190026505838</v>
      </c>
      <c r="F469" s="16">
        <f t="shared" si="286"/>
        <v>0.05108095013252919</v>
      </c>
      <c r="G469" s="16">
        <f t="shared" si="286"/>
        <v>0.05108095013252919</v>
      </c>
      <c r="H469" s="16">
        <f t="shared" si="286"/>
        <v>0</v>
      </c>
      <c r="I469" s="16">
        <f t="shared" si="286"/>
        <v>0</v>
      </c>
      <c r="J469" s="16">
        <f t="shared" si="286"/>
        <v>0</v>
      </c>
      <c r="K469" s="16">
        <f t="shared" si="286"/>
        <v>0</v>
      </c>
      <c r="L469" s="16">
        <f t="shared" si="286"/>
        <v>0</v>
      </c>
      <c r="M469" s="16">
        <f t="shared" si="286"/>
        <v>0</v>
      </c>
    </row>
    <row r="470" spans="1:13" ht="12.75">
      <c r="A470" s="62" t="str">
        <f t="shared" si="284"/>
        <v>Off-Site Concrete Truck</v>
      </c>
      <c r="B470" s="4">
        <f>VLOOKUP($A470,'Vehicle EFs'!$A$38:$E$43,5,FALSE)</f>
        <v>0.0010216190026505838</v>
      </c>
      <c r="C470" s="16">
        <f>$B470*C221</f>
        <v>0</v>
      </c>
      <c r="D470" s="16">
        <f aca="true" t="shared" si="287" ref="D470:M470">$B470*D221</f>
        <v>0.25540475066264595</v>
      </c>
      <c r="E470" s="16">
        <f t="shared" si="287"/>
        <v>0.25540475066264595</v>
      </c>
      <c r="F470" s="16">
        <f t="shared" si="287"/>
        <v>0</v>
      </c>
      <c r="G470" s="16">
        <f t="shared" si="287"/>
        <v>0</v>
      </c>
      <c r="H470" s="16">
        <f t="shared" si="287"/>
        <v>0</v>
      </c>
      <c r="I470" s="16">
        <f t="shared" si="287"/>
        <v>0</v>
      </c>
      <c r="J470" s="16">
        <f t="shared" si="287"/>
        <v>0</v>
      </c>
      <c r="K470" s="16">
        <f t="shared" si="287"/>
        <v>0</v>
      </c>
      <c r="L470" s="16">
        <f t="shared" si="287"/>
        <v>0</v>
      </c>
      <c r="M470" s="16">
        <f t="shared" si="287"/>
        <v>0</v>
      </c>
    </row>
    <row r="471" spans="1:13" ht="12.75">
      <c r="A471" s="62" t="str">
        <f t="shared" si="284"/>
        <v>Off-Site Delivery Truck</v>
      </c>
      <c r="B471" s="4">
        <f>VLOOKUP($A471,'Vehicle EFs'!$A$38:$E$43,5,FALSE)</f>
        <v>0.0010216190026505838</v>
      </c>
      <c r="C471" s="16">
        <f aca="true" t="shared" si="288" ref="C471:M471">$B471*C222</f>
        <v>0</v>
      </c>
      <c r="D471" s="16">
        <f t="shared" si="288"/>
        <v>0.05108095013252919</v>
      </c>
      <c r="E471" s="16">
        <f t="shared" si="288"/>
        <v>0.05108095013252919</v>
      </c>
      <c r="F471" s="16">
        <f t="shared" si="288"/>
        <v>0.05108095013252919</v>
      </c>
      <c r="G471" s="16">
        <f t="shared" si="288"/>
        <v>0.05108095013252919</v>
      </c>
      <c r="H471" s="16">
        <f t="shared" si="288"/>
        <v>0.05108095013252919</v>
      </c>
      <c r="I471" s="16">
        <f t="shared" si="288"/>
        <v>0.05108095013252919</v>
      </c>
      <c r="J471" s="16">
        <f t="shared" si="288"/>
        <v>0.05108095013252919</v>
      </c>
      <c r="K471" s="16">
        <f t="shared" si="288"/>
        <v>0</v>
      </c>
      <c r="L471" s="16">
        <f t="shared" si="288"/>
        <v>0</v>
      </c>
      <c r="M471" s="16">
        <f t="shared" si="288"/>
        <v>0</v>
      </c>
    </row>
    <row r="472" spans="1:13" ht="12.75">
      <c r="A472" s="62" t="str">
        <f t="shared" si="284"/>
        <v>Off-Site Construction Worker Commute</v>
      </c>
      <c r="B472" s="4">
        <f>VLOOKUP($A472,'Vehicle EFs'!$A$38:$E$43,5,FALSE)</f>
        <v>0.0010216190026505838</v>
      </c>
      <c r="C472" s="16">
        <f aca="true" t="shared" si="289" ref="C472:M472">$B472*C223</f>
        <v>0.2145399905566226</v>
      </c>
      <c r="D472" s="16">
        <f t="shared" si="289"/>
        <v>0.7866466320409495</v>
      </c>
      <c r="E472" s="16">
        <f t="shared" si="289"/>
        <v>1.072699952783113</v>
      </c>
      <c r="F472" s="16">
        <f t="shared" si="289"/>
        <v>1.3587532735252765</v>
      </c>
      <c r="G472" s="16">
        <f t="shared" si="289"/>
        <v>1.2872399433397357</v>
      </c>
      <c r="H472" s="16">
        <f t="shared" si="289"/>
        <v>0.8581599622264904</v>
      </c>
      <c r="I472" s="16">
        <f t="shared" si="289"/>
        <v>0.8581599622264904</v>
      </c>
      <c r="J472" s="16">
        <f t="shared" si="289"/>
        <v>0.572106641484327</v>
      </c>
      <c r="K472" s="16">
        <f t="shared" si="289"/>
        <v>0.14302666037108175</v>
      </c>
      <c r="L472" s="16">
        <f t="shared" si="289"/>
        <v>0</v>
      </c>
      <c r="M472" s="16">
        <f t="shared" si="289"/>
        <v>0</v>
      </c>
    </row>
    <row r="473" spans="1:13" ht="12.75">
      <c r="A473" s="17" t="str">
        <f t="shared" si="284"/>
        <v>On-Site Motor Vehicle Total</v>
      </c>
      <c r="B473" s="17"/>
      <c r="C473" s="18">
        <f aca="true" t="shared" si="290" ref="C473:M473">C468</f>
        <v>0.08610634553028156</v>
      </c>
      <c r="D473" s="18">
        <f t="shared" si="290"/>
        <v>0.1722126910605631</v>
      </c>
      <c r="E473" s="18">
        <f t="shared" si="290"/>
        <v>0.1722126910605631</v>
      </c>
      <c r="F473" s="18">
        <f t="shared" si="290"/>
        <v>0.25831903659084465</v>
      </c>
      <c r="G473" s="18">
        <f t="shared" si="290"/>
        <v>0.25831903659084465</v>
      </c>
      <c r="H473" s="18">
        <f t="shared" si="290"/>
        <v>0.1722126910605631</v>
      </c>
      <c r="I473" s="18">
        <f t="shared" si="290"/>
        <v>0.1722126910605631</v>
      </c>
      <c r="J473" s="18">
        <f t="shared" si="290"/>
        <v>0.1722126910605631</v>
      </c>
      <c r="K473" s="18">
        <f t="shared" si="290"/>
        <v>0.08610634553028156</v>
      </c>
      <c r="L473" s="18">
        <f t="shared" si="290"/>
        <v>0</v>
      </c>
      <c r="M473" s="18">
        <f t="shared" si="290"/>
        <v>0</v>
      </c>
    </row>
    <row r="474" spans="1:13" ht="12.75">
      <c r="A474" s="17" t="str">
        <f t="shared" si="284"/>
        <v>Off-Site Motor Vehicle Total</v>
      </c>
      <c r="B474" s="17"/>
      <c r="C474" s="18">
        <f aca="true" t="shared" si="291" ref="C474:M474">SUM(C469:C472)</f>
        <v>0.26562094068915176</v>
      </c>
      <c r="D474" s="18">
        <f t="shared" si="291"/>
        <v>1.195294233101183</v>
      </c>
      <c r="E474" s="18">
        <f t="shared" si="291"/>
        <v>1.4813475538433465</v>
      </c>
      <c r="F474" s="18">
        <f t="shared" si="291"/>
        <v>1.460915173790335</v>
      </c>
      <c r="G474" s="18">
        <f t="shared" si="291"/>
        <v>1.3894018436047941</v>
      </c>
      <c r="H474" s="18">
        <f t="shared" si="291"/>
        <v>0.9092409123590196</v>
      </c>
      <c r="I474" s="18">
        <f t="shared" si="291"/>
        <v>0.9092409123590196</v>
      </c>
      <c r="J474" s="18">
        <f t="shared" si="291"/>
        <v>0.6231875916168562</v>
      </c>
      <c r="K474" s="18">
        <f t="shared" si="291"/>
        <v>0.14302666037108175</v>
      </c>
      <c r="L474" s="18">
        <f t="shared" si="291"/>
        <v>0</v>
      </c>
      <c r="M474" s="18">
        <f t="shared" si="291"/>
        <v>0</v>
      </c>
    </row>
    <row r="475" spans="1:13" ht="12.75">
      <c r="A475" s="17" t="str">
        <f t="shared" si="284"/>
        <v>Gas Line</v>
      </c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2.75">
      <c r="A476" s="62" t="str">
        <f aca="true" t="shared" si="292" ref="A476:A483">A453</f>
        <v>On-Site Pickup Truck</v>
      </c>
      <c r="B476" s="4">
        <f>VLOOKUP($A476,'Vehicle EFs'!$A$38:$E$43,5,FALSE)</f>
        <v>0.003444253821211262</v>
      </c>
      <c r="C476" s="16">
        <f>$B476*C236</f>
        <v>0.20665522927267574</v>
      </c>
      <c r="D476" s="16">
        <f aca="true" t="shared" si="293" ref="D476:M476">$B476*D236</f>
        <v>0.20665522927267574</v>
      </c>
      <c r="E476" s="16">
        <f t="shared" si="293"/>
        <v>0.20665522927267574</v>
      </c>
      <c r="F476" s="16">
        <f t="shared" si="293"/>
        <v>0.20665522927267574</v>
      </c>
      <c r="G476" s="16">
        <f t="shared" si="293"/>
        <v>0</v>
      </c>
      <c r="H476" s="16">
        <f t="shared" si="293"/>
        <v>0</v>
      </c>
      <c r="I476" s="16">
        <f t="shared" si="293"/>
        <v>0</v>
      </c>
      <c r="J476" s="16">
        <f t="shared" si="293"/>
        <v>0</v>
      </c>
      <c r="K476" s="16">
        <f t="shared" si="293"/>
        <v>0</v>
      </c>
      <c r="L476" s="16">
        <f t="shared" si="293"/>
        <v>0</v>
      </c>
      <c r="M476" s="16">
        <f t="shared" si="293"/>
        <v>0</v>
      </c>
    </row>
    <row r="477" spans="1:13" ht="12.75">
      <c r="A477" s="62" t="str">
        <f t="shared" si="292"/>
        <v>Off-Site Dump Truck</v>
      </c>
      <c r="B477" s="4">
        <f>VLOOKUP($A477,'Vehicle EFs'!$A$38:$E$43,5,FALSE)</f>
        <v>0.0010216190026505838</v>
      </c>
      <c r="C477" s="16">
        <f>$B477*C237</f>
        <v>0.09194571023855254</v>
      </c>
      <c r="D477" s="16">
        <f aca="true" t="shared" si="294" ref="D477:M477">$B477*D237</f>
        <v>0.09194571023855254</v>
      </c>
      <c r="E477" s="16">
        <f t="shared" si="294"/>
        <v>0.09194571023855254</v>
      </c>
      <c r="F477" s="16">
        <f t="shared" si="294"/>
        <v>0.09194571023855254</v>
      </c>
      <c r="G477" s="16">
        <f t="shared" si="294"/>
        <v>0</v>
      </c>
      <c r="H477" s="16">
        <f t="shared" si="294"/>
        <v>0</v>
      </c>
      <c r="I477" s="16">
        <f t="shared" si="294"/>
        <v>0</v>
      </c>
      <c r="J477" s="16">
        <f t="shared" si="294"/>
        <v>0</v>
      </c>
      <c r="K477" s="16">
        <f t="shared" si="294"/>
        <v>0</v>
      </c>
      <c r="L477" s="16">
        <f t="shared" si="294"/>
        <v>0</v>
      </c>
      <c r="M477" s="16">
        <f t="shared" si="294"/>
        <v>0</v>
      </c>
    </row>
    <row r="478" spans="1:13" ht="12.75">
      <c r="A478" s="62" t="str">
        <f t="shared" si="292"/>
        <v>On-Site Water Truck</v>
      </c>
      <c r="B478" s="4">
        <f>VLOOKUP($A478,'Vehicle EFs'!$A$38:$E$43,5,FALSE)</f>
        <v>0.12756495634115791</v>
      </c>
      <c r="C478" s="16">
        <f>$B478*C238</f>
        <v>2.5512991268231584</v>
      </c>
      <c r="D478" s="16">
        <f aca="true" t="shared" si="295" ref="D478:M478">$B478*D238</f>
        <v>2.5512991268231584</v>
      </c>
      <c r="E478" s="16">
        <f t="shared" si="295"/>
        <v>2.5512991268231584</v>
      </c>
      <c r="F478" s="16">
        <f t="shared" si="295"/>
        <v>2.5512991268231584</v>
      </c>
      <c r="G478" s="16">
        <f t="shared" si="295"/>
        <v>0</v>
      </c>
      <c r="H478" s="16">
        <f t="shared" si="295"/>
        <v>0</v>
      </c>
      <c r="I478" s="16">
        <f t="shared" si="295"/>
        <v>0</v>
      </c>
      <c r="J478" s="16">
        <f t="shared" si="295"/>
        <v>0</v>
      </c>
      <c r="K478" s="16">
        <f t="shared" si="295"/>
        <v>0</v>
      </c>
      <c r="L478" s="16">
        <f t="shared" si="295"/>
        <v>0</v>
      </c>
      <c r="M478" s="16">
        <f t="shared" si="295"/>
        <v>0</v>
      </c>
    </row>
    <row r="479" spans="1:13" ht="12.75">
      <c r="A479" s="62" t="str">
        <f t="shared" si="292"/>
        <v>Off-Site Concrete Truck</v>
      </c>
      <c r="B479" s="4">
        <f>VLOOKUP($A479,'Vehicle EFs'!$A$38:$E$43,5,FALSE)</f>
        <v>0.0010216190026505838</v>
      </c>
      <c r="C479" s="16">
        <f>$B479*C239</f>
        <v>0.08172952021204671</v>
      </c>
      <c r="D479" s="16">
        <f aca="true" t="shared" si="296" ref="D479:M479">$B479*D239</f>
        <v>0.08172952021204671</v>
      </c>
      <c r="E479" s="16">
        <f t="shared" si="296"/>
        <v>0.08172952021204671</v>
      </c>
      <c r="F479" s="16">
        <f t="shared" si="296"/>
        <v>0.08172952021204671</v>
      </c>
      <c r="G479" s="16">
        <f t="shared" si="296"/>
        <v>0</v>
      </c>
      <c r="H479" s="16">
        <f t="shared" si="296"/>
        <v>0</v>
      </c>
      <c r="I479" s="16">
        <f t="shared" si="296"/>
        <v>0</v>
      </c>
      <c r="J479" s="16">
        <f t="shared" si="296"/>
        <v>0</v>
      </c>
      <c r="K479" s="16">
        <f t="shared" si="296"/>
        <v>0</v>
      </c>
      <c r="L479" s="16">
        <f t="shared" si="296"/>
        <v>0</v>
      </c>
      <c r="M479" s="16">
        <f t="shared" si="296"/>
        <v>0</v>
      </c>
    </row>
    <row r="480" spans="1:13" ht="12.75">
      <c r="A480" s="62" t="str">
        <f t="shared" si="292"/>
        <v>Off-Site Delivery Truck</v>
      </c>
      <c r="B480" s="4">
        <f>VLOOKUP($A480,'Vehicle EFs'!$A$38:$E$43,5,FALSE)</f>
        <v>0.0010216190026505838</v>
      </c>
      <c r="C480" s="16">
        <f aca="true" t="shared" si="297" ref="C480:M480">$B480*C240</f>
        <v>0.08172952021204671</v>
      </c>
      <c r="D480" s="16">
        <f t="shared" si="297"/>
        <v>0.08172952021204671</v>
      </c>
      <c r="E480" s="16">
        <f t="shared" si="297"/>
        <v>0.08172952021204671</v>
      </c>
      <c r="F480" s="16">
        <f t="shared" si="297"/>
        <v>0.08172952021204671</v>
      </c>
      <c r="G480" s="16">
        <f t="shared" si="297"/>
        <v>0</v>
      </c>
      <c r="H480" s="16">
        <f t="shared" si="297"/>
        <v>0</v>
      </c>
      <c r="I480" s="16">
        <f t="shared" si="297"/>
        <v>0</v>
      </c>
      <c r="J480" s="16">
        <f t="shared" si="297"/>
        <v>0</v>
      </c>
      <c r="K480" s="16">
        <f t="shared" si="297"/>
        <v>0</v>
      </c>
      <c r="L480" s="16">
        <f t="shared" si="297"/>
        <v>0</v>
      </c>
      <c r="M480" s="16">
        <f t="shared" si="297"/>
        <v>0</v>
      </c>
    </row>
    <row r="481" spans="1:13" ht="12.75">
      <c r="A481" s="62" t="str">
        <f t="shared" si="292"/>
        <v>Off-Site Construction Worker Commute</v>
      </c>
      <c r="B481" s="4">
        <f>VLOOKUP($A481,'Vehicle EFs'!$A$38:$E$43,5,FALSE)</f>
        <v>0.0010216190026505838</v>
      </c>
      <c r="C481" s="16">
        <f aca="true" t="shared" si="298" ref="C481:M481">$B481*C241</f>
        <v>1.634590404240934</v>
      </c>
      <c r="D481" s="16">
        <f t="shared" si="298"/>
        <v>1.634590404240934</v>
      </c>
      <c r="E481" s="16">
        <f t="shared" si="298"/>
        <v>1.634590404240934</v>
      </c>
      <c r="F481" s="16">
        <f t="shared" si="298"/>
        <v>1.634590404240934</v>
      </c>
      <c r="G481" s="16">
        <f t="shared" si="298"/>
        <v>0</v>
      </c>
      <c r="H481" s="16">
        <f t="shared" si="298"/>
        <v>0</v>
      </c>
      <c r="I481" s="16">
        <f t="shared" si="298"/>
        <v>0</v>
      </c>
      <c r="J481" s="16">
        <f t="shared" si="298"/>
        <v>0</v>
      </c>
      <c r="K481" s="16">
        <f t="shared" si="298"/>
        <v>0</v>
      </c>
      <c r="L481" s="16">
        <f t="shared" si="298"/>
        <v>0</v>
      </c>
      <c r="M481" s="16">
        <f t="shared" si="298"/>
        <v>0</v>
      </c>
    </row>
    <row r="482" spans="1:13" ht="12.75">
      <c r="A482" s="17" t="str">
        <f t="shared" si="292"/>
        <v>On-Site Motor Vehicle Total</v>
      </c>
      <c r="B482" s="17"/>
      <c r="C482" s="18">
        <f>C476+C478</f>
        <v>2.757954356095834</v>
      </c>
      <c r="D482" s="18">
        <f aca="true" t="shared" si="299" ref="D482:M482">D476+D478</f>
        <v>2.757954356095834</v>
      </c>
      <c r="E482" s="18">
        <f t="shared" si="299"/>
        <v>2.757954356095834</v>
      </c>
      <c r="F482" s="18">
        <f t="shared" si="299"/>
        <v>2.757954356095834</v>
      </c>
      <c r="G482" s="18">
        <f t="shared" si="299"/>
        <v>0</v>
      </c>
      <c r="H482" s="18">
        <f t="shared" si="299"/>
        <v>0</v>
      </c>
      <c r="I482" s="18">
        <f t="shared" si="299"/>
        <v>0</v>
      </c>
      <c r="J482" s="18">
        <f t="shared" si="299"/>
        <v>0</v>
      </c>
      <c r="K482" s="18">
        <f t="shared" si="299"/>
        <v>0</v>
      </c>
      <c r="L482" s="18">
        <f t="shared" si="299"/>
        <v>0</v>
      </c>
      <c r="M482" s="18">
        <f t="shared" si="299"/>
        <v>0</v>
      </c>
    </row>
    <row r="483" spans="1:13" ht="12.75">
      <c r="A483" s="17" t="str">
        <f t="shared" si="292"/>
        <v>Off-Site Motor Vehicle Total</v>
      </c>
      <c r="B483" s="17"/>
      <c r="C483" s="18">
        <f>C477+SUM(C479:C481)</f>
        <v>1.88999515490358</v>
      </c>
      <c r="D483" s="18">
        <f aca="true" t="shared" si="300" ref="D483:M483">D477+SUM(D479:D481)</f>
        <v>1.88999515490358</v>
      </c>
      <c r="E483" s="18">
        <f t="shared" si="300"/>
        <v>1.88999515490358</v>
      </c>
      <c r="F483" s="18">
        <f t="shared" si="300"/>
        <v>1.88999515490358</v>
      </c>
      <c r="G483" s="18">
        <f t="shared" si="300"/>
        <v>0</v>
      </c>
      <c r="H483" s="18">
        <f t="shared" si="300"/>
        <v>0</v>
      </c>
      <c r="I483" s="18">
        <f t="shared" si="300"/>
        <v>0</v>
      </c>
      <c r="J483" s="18">
        <f t="shared" si="300"/>
        <v>0</v>
      </c>
      <c r="K483" s="18">
        <f t="shared" si="300"/>
        <v>0</v>
      </c>
      <c r="L483" s="18">
        <f t="shared" si="300"/>
        <v>0</v>
      </c>
      <c r="M483" s="18">
        <f t="shared" si="300"/>
        <v>0</v>
      </c>
    </row>
    <row r="484" ht="12.75">
      <c r="A484" s="19" t="s">
        <v>43</v>
      </c>
    </row>
    <row r="485" ht="12.75">
      <c r="A485" s="19"/>
    </row>
    <row r="486" spans="1:13" ht="12.75">
      <c r="A486" s="133" t="s">
        <v>222</v>
      </c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</row>
    <row r="487" spans="1:13" ht="12.75">
      <c r="A487" s="134" t="str">
        <f>$B$1&amp;" Equipment and Motor Vehicle Exhaust PM2.5 Emissions"</f>
        <v>Mira Loma Construction Equipment and Motor Vehicle Exhaust PM2.5 Emissions</v>
      </c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2" t="str">
        <f>A465</f>
        <v>Equipment/Vehicle Type</v>
      </c>
      <c r="B488" s="142" t="s">
        <v>154</v>
      </c>
      <c r="C488" s="132" t="s">
        <v>166</v>
      </c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</row>
    <row r="489" spans="1:13" ht="12.75">
      <c r="A489" s="141"/>
      <c r="B489" s="138"/>
      <c r="C489" s="63">
        <f>C422</f>
        <v>39139</v>
      </c>
      <c r="D489" s="63">
        <f aca="true" t="shared" si="301" ref="D489:M489">D422</f>
        <v>39153</v>
      </c>
      <c r="E489" s="63">
        <f t="shared" si="301"/>
        <v>39167</v>
      </c>
      <c r="F489" s="63">
        <f t="shared" si="301"/>
        <v>39181</v>
      </c>
      <c r="G489" s="63">
        <f t="shared" si="301"/>
        <v>39195</v>
      </c>
      <c r="H489" s="63">
        <f t="shared" si="301"/>
        <v>39209</v>
      </c>
      <c r="I489" s="63">
        <f t="shared" si="301"/>
        <v>39223</v>
      </c>
      <c r="J489" s="63">
        <f t="shared" si="301"/>
        <v>39237</v>
      </c>
      <c r="K489" s="63">
        <f t="shared" si="301"/>
        <v>39251</v>
      </c>
      <c r="L489" s="63">
        <f t="shared" si="301"/>
        <v>39265</v>
      </c>
      <c r="M489" s="63">
        <f t="shared" si="301"/>
        <v>39279</v>
      </c>
    </row>
    <row r="490" spans="1:13" ht="12.75">
      <c r="A490" s="17" t="str">
        <f>A423</f>
        <v>Power Plant</v>
      </c>
      <c r="B490" s="92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1:13" ht="12.75">
      <c r="A491" s="17" t="str">
        <f>A424</f>
        <v>Construction Equipment</v>
      </c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62" t="str">
        <f>A425</f>
        <v>Welding rigs</v>
      </c>
      <c r="B492" s="4">
        <f>VLOOKUP(A492,'Const. Equip. EFs'!$A$5:$J$19,10,FALSE)</f>
        <v>0.02914710146143645</v>
      </c>
      <c r="C492" s="16">
        <f aca="true" t="shared" si="302" ref="C492:M492">$B492*C212</f>
        <v>0.3497652175372374</v>
      </c>
      <c r="D492" s="16">
        <f t="shared" si="302"/>
        <v>0.3497652175372374</v>
      </c>
      <c r="E492" s="16">
        <f t="shared" si="302"/>
        <v>0.3497652175372374</v>
      </c>
      <c r="F492" s="16">
        <f t="shared" si="302"/>
        <v>0.3497652175372374</v>
      </c>
      <c r="G492" s="16">
        <f t="shared" si="302"/>
        <v>0.3497652175372374</v>
      </c>
      <c r="H492" s="16">
        <f t="shared" si="302"/>
        <v>0.3497652175372374</v>
      </c>
      <c r="I492" s="16">
        <f t="shared" si="302"/>
        <v>0.1748826087686187</v>
      </c>
      <c r="J492" s="16">
        <f t="shared" si="302"/>
        <v>0.1748826087686187</v>
      </c>
      <c r="K492" s="16">
        <f t="shared" si="302"/>
        <v>0</v>
      </c>
      <c r="L492" s="16">
        <f t="shared" si="302"/>
        <v>0</v>
      </c>
      <c r="M492" s="16">
        <f t="shared" si="302"/>
        <v>0</v>
      </c>
    </row>
    <row r="493" spans="1:13" ht="12.75">
      <c r="A493" s="62" t="str">
        <f aca="true" t="shared" si="303" ref="A493:A527">A426</f>
        <v>Backhoe</v>
      </c>
      <c r="B493" s="4">
        <f>VLOOKUP(A493,'Const. Equip. EFs'!$A$5:$J$19,10,FALSE)</f>
        <v>0.05840104785682424</v>
      </c>
      <c r="C493" s="16">
        <f aca="true" t="shared" si="304" ref="C493:M493">$B493*C213</f>
        <v>0.35040628714094546</v>
      </c>
      <c r="D493" s="16">
        <f t="shared" si="304"/>
        <v>0.7008125742818909</v>
      </c>
      <c r="E493" s="16">
        <f t="shared" si="304"/>
        <v>0.7008125742818909</v>
      </c>
      <c r="F493" s="16">
        <f t="shared" si="304"/>
        <v>0.35040628714094546</v>
      </c>
      <c r="G493" s="16">
        <f t="shared" si="304"/>
        <v>0.35040628714094546</v>
      </c>
      <c r="H493" s="16">
        <f t="shared" si="304"/>
        <v>0</v>
      </c>
      <c r="I493" s="16">
        <f t="shared" si="304"/>
        <v>0</v>
      </c>
      <c r="J493" s="16">
        <f t="shared" si="304"/>
        <v>0</v>
      </c>
      <c r="K493" s="16">
        <f t="shared" si="304"/>
        <v>0</v>
      </c>
      <c r="L493" s="16">
        <f t="shared" si="304"/>
        <v>0</v>
      </c>
      <c r="M493" s="16">
        <f t="shared" si="304"/>
        <v>0</v>
      </c>
    </row>
    <row r="494" spans="1:13" ht="12.75">
      <c r="A494" s="62" t="str">
        <f t="shared" si="303"/>
        <v>Compressor</v>
      </c>
      <c r="B494" s="4">
        <f>VLOOKUP(A494,'Const. Equip. EFs'!$A$5:$J$19,10,FALSE)</f>
        <v>0.02666430885319729</v>
      </c>
      <c r="C494" s="16">
        <f aca="true" t="shared" si="305" ref="C494:M494">$B494*C214</f>
        <v>0.15998585311918373</v>
      </c>
      <c r="D494" s="16">
        <f t="shared" si="305"/>
        <v>0.31997170623836746</v>
      </c>
      <c r="E494" s="16">
        <f t="shared" si="305"/>
        <v>0.6399434124767349</v>
      </c>
      <c r="F494" s="16">
        <f t="shared" si="305"/>
        <v>0.6399434124767349</v>
      </c>
      <c r="G494" s="16">
        <f t="shared" si="305"/>
        <v>0.6399434124767349</v>
      </c>
      <c r="H494" s="16">
        <f t="shared" si="305"/>
        <v>0.4799575593575512</v>
      </c>
      <c r="I494" s="16">
        <f t="shared" si="305"/>
        <v>0.31997170623836746</v>
      </c>
      <c r="J494" s="16">
        <f t="shared" si="305"/>
        <v>0.31997170623836746</v>
      </c>
      <c r="K494" s="16">
        <f t="shared" si="305"/>
        <v>0</v>
      </c>
      <c r="L494" s="16">
        <f t="shared" si="305"/>
        <v>0</v>
      </c>
      <c r="M494" s="16">
        <f t="shared" si="305"/>
        <v>0</v>
      </c>
    </row>
    <row r="495" spans="1:13" ht="12.75">
      <c r="A495" s="62" t="str">
        <f t="shared" si="303"/>
        <v>Front-end  loader</v>
      </c>
      <c r="B495" s="4">
        <f>VLOOKUP(A495,'Const. Equip. EFs'!$A$5:$J$19,10,FALSE)</f>
        <v>0.0707329663190049</v>
      </c>
      <c r="C495" s="16">
        <f aca="true" t="shared" si="306" ref="C495:M495">$B495*C215</f>
        <v>0</v>
      </c>
      <c r="D495" s="16">
        <f t="shared" si="306"/>
        <v>0.42439779791402943</v>
      </c>
      <c r="E495" s="16">
        <f t="shared" si="306"/>
        <v>0.42439779791402943</v>
      </c>
      <c r="F495" s="16">
        <f t="shared" si="306"/>
        <v>0.42439779791402943</v>
      </c>
      <c r="G495" s="16">
        <f t="shared" si="306"/>
        <v>0.42439779791402943</v>
      </c>
      <c r="H495" s="16">
        <f t="shared" si="306"/>
        <v>0</v>
      </c>
      <c r="I495" s="16">
        <f t="shared" si="306"/>
        <v>0</v>
      </c>
      <c r="J495" s="16">
        <f t="shared" si="306"/>
        <v>0</v>
      </c>
      <c r="K495" s="16">
        <f t="shared" si="306"/>
        <v>0</v>
      </c>
      <c r="L495" s="16">
        <f t="shared" si="306"/>
        <v>0</v>
      </c>
      <c r="M495" s="16">
        <f t="shared" si="306"/>
        <v>0</v>
      </c>
    </row>
    <row r="496" spans="1:13" ht="12.75">
      <c r="A496" s="62" t="str">
        <f t="shared" si="303"/>
        <v>15 ton crane</v>
      </c>
      <c r="B496" s="4">
        <f>VLOOKUP(A496,'Const. Equip. EFs'!$A$5:$J$19,10,FALSE)</f>
        <v>0.05655671841669609</v>
      </c>
      <c r="C496" s="16">
        <f aca="true" t="shared" si="307" ref="C496:M496">$B496*C216</f>
        <v>0</v>
      </c>
      <c r="D496" s="16">
        <f t="shared" si="307"/>
        <v>0.33934031050017655</v>
      </c>
      <c r="E496" s="16">
        <f t="shared" si="307"/>
        <v>0.33934031050017655</v>
      </c>
      <c r="F496" s="16">
        <f t="shared" si="307"/>
        <v>1.0180209315005297</v>
      </c>
      <c r="G496" s="16">
        <f t="shared" si="307"/>
        <v>0.6786806210003531</v>
      </c>
      <c r="H496" s="16">
        <f t="shared" si="307"/>
        <v>0.6786806210003531</v>
      </c>
      <c r="I496" s="16">
        <f t="shared" si="307"/>
        <v>0.6786806210003531</v>
      </c>
      <c r="J496" s="16">
        <f t="shared" si="307"/>
        <v>0.6786806210003531</v>
      </c>
      <c r="K496" s="16">
        <f t="shared" si="307"/>
        <v>0</v>
      </c>
      <c r="L496" s="16">
        <f t="shared" si="307"/>
        <v>0</v>
      </c>
      <c r="M496" s="16">
        <f t="shared" si="307"/>
        <v>0</v>
      </c>
    </row>
    <row r="497" spans="1:13" ht="12.75">
      <c r="A497" s="62" t="str">
        <f t="shared" si="303"/>
        <v>75 ton crane</v>
      </c>
      <c r="B497" s="4">
        <f>VLOOKUP(A497,'Const. Equip. EFs'!$A$5:$J$19,10,FALSE)</f>
        <v>0.052526606556538694</v>
      </c>
      <c r="C497" s="16">
        <f aca="true" t="shared" si="308" ref="C497:M497">$B497*C217</f>
        <v>0</v>
      </c>
      <c r="D497" s="16">
        <f t="shared" si="308"/>
        <v>0</v>
      </c>
      <c r="E497" s="16">
        <f t="shared" si="308"/>
        <v>0</v>
      </c>
      <c r="F497" s="16">
        <f t="shared" si="308"/>
        <v>0.3151596393392322</v>
      </c>
      <c r="G497" s="16">
        <f t="shared" si="308"/>
        <v>0</v>
      </c>
      <c r="H497" s="16">
        <f t="shared" si="308"/>
        <v>0</v>
      </c>
      <c r="I497" s="16">
        <f t="shared" si="308"/>
        <v>0</v>
      </c>
      <c r="J497" s="16">
        <f t="shared" si="308"/>
        <v>0</v>
      </c>
      <c r="K497" s="16">
        <f t="shared" si="308"/>
        <v>0</v>
      </c>
      <c r="L497" s="16">
        <f t="shared" si="308"/>
        <v>0</v>
      </c>
      <c r="M497" s="16">
        <f t="shared" si="308"/>
        <v>0</v>
      </c>
    </row>
    <row r="498" spans="1:13" ht="12.75">
      <c r="A498" s="17" t="str">
        <f t="shared" si="303"/>
        <v>Construction Equipment Total</v>
      </c>
      <c r="B498" s="17"/>
      <c r="C498" s="18">
        <f aca="true" t="shared" si="309" ref="C498:M498">SUM(C492:C497)</f>
        <v>0.8601573577973667</v>
      </c>
      <c r="D498" s="18">
        <f t="shared" si="309"/>
        <v>2.134287606471702</v>
      </c>
      <c r="E498" s="18">
        <f t="shared" si="309"/>
        <v>2.4542593127100694</v>
      </c>
      <c r="F498" s="18">
        <f t="shared" si="309"/>
        <v>3.097693285908709</v>
      </c>
      <c r="G498" s="18">
        <f t="shared" si="309"/>
        <v>2.4431933360693003</v>
      </c>
      <c r="H498" s="18">
        <f t="shared" si="309"/>
        <v>1.5084033978951417</v>
      </c>
      <c r="I498" s="18">
        <f t="shared" si="309"/>
        <v>1.1735349360073393</v>
      </c>
      <c r="J498" s="18">
        <f t="shared" si="309"/>
        <v>1.1735349360073393</v>
      </c>
      <c r="K498" s="18">
        <f t="shared" si="309"/>
        <v>0</v>
      </c>
      <c r="L498" s="18">
        <f t="shared" si="309"/>
        <v>0</v>
      </c>
      <c r="M498" s="18">
        <f t="shared" si="309"/>
        <v>0</v>
      </c>
    </row>
    <row r="499" spans="1:13" ht="12.75">
      <c r="A499" s="17" t="str">
        <f t="shared" si="303"/>
        <v>Motor Vehicles</v>
      </c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62" t="str">
        <f t="shared" si="303"/>
        <v>On-Site Pickup Truck</v>
      </c>
      <c r="B500" s="4">
        <f>VLOOKUP($A500,'Vehicle EFs'!$A$22:$G$27,7,FALSE)</f>
        <v>7.355250940337735E-05</v>
      </c>
      <c r="C500" s="16">
        <f aca="true" t="shared" si="310" ref="C500:M500">$B500*C219</f>
        <v>0.0018388127350844339</v>
      </c>
      <c r="D500" s="16">
        <f t="shared" si="310"/>
        <v>0.0036776254701688677</v>
      </c>
      <c r="E500" s="16">
        <f t="shared" si="310"/>
        <v>0.0036776254701688677</v>
      </c>
      <c r="F500" s="16">
        <f t="shared" si="310"/>
        <v>0.005516438205253302</v>
      </c>
      <c r="G500" s="16">
        <f t="shared" si="310"/>
        <v>0.005516438205253302</v>
      </c>
      <c r="H500" s="16">
        <f t="shared" si="310"/>
        <v>0.0036776254701688677</v>
      </c>
      <c r="I500" s="16">
        <f t="shared" si="310"/>
        <v>0.0036776254701688677</v>
      </c>
      <c r="J500" s="16">
        <f t="shared" si="310"/>
        <v>0.0036776254701688677</v>
      </c>
      <c r="K500" s="16">
        <f t="shared" si="310"/>
        <v>0.0018388127350844339</v>
      </c>
      <c r="L500" s="16">
        <f t="shared" si="310"/>
        <v>0</v>
      </c>
      <c r="M500" s="16">
        <f t="shared" si="310"/>
        <v>0</v>
      </c>
    </row>
    <row r="501" spans="1:13" ht="12.75">
      <c r="A501" s="62" t="str">
        <f t="shared" si="303"/>
        <v>Off-Site Dump Truck</v>
      </c>
      <c r="B501" s="4">
        <f>VLOOKUP($A501,'Vehicle EFs'!$A$22:$G$27,7,FALSE)</f>
        <v>0.0005976980419441408</v>
      </c>
      <c r="C501" s="16">
        <f aca="true" t="shared" si="311" ref="C501:M501">$B501*C220</f>
        <v>0.02988490209720704</v>
      </c>
      <c r="D501" s="16">
        <f t="shared" si="311"/>
        <v>0.05976980419441408</v>
      </c>
      <c r="E501" s="16">
        <f t="shared" si="311"/>
        <v>0.05976980419441408</v>
      </c>
      <c r="F501" s="16">
        <f t="shared" si="311"/>
        <v>0.02988490209720704</v>
      </c>
      <c r="G501" s="16">
        <f t="shared" si="311"/>
        <v>0.02988490209720704</v>
      </c>
      <c r="H501" s="16">
        <f t="shared" si="311"/>
        <v>0</v>
      </c>
      <c r="I501" s="16">
        <f t="shared" si="311"/>
        <v>0</v>
      </c>
      <c r="J501" s="16">
        <f t="shared" si="311"/>
        <v>0</v>
      </c>
      <c r="K501" s="16">
        <f t="shared" si="311"/>
        <v>0</v>
      </c>
      <c r="L501" s="16">
        <f t="shared" si="311"/>
        <v>0</v>
      </c>
      <c r="M501" s="16">
        <f t="shared" si="311"/>
        <v>0</v>
      </c>
    </row>
    <row r="502" spans="1:13" ht="12.75">
      <c r="A502" s="62" t="str">
        <f t="shared" si="303"/>
        <v>Off-Site Concrete Truck</v>
      </c>
      <c r="B502" s="4">
        <f>VLOOKUP($A502,'Vehicle EFs'!$A$22:$G$27,7,FALSE)</f>
        <v>0.0005976980419441408</v>
      </c>
      <c r="C502" s="16">
        <f aca="true" t="shared" si="312" ref="C502:M502">$B502*C221</f>
        <v>0</v>
      </c>
      <c r="D502" s="16">
        <f t="shared" si="312"/>
        <v>0.1494245104860352</v>
      </c>
      <c r="E502" s="16">
        <f t="shared" si="312"/>
        <v>0.1494245104860352</v>
      </c>
      <c r="F502" s="16">
        <f t="shared" si="312"/>
        <v>0</v>
      </c>
      <c r="G502" s="16">
        <f t="shared" si="312"/>
        <v>0</v>
      </c>
      <c r="H502" s="16">
        <f t="shared" si="312"/>
        <v>0</v>
      </c>
      <c r="I502" s="16">
        <f t="shared" si="312"/>
        <v>0</v>
      </c>
      <c r="J502" s="16">
        <f t="shared" si="312"/>
        <v>0</v>
      </c>
      <c r="K502" s="16">
        <f t="shared" si="312"/>
        <v>0</v>
      </c>
      <c r="L502" s="16">
        <f t="shared" si="312"/>
        <v>0</v>
      </c>
      <c r="M502" s="16">
        <f t="shared" si="312"/>
        <v>0</v>
      </c>
    </row>
    <row r="503" spans="1:13" ht="12.75">
      <c r="A503" s="62" t="str">
        <f t="shared" si="303"/>
        <v>Off-Site Delivery Truck</v>
      </c>
      <c r="B503" s="4">
        <f>VLOOKUP($A503,'Vehicle EFs'!$A$22:$G$27,7,FALSE)</f>
        <v>0.0005976980419441408</v>
      </c>
      <c r="C503" s="16">
        <f aca="true" t="shared" si="313" ref="C503:M503">$B503*C222</f>
        <v>0</v>
      </c>
      <c r="D503" s="16">
        <f t="shared" si="313"/>
        <v>0.02988490209720704</v>
      </c>
      <c r="E503" s="16">
        <f t="shared" si="313"/>
        <v>0.02988490209720704</v>
      </c>
      <c r="F503" s="16">
        <f t="shared" si="313"/>
        <v>0.02988490209720704</v>
      </c>
      <c r="G503" s="16">
        <f t="shared" si="313"/>
        <v>0.02988490209720704</v>
      </c>
      <c r="H503" s="16">
        <f t="shared" si="313"/>
        <v>0.02988490209720704</v>
      </c>
      <c r="I503" s="16">
        <f t="shared" si="313"/>
        <v>0.02988490209720704</v>
      </c>
      <c r="J503" s="16">
        <f t="shared" si="313"/>
        <v>0.02988490209720704</v>
      </c>
      <c r="K503" s="16">
        <f t="shared" si="313"/>
        <v>0</v>
      </c>
      <c r="L503" s="16">
        <f t="shared" si="313"/>
        <v>0</v>
      </c>
      <c r="M503" s="16">
        <f t="shared" si="313"/>
        <v>0</v>
      </c>
    </row>
    <row r="504" spans="1:13" ht="12.75">
      <c r="A504" s="62" t="str">
        <f t="shared" si="303"/>
        <v>Off-Site Construction Worker Commute</v>
      </c>
      <c r="B504" s="4">
        <f>VLOOKUP($A504,'Vehicle EFs'!$A$22:$G$27,7,FALSE)</f>
        <v>7.355250940337735E-05</v>
      </c>
      <c r="C504" s="16">
        <f aca="true" t="shared" si="314" ref="C504:M504">$B504*C223</f>
        <v>0.015446026974709244</v>
      </c>
      <c r="D504" s="16">
        <f t="shared" si="314"/>
        <v>0.05663543224060056</v>
      </c>
      <c r="E504" s="16">
        <f t="shared" si="314"/>
        <v>0.07723013487354623</v>
      </c>
      <c r="F504" s="16">
        <f t="shared" si="314"/>
        <v>0.09782483750649187</v>
      </c>
      <c r="G504" s="16">
        <f t="shared" si="314"/>
        <v>0.09267616184825546</v>
      </c>
      <c r="H504" s="16">
        <f t="shared" si="314"/>
        <v>0.061784107898836975</v>
      </c>
      <c r="I504" s="16">
        <f t="shared" si="314"/>
        <v>0.061784107898836975</v>
      </c>
      <c r="J504" s="16">
        <f t="shared" si="314"/>
        <v>0.041189405265891314</v>
      </c>
      <c r="K504" s="16">
        <f t="shared" si="314"/>
        <v>0.010297351316472829</v>
      </c>
      <c r="L504" s="16">
        <f t="shared" si="314"/>
        <v>0</v>
      </c>
      <c r="M504" s="16">
        <f t="shared" si="314"/>
        <v>0</v>
      </c>
    </row>
    <row r="505" spans="1:13" ht="12.75">
      <c r="A505" s="17" t="str">
        <f t="shared" si="303"/>
        <v>On-Site Motor Vehicle Total</v>
      </c>
      <c r="B505" s="17"/>
      <c r="C505" s="18">
        <f aca="true" t="shared" si="315" ref="C505:M505">C500</f>
        <v>0.0018388127350844339</v>
      </c>
      <c r="D505" s="18">
        <f t="shared" si="315"/>
        <v>0.0036776254701688677</v>
      </c>
      <c r="E505" s="18">
        <f t="shared" si="315"/>
        <v>0.0036776254701688677</v>
      </c>
      <c r="F505" s="18">
        <f t="shared" si="315"/>
        <v>0.005516438205253302</v>
      </c>
      <c r="G505" s="18">
        <f t="shared" si="315"/>
        <v>0.005516438205253302</v>
      </c>
      <c r="H505" s="18">
        <f t="shared" si="315"/>
        <v>0.0036776254701688677</v>
      </c>
      <c r="I505" s="18">
        <f t="shared" si="315"/>
        <v>0.0036776254701688677</v>
      </c>
      <c r="J505" s="18">
        <f t="shared" si="315"/>
        <v>0.0036776254701688677</v>
      </c>
      <c r="K505" s="18">
        <f t="shared" si="315"/>
        <v>0.0018388127350844339</v>
      </c>
      <c r="L505" s="18">
        <f t="shared" si="315"/>
        <v>0</v>
      </c>
      <c r="M505" s="18">
        <f t="shared" si="315"/>
        <v>0</v>
      </c>
    </row>
    <row r="506" spans="1:13" ht="12.75">
      <c r="A506" s="17" t="str">
        <f t="shared" si="303"/>
        <v>Off-Site Motor Vehicle Total</v>
      </c>
      <c r="B506" s="17"/>
      <c r="C506" s="18">
        <f aca="true" t="shared" si="316" ref="C506:M506">SUM(C501:C504)</f>
        <v>0.045330929071916284</v>
      </c>
      <c r="D506" s="18">
        <f t="shared" si="316"/>
        <v>0.2957146490182569</v>
      </c>
      <c r="E506" s="18">
        <f t="shared" si="316"/>
        <v>0.31630935165120255</v>
      </c>
      <c r="F506" s="18">
        <f t="shared" si="316"/>
        <v>0.15759464170090595</v>
      </c>
      <c r="G506" s="18">
        <f t="shared" si="316"/>
        <v>0.15244596604266952</v>
      </c>
      <c r="H506" s="18">
        <f t="shared" si="316"/>
        <v>0.09166900999604402</v>
      </c>
      <c r="I506" s="18">
        <f t="shared" si="316"/>
        <v>0.09166900999604402</v>
      </c>
      <c r="J506" s="18">
        <f t="shared" si="316"/>
        <v>0.07107430736309836</v>
      </c>
      <c r="K506" s="18">
        <f t="shared" si="316"/>
        <v>0.010297351316472829</v>
      </c>
      <c r="L506" s="18">
        <f t="shared" si="316"/>
        <v>0</v>
      </c>
      <c r="M506" s="18">
        <f t="shared" si="316"/>
        <v>0</v>
      </c>
    </row>
    <row r="507" spans="1:13" ht="12.75">
      <c r="A507" s="17" t="str">
        <f t="shared" si="303"/>
        <v>Gas Line</v>
      </c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2.75">
      <c r="A508" s="17" t="str">
        <f t="shared" si="303"/>
        <v>Construction Equipment</v>
      </c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2.75">
      <c r="A509" s="62" t="str">
        <f t="shared" si="303"/>
        <v>Gas Line Welding rigs</v>
      </c>
      <c r="B509" s="4">
        <f>VLOOKUP(A509,'Const. Equip. EFs'!$A$5:$J$19,10,FALSE)</f>
        <v>0.02914710146143645</v>
      </c>
      <c r="C509" s="16">
        <f aca="true" t="shared" si="317" ref="C509:M509">$B509*C226</f>
        <v>0.6995304350744748</v>
      </c>
      <c r="D509" s="16">
        <f t="shared" si="317"/>
        <v>0.6995304350744748</v>
      </c>
      <c r="E509" s="16">
        <f t="shared" si="317"/>
        <v>0.6995304350744748</v>
      </c>
      <c r="F509" s="16">
        <f t="shared" si="317"/>
        <v>0.6995304350744748</v>
      </c>
      <c r="G509" s="16">
        <f t="shared" si="317"/>
        <v>0</v>
      </c>
      <c r="H509" s="16">
        <f t="shared" si="317"/>
        <v>0</v>
      </c>
      <c r="I509" s="16">
        <f t="shared" si="317"/>
        <v>0</v>
      </c>
      <c r="J509" s="16">
        <f t="shared" si="317"/>
        <v>0</v>
      </c>
      <c r="K509" s="16">
        <f t="shared" si="317"/>
        <v>0</v>
      </c>
      <c r="L509" s="16">
        <f t="shared" si="317"/>
        <v>0</v>
      </c>
      <c r="M509" s="16">
        <f t="shared" si="317"/>
        <v>0</v>
      </c>
    </row>
    <row r="510" spans="1:13" ht="12.75">
      <c r="A510" s="62" t="str">
        <f t="shared" si="303"/>
        <v>Gas Line Backhoe</v>
      </c>
      <c r="B510" s="4">
        <f>VLOOKUP(A510,'Const. Equip. EFs'!$A$5:$J$19,10,FALSE)</f>
        <v>0.05840104785682424</v>
      </c>
      <c r="C510" s="16">
        <f aca="true" t="shared" si="318" ref="C510:M510">$B510*C227</f>
        <v>0.35040628714094546</v>
      </c>
      <c r="D510" s="16">
        <f t="shared" si="318"/>
        <v>0.35040628714094546</v>
      </c>
      <c r="E510" s="16">
        <f t="shared" si="318"/>
        <v>0.35040628714094546</v>
      </c>
      <c r="F510" s="16">
        <f t="shared" si="318"/>
        <v>0.35040628714094546</v>
      </c>
      <c r="G510" s="16">
        <f t="shared" si="318"/>
        <v>0</v>
      </c>
      <c r="H510" s="16">
        <f t="shared" si="318"/>
        <v>0</v>
      </c>
      <c r="I510" s="16">
        <f t="shared" si="318"/>
        <v>0</v>
      </c>
      <c r="J510" s="16">
        <f t="shared" si="318"/>
        <v>0</v>
      </c>
      <c r="K510" s="16">
        <f t="shared" si="318"/>
        <v>0</v>
      </c>
      <c r="L510" s="16">
        <f t="shared" si="318"/>
        <v>0</v>
      </c>
      <c r="M510" s="16">
        <f t="shared" si="318"/>
        <v>0</v>
      </c>
    </row>
    <row r="511" spans="1:13" ht="12.75">
      <c r="A511" s="62" t="str">
        <f t="shared" si="303"/>
        <v>Gas Line Compressor</v>
      </c>
      <c r="B511" s="4">
        <f>VLOOKUP(A511,'Const. Equip. EFs'!$A$5:$J$19,10,FALSE)</f>
        <v>0.02666430885319729</v>
      </c>
      <c r="C511" s="16">
        <f aca="true" t="shared" si="319" ref="C511:M511">$B511*C228</f>
        <v>0.15998585311918373</v>
      </c>
      <c r="D511" s="16">
        <f t="shared" si="319"/>
        <v>0.15998585311918373</v>
      </c>
      <c r="E511" s="16">
        <f t="shared" si="319"/>
        <v>0.15998585311918373</v>
      </c>
      <c r="F511" s="16">
        <f t="shared" si="319"/>
        <v>0.15998585311918373</v>
      </c>
      <c r="G511" s="16">
        <f t="shared" si="319"/>
        <v>0</v>
      </c>
      <c r="H511" s="16">
        <f t="shared" si="319"/>
        <v>0</v>
      </c>
      <c r="I511" s="16">
        <f t="shared" si="319"/>
        <v>0</v>
      </c>
      <c r="J511" s="16">
        <f t="shared" si="319"/>
        <v>0</v>
      </c>
      <c r="K511" s="16">
        <f t="shared" si="319"/>
        <v>0</v>
      </c>
      <c r="L511" s="16">
        <f t="shared" si="319"/>
        <v>0</v>
      </c>
      <c r="M511" s="16">
        <f t="shared" si="319"/>
        <v>0</v>
      </c>
    </row>
    <row r="512" spans="1:13" ht="12.75">
      <c r="A512" s="62" t="str">
        <f t="shared" si="303"/>
        <v>Gas Line Front-end loader</v>
      </c>
      <c r="B512" s="4">
        <f>VLOOKUP(A512,'Const. Equip. EFs'!$A$5:$J$19,10,FALSE)</f>
        <v>0.0707329663190049</v>
      </c>
      <c r="C512" s="16">
        <f aca="true" t="shared" si="320" ref="C512:M512">$B512*C229</f>
        <v>0.707329663190049</v>
      </c>
      <c r="D512" s="16">
        <f t="shared" si="320"/>
        <v>0.707329663190049</v>
      </c>
      <c r="E512" s="16">
        <f t="shared" si="320"/>
        <v>0.707329663190049</v>
      </c>
      <c r="F512" s="16">
        <f t="shared" si="320"/>
        <v>0.707329663190049</v>
      </c>
      <c r="G512" s="16">
        <f t="shared" si="320"/>
        <v>0</v>
      </c>
      <c r="H512" s="16">
        <f t="shared" si="320"/>
        <v>0</v>
      </c>
      <c r="I512" s="16">
        <f t="shared" si="320"/>
        <v>0</v>
      </c>
      <c r="J512" s="16">
        <f t="shared" si="320"/>
        <v>0</v>
      </c>
      <c r="K512" s="16">
        <f t="shared" si="320"/>
        <v>0</v>
      </c>
      <c r="L512" s="16">
        <f t="shared" si="320"/>
        <v>0</v>
      </c>
      <c r="M512" s="16">
        <f t="shared" si="320"/>
        <v>0</v>
      </c>
    </row>
    <row r="513" spans="1:13" ht="12.75">
      <c r="A513" s="62" t="str">
        <f t="shared" si="303"/>
        <v>Gas Line Compactor</v>
      </c>
      <c r="B513" s="4">
        <f>VLOOKUP(A513,'Const. Equip. EFs'!$A$5:$J$19,10,FALSE)</f>
        <v>0.05784525575482643</v>
      </c>
      <c r="C513" s="16">
        <f aca="true" t="shared" si="321" ref="C513:M513">$B513*C230</f>
        <v>0.23138102301930571</v>
      </c>
      <c r="D513" s="16">
        <f t="shared" si="321"/>
        <v>0.23138102301930571</v>
      </c>
      <c r="E513" s="16">
        <f t="shared" si="321"/>
        <v>0.23138102301930571</v>
      </c>
      <c r="F513" s="16">
        <f t="shared" si="321"/>
        <v>0.23138102301930571</v>
      </c>
      <c r="G513" s="16">
        <f t="shared" si="321"/>
        <v>0</v>
      </c>
      <c r="H513" s="16">
        <f t="shared" si="321"/>
        <v>0</v>
      </c>
      <c r="I513" s="16">
        <f t="shared" si="321"/>
        <v>0</v>
      </c>
      <c r="J513" s="16">
        <f t="shared" si="321"/>
        <v>0</v>
      </c>
      <c r="K513" s="16">
        <f t="shared" si="321"/>
        <v>0</v>
      </c>
      <c r="L513" s="16">
        <f t="shared" si="321"/>
        <v>0</v>
      </c>
      <c r="M513" s="16">
        <f t="shared" si="321"/>
        <v>0</v>
      </c>
    </row>
    <row r="514" spans="1:13" ht="12.75">
      <c r="A514" s="62" t="str">
        <f t="shared" si="303"/>
        <v>Gas Line Excavator</v>
      </c>
      <c r="B514" s="4">
        <f>VLOOKUP(A514,'Const. Equip. EFs'!$A$5:$J$19,10,FALSE)</f>
        <v>0.08861432727963812</v>
      </c>
      <c r="C514" s="16">
        <f aca="true" t="shared" si="322" ref="C514:M514">$B514*C231</f>
        <v>0.5316859636778287</v>
      </c>
      <c r="D514" s="16">
        <f t="shared" si="322"/>
        <v>0.5316859636778287</v>
      </c>
      <c r="E514" s="16">
        <f t="shared" si="322"/>
        <v>0.5316859636778287</v>
      </c>
      <c r="F514" s="16">
        <f t="shared" si="322"/>
        <v>0.5316859636778287</v>
      </c>
      <c r="G514" s="16">
        <f t="shared" si="322"/>
        <v>0</v>
      </c>
      <c r="H514" s="16">
        <f t="shared" si="322"/>
        <v>0</v>
      </c>
      <c r="I514" s="16">
        <f t="shared" si="322"/>
        <v>0</v>
      </c>
      <c r="J514" s="16">
        <f t="shared" si="322"/>
        <v>0</v>
      </c>
      <c r="K514" s="16">
        <f t="shared" si="322"/>
        <v>0</v>
      </c>
      <c r="L514" s="16">
        <f t="shared" si="322"/>
        <v>0</v>
      </c>
      <c r="M514" s="16">
        <f t="shared" si="322"/>
        <v>0</v>
      </c>
    </row>
    <row r="515" spans="1:13" ht="12.75">
      <c r="A515" s="62" t="str">
        <f t="shared" si="303"/>
        <v>Gas Line 15 ton crane</v>
      </c>
      <c r="B515" s="4">
        <f>VLOOKUP(A515,'Const. Equip. EFs'!$A$5:$J$19,10,FALSE)</f>
        <v>0.052526606556538694</v>
      </c>
      <c r="C515" s="16">
        <f aca="true" t="shared" si="323" ref="C515:M515">$B515*C232</f>
        <v>0.42021285245230955</v>
      </c>
      <c r="D515" s="16">
        <f t="shared" si="323"/>
        <v>0.42021285245230955</v>
      </c>
      <c r="E515" s="16">
        <f t="shared" si="323"/>
        <v>0.42021285245230955</v>
      </c>
      <c r="F515" s="16">
        <f t="shared" si="323"/>
        <v>0.42021285245230955</v>
      </c>
      <c r="G515" s="16">
        <f t="shared" si="323"/>
        <v>0</v>
      </c>
      <c r="H515" s="16">
        <f t="shared" si="323"/>
        <v>0</v>
      </c>
      <c r="I515" s="16">
        <f t="shared" si="323"/>
        <v>0</v>
      </c>
      <c r="J515" s="16">
        <f t="shared" si="323"/>
        <v>0</v>
      </c>
      <c r="K515" s="16">
        <f t="shared" si="323"/>
        <v>0</v>
      </c>
      <c r="L515" s="16">
        <f t="shared" si="323"/>
        <v>0</v>
      </c>
      <c r="M515" s="16">
        <f t="shared" si="323"/>
        <v>0</v>
      </c>
    </row>
    <row r="516" spans="1:13" ht="12.75">
      <c r="A516" s="62" t="str">
        <f t="shared" si="303"/>
        <v>Gas Line Roller</v>
      </c>
      <c r="B516" s="4">
        <f>VLOOKUP(A516,'Const. Equip. EFs'!$A$5:$J$19,10,FALSE)</f>
        <v>0.05784525575482643</v>
      </c>
      <c r="C516" s="16">
        <f aca="true" t="shared" si="324" ref="C516:M516">$B516*C233</f>
        <v>0.23138102301930571</v>
      </c>
      <c r="D516" s="16">
        <f t="shared" si="324"/>
        <v>0.23138102301930571</v>
      </c>
      <c r="E516" s="16">
        <f t="shared" si="324"/>
        <v>0.23138102301930571</v>
      </c>
      <c r="F516" s="16">
        <f t="shared" si="324"/>
        <v>0.23138102301930571</v>
      </c>
      <c r="G516" s="16">
        <f t="shared" si="324"/>
        <v>0</v>
      </c>
      <c r="H516" s="16">
        <f t="shared" si="324"/>
        <v>0</v>
      </c>
      <c r="I516" s="16">
        <f t="shared" si="324"/>
        <v>0</v>
      </c>
      <c r="J516" s="16">
        <f t="shared" si="324"/>
        <v>0</v>
      </c>
      <c r="K516" s="16">
        <f t="shared" si="324"/>
        <v>0</v>
      </c>
      <c r="L516" s="16">
        <f t="shared" si="324"/>
        <v>0</v>
      </c>
      <c r="M516" s="16">
        <f t="shared" si="324"/>
        <v>0</v>
      </c>
    </row>
    <row r="517" spans="1:13" ht="12.75">
      <c r="A517" s="62" t="str">
        <f t="shared" si="303"/>
        <v>Gas Line Reed Screen</v>
      </c>
      <c r="B517" s="4">
        <f>VLOOKUP(A517,'Const. Equip. EFs'!$A$5:$J$19,10,FALSE)</f>
        <v>0.08240819050495156</v>
      </c>
      <c r="C517" s="16">
        <f aca="true" t="shared" si="325" ref="C517:M517">$B517*C234</f>
        <v>0.4944491430297093</v>
      </c>
      <c r="D517" s="16">
        <f t="shared" si="325"/>
        <v>0.4944491430297093</v>
      </c>
      <c r="E517" s="16">
        <f t="shared" si="325"/>
        <v>0.4944491430297093</v>
      </c>
      <c r="F517" s="16">
        <f t="shared" si="325"/>
        <v>0.4944491430297093</v>
      </c>
      <c r="G517" s="16">
        <f t="shared" si="325"/>
        <v>0</v>
      </c>
      <c r="H517" s="16">
        <f t="shared" si="325"/>
        <v>0</v>
      </c>
      <c r="I517" s="16">
        <f t="shared" si="325"/>
        <v>0</v>
      </c>
      <c r="J517" s="16">
        <f t="shared" si="325"/>
        <v>0</v>
      </c>
      <c r="K517" s="16">
        <f t="shared" si="325"/>
        <v>0</v>
      </c>
      <c r="L517" s="16">
        <f t="shared" si="325"/>
        <v>0</v>
      </c>
      <c r="M517" s="16">
        <f t="shared" si="325"/>
        <v>0</v>
      </c>
    </row>
    <row r="518" spans="1:13" ht="12.75">
      <c r="A518" s="17" t="str">
        <f t="shared" si="303"/>
        <v>Construction Equipment Total</v>
      </c>
      <c r="B518" s="17"/>
      <c r="C518" s="18">
        <f aca="true" t="shared" si="326" ref="C518:M518">SUM(C509:C517)</f>
        <v>3.826362243723112</v>
      </c>
      <c r="D518" s="18">
        <f t="shared" si="326"/>
        <v>3.826362243723112</v>
      </c>
      <c r="E518" s="18">
        <f t="shared" si="326"/>
        <v>3.826362243723112</v>
      </c>
      <c r="F518" s="18">
        <f t="shared" si="326"/>
        <v>3.826362243723112</v>
      </c>
      <c r="G518" s="18">
        <f t="shared" si="326"/>
        <v>0</v>
      </c>
      <c r="H518" s="18">
        <f t="shared" si="326"/>
        <v>0</v>
      </c>
      <c r="I518" s="18">
        <f t="shared" si="326"/>
        <v>0</v>
      </c>
      <c r="J518" s="18">
        <f t="shared" si="326"/>
        <v>0</v>
      </c>
      <c r="K518" s="18">
        <f t="shared" si="326"/>
        <v>0</v>
      </c>
      <c r="L518" s="18">
        <f t="shared" si="326"/>
        <v>0</v>
      </c>
      <c r="M518" s="18">
        <f t="shared" si="326"/>
        <v>0</v>
      </c>
    </row>
    <row r="519" spans="1:13" ht="12.75">
      <c r="A519" s="17" t="str">
        <f t="shared" si="303"/>
        <v>Motor Vehicles</v>
      </c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>
      <c r="A520" s="62" t="str">
        <f t="shared" si="303"/>
        <v>On-Site Pickup Truck</v>
      </c>
      <c r="B520" s="4">
        <f>VLOOKUP($A520,'Vehicle EFs'!$A$22:$G$27,7,FALSE)</f>
        <v>7.355250940337735E-05</v>
      </c>
      <c r="C520" s="16">
        <f aca="true" t="shared" si="327" ref="C520:M520">$B520*C236</f>
        <v>0.0044131505642026414</v>
      </c>
      <c r="D520" s="16">
        <f t="shared" si="327"/>
        <v>0.0044131505642026414</v>
      </c>
      <c r="E520" s="16">
        <f t="shared" si="327"/>
        <v>0.0044131505642026414</v>
      </c>
      <c r="F520" s="16">
        <f t="shared" si="327"/>
        <v>0.0044131505642026414</v>
      </c>
      <c r="G520" s="16">
        <f t="shared" si="327"/>
        <v>0</v>
      </c>
      <c r="H520" s="16">
        <f t="shared" si="327"/>
        <v>0</v>
      </c>
      <c r="I520" s="16">
        <f t="shared" si="327"/>
        <v>0</v>
      </c>
      <c r="J520" s="16">
        <f t="shared" si="327"/>
        <v>0</v>
      </c>
      <c r="K520" s="16">
        <f t="shared" si="327"/>
        <v>0</v>
      </c>
      <c r="L520" s="16">
        <f t="shared" si="327"/>
        <v>0</v>
      </c>
      <c r="M520" s="16">
        <f t="shared" si="327"/>
        <v>0</v>
      </c>
    </row>
    <row r="521" spans="1:13" ht="12.75">
      <c r="A521" s="62" t="str">
        <f t="shared" si="303"/>
        <v>Off-Site Dump Truck</v>
      </c>
      <c r="B521" s="4">
        <f>VLOOKUP($A521,'Vehicle EFs'!$A$22:$G$27,7,FALSE)</f>
        <v>0.0005976980419441408</v>
      </c>
      <c r="C521" s="16">
        <f aca="true" t="shared" si="328" ref="C521:M521">$B521*C237</f>
        <v>0.05379282377497267</v>
      </c>
      <c r="D521" s="16">
        <f t="shared" si="328"/>
        <v>0.05379282377497267</v>
      </c>
      <c r="E521" s="16">
        <f t="shared" si="328"/>
        <v>0.05379282377497267</v>
      </c>
      <c r="F521" s="16">
        <f t="shared" si="328"/>
        <v>0.05379282377497267</v>
      </c>
      <c r="G521" s="16">
        <f t="shared" si="328"/>
        <v>0</v>
      </c>
      <c r="H521" s="16">
        <f t="shared" si="328"/>
        <v>0</v>
      </c>
      <c r="I521" s="16">
        <f t="shared" si="328"/>
        <v>0</v>
      </c>
      <c r="J521" s="16">
        <f t="shared" si="328"/>
        <v>0</v>
      </c>
      <c r="K521" s="16">
        <f t="shared" si="328"/>
        <v>0</v>
      </c>
      <c r="L521" s="16">
        <f t="shared" si="328"/>
        <v>0</v>
      </c>
      <c r="M521" s="16">
        <f t="shared" si="328"/>
        <v>0</v>
      </c>
    </row>
    <row r="522" spans="1:13" ht="12.75">
      <c r="A522" s="62" t="str">
        <f t="shared" si="303"/>
        <v>On-Site Water Truck</v>
      </c>
      <c r="B522" s="4">
        <f>VLOOKUP($A522,'Vehicle EFs'!$A$22:$G$27,7,FALSE)</f>
        <v>0.0005976980419441408</v>
      </c>
      <c r="C522" s="16">
        <f aca="true" t="shared" si="329" ref="C522:M522">$B522*C238</f>
        <v>0.011953960838882815</v>
      </c>
      <c r="D522" s="16">
        <f t="shared" si="329"/>
        <v>0.011953960838882815</v>
      </c>
      <c r="E522" s="16">
        <f t="shared" si="329"/>
        <v>0.011953960838882815</v>
      </c>
      <c r="F522" s="16">
        <f t="shared" si="329"/>
        <v>0.011953960838882815</v>
      </c>
      <c r="G522" s="16">
        <f t="shared" si="329"/>
        <v>0</v>
      </c>
      <c r="H522" s="16">
        <f t="shared" si="329"/>
        <v>0</v>
      </c>
      <c r="I522" s="16">
        <f t="shared" si="329"/>
        <v>0</v>
      </c>
      <c r="J522" s="16">
        <f t="shared" si="329"/>
        <v>0</v>
      </c>
      <c r="K522" s="16">
        <f t="shared" si="329"/>
        <v>0</v>
      </c>
      <c r="L522" s="16">
        <f t="shared" si="329"/>
        <v>0</v>
      </c>
      <c r="M522" s="16">
        <f t="shared" si="329"/>
        <v>0</v>
      </c>
    </row>
    <row r="523" spans="1:13" ht="12.75">
      <c r="A523" s="62" t="str">
        <f t="shared" si="303"/>
        <v>Off-Site Concrete Truck</v>
      </c>
      <c r="B523" s="4">
        <f>VLOOKUP($A523,'Vehicle EFs'!$A$22:$G$27,7,FALSE)</f>
        <v>0.0005976980419441408</v>
      </c>
      <c r="C523" s="16">
        <f aca="true" t="shared" si="330" ref="C523:M523">$B523*C239</f>
        <v>0.04781584335553126</v>
      </c>
      <c r="D523" s="16">
        <f t="shared" si="330"/>
        <v>0.04781584335553126</v>
      </c>
      <c r="E523" s="16">
        <f t="shared" si="330"/>
        <v>0.04781584335553126</v>
      </c>
      <c r="F523" s="16">
        <f t="shared" si="330"/>
        <v>0.04781584335553126</v>
      </c>
      <c r="G523" s="16">
        <f t="shared" si="330"/>
        <v>0</v>
      </c>
      <c r="H523" s="16">
        <f t="shared" si="330"/>
        <v>0</v>
      </c>
      <c r="I523" s="16">
        <f t="shared" si="330"/>
        <v>0</v>
      </c>
      <c r="J523" s="16">
        <f t="shared" si="330"/>
        <v>0</v>
      </c>
      <c r="K523" s="16">
        <f t="shared" si="330"/>
        <v>0</v>
      </c>
      <c r="L523" s="16">
        <f t="shared" si="330"/>
        <v>0</v>
      </c>
      <c r="M523" s="16">
        <f t="shared" si="330"/>
        <v>0</v>
      </c>
    </row>
    <row r="524" spans="1:13" ht="12.75">
      <c r="A524" s="62" t="str">
        <f t="shared" si="303"/>
        <v>Off-Site Delivery Truck</v>
      </c>
      <c r="B524" s="4">
        <f>VLOOKUP($A524,'Vehicle EFs'!$A$22:$G$27,7,FALSE)</f>
        <v>0.0005976980419441408</v>
      </c>
      <c r="C524" s="16">
        <f aca="true" t="shared" si="331" ref="C524:M524">$B524*C240</f>
        <v>0.04781584335553126</v>
      </c>
      <c r="D524" s="16">
        <f t="shared" si="331"/>
        <v>0.04781584335553126</v>
      </c>
      <c r="E524" s="16">
        <f t="shared" si="331"/>
        <v>0.04781584335553126</v>
      </c>
      <c r="F524" s="16">
        <f t="shared" si="331"/>
        <v>0.04781584335553126</v>
      </c>
      <c r="G524" s="16">
        <f t="shared" si="331"/>
        <v>0</v>
      </c>
      <c r="H524" s="16">
        <f t="shared" si="331"/>
        <v>0</v>
      </c>
      <c r="I524" s="16">
        <f t="shared" si="331"/>
        <v>0</v>
      </c>
      <c r="J524" s="16">
        <f t="shared" si="331"/>
        <v>0</v>
      </c>
      <c r="K524" s="16">
        <f t="shared" si="331"/>
        <v>0</v>
      </c>
      <c r="L524" s="16">
        <f t="shared" si="331"/>
        <v>0</v>
      </c>
      <c r="M524" s="16">
        <f t="shared" si="331"/>
        <v>0</v>
      </c>
    </row>
    <row r="525" spans="1:13" ht="12.75">
      <c r="A525" s="62" t="str">
        <f t="shared" si="303"/>
        <v>Off-Site Construction Worker Commute</v>
      </c>
      <c r="B525" s="4">
        <f>VLOOKUP($A525,'Vehicle EFs'!$A$22:$G$27,7,FALSE)</f>
        <v>7.355250940337735E-05</v>
      </c>
      <c r="C525" s="16">
        <f aca="true" t="shared" si="332" ref="C525:M525">$B525*C241</f>
        <v>0.11768401504540377</v>
      </c>
      <c r="D525" s="16">
        <f t="shared" si="332"/>
        <v>0.11768401504540377</v>
      </c>
      <c r="E525" s="16">
        <f t="shared" si="332"/>
        <v>0.11768401504540377</v>
      </c>
      <c r="F525" s="16">
        <f t="shared" si="332"/>
        <v>0.11768401504540377</v>
      </c>
      <c r="G525" s="16">
        <f t="shared" si="332"/>
        <v>0</v>
      </c>
      <c r="H525" s="16">
        <f t="shared" si="332"/>
        <v>0</v>
      </c>
      <c r="I525" s="16">
        <f t="shared" si="332"/>
        <v>0</v>
      </c>
      <c r="J525" s="16">
        <f t="shared" si="332"/>
        <v>0</v>
      </c>
      <c r="K525" s="16">
        <f t="shared" si="332"/>
        <v>0</v>
      </c>
      <c r="L525" s="16">
        <f t="shared" si="332"/>
        <v>0</v>
      </c>
      <c r="M525" s="16">
        <f t="shared" si="332"/>
        <v>0</v>
      </c>
    </row>
    <row r="526" spans="1:13" ht="12.75">
      <c r="A526" s="17" t="str">
        <f t="shared" si="303"/>
        <v>On-Site Motor Vehicle Total</v>
      </c>
      <c r="B526" s="17"/>
      <c r="C526" s="18">
        <f>C520+C522</f>
        <v>0.016367111403085458</v>
      </c>
      <c r="D526" s="18">
        <f aca="true" t="shared" si="333" ref="D526:M526">D520+D522</f>
        <v>0.016367111403085458</v>
      </c>
      <c r="E526" s="18">
        <f t="shared" si="333"/>
        <v>0.016367111403085458</v>
      </c>
      <c r="F526" s="18">
        <f t="shared" si="333"/>
        <v>0.016367111403085458</v>
      </c>
      <c r="G526" s="18">
        <f t="shared" si="333"/>
        <v>0</v>
      </c>
      <c r="H526" s="18">
        <f t="shared" si="333"/>
        <v>0</v>
      </c>
      <c r="I526" s="18">
        <f t="shared" si="333"/>
        <v>0</v>
      </c>
      <c r="J526" s="18">
        <f t="shared" si="333"/>
        <v>0</v>
      </c>
      <c r="K526" s="18">
        <f t="shared" si="333"/>
        <v>0</v>
      </c>
      <c r="L526" s="18">
        <f t="shared" si="333"/>
        <v>0</v>
      </c>
      <c r="M526" s="18">
        <f t="shared" si="333"/>
        <v>0</v>
      </c>
    </row>
    <row r="527" spans="1:13" ht="12.75">
      <c r="A527" s="17" t="str">
        <f t="shared" si="303"/>
        <v>Off-Site Motor Vehicle Total</v>
      </c>
      <c r="B527" s="17"/>
      <c r="C527" s="18">
        <f>C521+SUM(C523:C525)</f>
        <v>0.267108525531439</v>
      </c>
      <c r="D527" s="18">
        <f aca="true" t="shared" si="334" ref="D527:M527">D521+SUM(D523:D525)</f>
        <v>0.267108525531439</v>
      </c>
      <c r="E527" s="18">
        <f t="shared" si="334"/>
        <v>0.267108525531439</v>
      </c>
      <c r="F527" s="18">
        <f t="shared" si="334"/>
        <v>0.267108525531439</v>
      </c>
      <c r="G527" s="18">
        <f t="shared" si="334"/>
        <v>0</v>
      </c>
      <c r="H527" s="18">
        <f t="shared" si="334"/>
        <v>0</v>
      </c>
      <c r="I527" s="18">
        <f t="shared" si="334"/>
        <v>0</v>
      </c>
      <c r="J527" s="18">
        <f t="shared" si="334"/>
        <v>0</v>
      </c>
      <c r="K527" s="18">
        <f t="shared" si="334"/>
        <v>0</v>
      </c>
      <c r="L527" s="18">
        <f t="shared" si="334"/>
        <v>0</v>
      </c>
      <c r="M527" s="18">
        <f t="shared" si="334"/>
        <v>0</v>
      </c>
    </row>
    <row r="528" ht="12.75">
      <c r="A528" s="19" t="s">
        <v>43</v>
      </c>
    </row>
    <row r="529" ht="12.75">
      <c r="A529" s="19"/>
    </row>
    <row r="530" spans="1:13" ht="12.75">
      <c r="A530" s="133" t="s">
        <v>222</v>
      </c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</row>
    <row r="531" spans="1:13" ht="12.75">
      <c r="A531" s="134" t="str">
        <f>$B$1&amp;" Equipment and Motor Vehicle Fugitive PM2.5 Emissions"</f>
        <v>Mira Loma Construction Equipment and Motor Vehicle Fugitive PM2.5 Emissions</v>
      </c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2" t="str">
        <f>A488</f>
        <v>Equipment/Vehicle Type</v>
      </c>
      <c r="B532" s="142" t="s">
        <v>154</v>
      </c>
      <c r="C532" s="132" t="s">
        <v>166</v>
      </c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</row>
    <row r="533" spans="1:13" ht="12.75">
      <c r="A533" s="141"/>
      <c r="B533" s="138"/>
      <c r="C533" s="63">
        <f>C489</f>
        <v>39139</v>
      </c>
      <c r="D533" s="63">
        <f aca="true" t="shared" si="335" ref="D533:M533">D489</f>
        <v>39153</v>
      </c>
      <c r="E533" s="63">
        <f t="shared" si="335"/>
        <v>39167</v>
      </c>
      <c r="F533" s="63">
        <f t="shared" si="335"/>
        <v>39181</v>
      </c>
      <c r="G533" s="63">
        <f t="shared" si="335"/>
        <v>39195</v>
      </c>
      <c r="H533" s="63">
        <f t="shared" si="335"/>
        <v>39209</v>
      </c>
      <c r="I533" s="63">
        <f t="shared" si="335"/>
        <v>39223</v>
      </c>
      <c r="J533" s="63">
        <f t="shared" si="335"/>
        <v>39237</v>
      </c>
      <c r="K533" s="63">
        <f t="shared" si="335"/>
        <v>39251</v>
      </c>
      <c r="L533" s="63">
        <f t="shared" si="335"/>
        <v>39265</v>
      </c>
      <c r="M533" s="63">
        <f t="shared" si="335"/>
        <v>39279</v>
      </c>
    </row>
    <row r="534" spans="1:13" ht="12.75">
      <c r="A534" s="17" t="str">
        <f>A490</f>
        <v>Power Plant</v>
      </c>
      <c r="B534" s="92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</row>
    <row r="535" spans="1:13" ht="12.75">
      <c r="A535" s="62" t="str">
        <f aca="true" t="shared" si="336" ref="A535:A542">A500</f>
        <v>On-Site Pickup Truck</v>
      </c>
      <c r="B535" s="4">
        <f>VLOOKUP($A535,'Vehicle EFs'!$A$38:$F$43,6,FALSE)</f>
        <v>0.0005820788957847033</v>
      </c>
      <c r="C535" s="16">
        <f>$B535*C219</f>
        <v>0.014551972394617583</v>
      </c>
      <c r="D535" s="16">
        <f aca="true" t="shared" si="337" ref="D535:M535">$B535*D219</f>
        <v>0.029103944789235166</v>
      </c>
      <c r="E535" s="16">
        <f t="shared" si="337"/>
        <v>0.029103944789235166</v>
      </c>
      <c r="F535" s="16">
        <f t="shared" si="337"/>
        <v>0.04365591718385275</v>
      </c>
      <c r="G535" s="16">
        <f t="shared" si="337"/>
        <v>0.04365591718385275</v>
      </c>
      <c r="H535" s="16">
        <f t="shared" si="337"/>
        <v>0.029103944789235166</v>
      </c>
      <c r="I535" s="16">
        <f t="shared" si="337"/>
        <v>0.029103944789235166</v>
      </c>
      <c r="J535" s="16">
        <f t="shared" si="337"/>
        <v>0.029103944789235166</v>
      </c>
      <c r="K535" s="16">
        <f t="shared" si="337"/>
        <v>0.014551972394617583</v>
      </c>
      <c r="L535" s="16">
        <f t="shared" si="337"/>
        <v>0</v>
      </c>
      <c r="M535" s="16">
        <f t="shared" si="337"/>
        <v>0</v>
      </c>
    </row>
    <row r="536" spans="1:13" ht="12.75">
      <c r="A536" s="62" t="str">
        <f t="shared" si="336"/>
        <v>Off-Site Dump Truck</v>
      </c>
      <c r="B536" s="4">
        <f>VLOOKUP($A536,'Vehicle EFs'!$A$38:$F$43,6,FALSE)</f>
        <v>0.00017265361144794868</v>
      </c>
      <c r="C536" s="16">
        <f>$B536*C220</f>
        <v>0.008632680572397433</v>
      </c>
      <c r="D536" s="16">
        <f aca="true" t="shared" si="338" ref="D536:M536">$B536*D220</f>
        <v>0.017265361144794867</v>
      </c>
      <c r="E536" s="16">
        <f t="shared" si="338"/>
        <v>0.017265361144794867</v>
      </c>
      <c r="F536" s="16">
        <f t="shared" si="338"/>
        <v>0.008632680572397433</v>
      </c>
      <c r="G536" s="16">
        <f t="shared" si="338"/>
        <v>0.008632680572397433</v>
      </c>
      <c r="H536" s="16">
        <f t="shared" si="338"/>
        <v>0</v>
      </c>
      <c r="I536" s="16">
        <f t="shared" si="338"/>
        <v>0</v>
      </c>
      <c r="J536" s="16">
        <f t="shared" si="338"/>
        <v>0</v>
      </c>
      <c r="K536" s="16">
        <f t="shared" si="338"/>
        <v>0</v>
      </c>
      <c r="L536" s="16">
        <f t="shared" si="338"/>
        <v>0</v>
      </c>
      <c r="M536" s="16">
        <f t="shared" si="338"/>
        <v>0</v>
      </c>
    </row>
    <row r="537" spans="1:13" ht="12.75">
      <c r="A537" s="62" t="str">
        <f t="shared" si="336"/>
        <v>Off-Site Concrete Truck</v>
      </c>
      <c r="B537" s="4">
        <f>VLOOKUP($A537,'Vehicle EFs'!$A$38:$F$43,6,FALSE)</f>
        <v>0.00017265361144794868</v>
      </c>
      <c r="C537" s="16">
        <f>$B537*C221</f>
        <v>0</v>
      </c>
      <c r="D537" s="16">
        <f aca="true" t="shared" si="339" ref="D537:M537">$B537*D221</f>
        <v>0.04316340286198717</v>
      </c>
      <c r="E537" s="16">
        <f t="shared" si="339"/>
        <v>0.04316340286198717</v>
      </c>
      <c r="F537" s="16">
        <f t="shared" si="339"/>
        <v>0</v>
      </c>
      <c r="G537" s="16">
        <f t="shared" si="339"/>
        <v>0</v>
      </c>
      <c r="H537" s="16">
        <f t="shared" si="339"/>
        <v>0</v>
      </c>
      <c r="I537" s="16">
        <f t="shared" si="339"/>
        <v>0</v>
      </c>
      <c r="J537" s="16">
        <f t="shared" si="339"/>
        <v>0</v>
      </c>
      <c r="K537" s="16">
        <f t="shared" si="339"/>
        <v>0</v>
      </c>
      <c r="L537" s="16">
        <f t="shared" si="339"/>
        <v>0</v>
      </c>
      <c r="M537" s="16">
        <f t="shared" si="339"/>
        <v>0</v>
      </c>
    </row>
    <row r="538" spans="1:13" ht="12.75">
      <c r="A538" s="62" t="str">
        <f t="shared" si="336"/>
        <v>Off-Site Delivery Truck</v>
      </c>
      <c r="B538" s="4">
        <f>VLOOKUP($A538,'Vehicle EFs'!$A$38:$F$43,6,FALSE)</f>
        <v>0.00017265361144794868</v>
      </c>
      <c r="C538" s="16">
        <f aca="true" t="shared" si="340" ref="C538:M538">$B538*C222</f>
        <v>0</v>
      </c>
      <c r="D538" s="16">
        <f t="shared" si="340"/>
        <v>0.008632680572397433</v>
      </c>
      <c r="E538" s="16">
        <f t="shared" si="340"/>
        <v>0.008632680572397433</v>
      </c>
      <c r="F538" s="16">
        <f t="shared" si="340"/>
        <v>0.008632680572397433</v>
      </c>
      <c r="G538" s="16">
        <f t="shared" si="340"/>
        <v>0.008632680572397433</v>
      </c>
      <c r="H538" s="16">
        <f t="shared" si="340"/>
        <v>0.008632680572397433</v>
      </c>
      <c r="I538" s="16">
        <f t="shared" si="340"/>
        <v>0.008632680572397433</v>
      </c>
      <c r="J538" s="16">
        <f t="shared" si="340"/>
        <v>0.008632680572397433</v>
      </c>
      <c r="K538" s="16">
        <f t="shared" si="340"/>
        <v>0</v>
      </c>
      <c r="L538" s="16">
        <f t="shared" si="340"/>
        <v>0</v>
      </c>
      <c r="M538" s="16">
        <f t="shared" si="340"/>
        <v>0</v>
      </c>
    </row>
    <row r="539" spans="1:13" ht="12.75">
      <c r="A539" s="62" t="str">
        <f t="shared" si="336"/>
        <v>Off-Site Construction Worker Commute</v>
      </c>
      <c r="B539" s="4">
        <f>VLOOKUP($A539,'Vehicle EFs'!$A$38:$F$43,6,FALSE)</f>
        <v>0.00017265361144794868</v>
      </c>
      <c r="C539" s="16">
        <f aca="true" t="shared" si="341" ref="C539:M539">$B539*C223</f>
        <v>0.03625725840406922</v>
      </c>
      <c r="D539" s="16">
        <f t="shared" si="341"/>
        <v>0.1329432808149205</v>
      </c>
      <c r="E539" s="16">
        <f t="shared" si="341"/>
        <v>0.18128629202034613</v>
      </c>
      <c r="F539" s="16">
        <f t="shared" si="341"/>
        <v>0.22962930322577174</v>
      </c>
      <c r="G539" s="16">
        <f t="shared" si="341"/>
        <v>0.21754355042441534</v>
      </c>
      <c r="H539" s="16">
        <f t="shared" si="341"/>
        <v>0.1450290336162769</v>
      </c>
      <c r="I539" s="16">
        <f t="shared" si="341"/>
        <v>0.1450290336162769</v>
      </c>
      <c r="J539" s="16">
        <f t="shared" si="341"/>
        <v>0.09668602241085127</v>
      </c>
      <c r="K539" s="16">
        <f t="shared" si="341"/>
        <v>0.024171505602712817</v>
      </c>
      <c r="L539" s="16">
        <f t="shared" si="341"/>
        <v>0</v>
      </c>
      <c r="M539" s="16">
        <f t="shared" si="341"/>
        <v>0</v>
      </c>
    </row>
    <row r="540" spans="1:13" ht="12.75">
      <c r="A540" s="17" t="str">
        <f t="shared" si="336"/>
        <v>On-Site Motor Vehicle Total</v>
      </c>
      <c r="B540" s="17"/>
      <c r="C540" s="18">
        <f aca="true" t="shared" si="342" ref="C540:M540">C535</f>
        <v>0.014551972394617583</v>
      </c>
      <c r="D540" s="18">
        <f t="shared" si="342"/>
        <v>0.029103944789235166</v>
      </c>
      <c r="E540" s="18">
        <f t="shared" si="342"/>
        <v>0.029103944789235166</v>
      </c>
      <c r="F540" s="18">
        <f t="shared" si="342"/>
        <v>0.04365591718385275</v>
      </c>
      <c r="G540" s="18">
        <f t="shared" si="342"/>
        <v>0.04365591718385275</v>
      </c>
      <c r="H540" s="18">
        <f t="shared" si="342"/>
        <v>0.029103944789235166</v>
      </c>
      <c r="I540" s="18">
        <f t="shared" si="342"/>
        <v>0.029103944789235166</v>
      </c>
      <c r="J540" s="18">
        <f t="shared" si="342"/>
        <v>0.029103944789235166</v>
      </c>
      <c r="K540" s="18">
        <f t="shared" si="342"/>
        <v>0.014551972394617583</v>
      </c>
      <c r="L540" s="18">
        <f t="shared" si="342"/>
        <v>0</v>
      </c>
      <c r="M540" s="18">
        <f t="shared" si="342"/>
        <v>0</v>
      </c>
    </row>
    <row r="541" spans="1:13" ht="12.75">
      <c r="A541" s="17" t="str">
        <f t="shared" si="336"/>
        <v>Off-Site Motor Vehicle Total</v>
      </c>
      <c r="B541" s="17"/>
      <c r="C541" s="18">
        <f aca="true" t="shared" si="343" ref="C541:M541">SUM(C536:C539)</f>
        <v>0.044889938976466655</v>
      </c>
      <c r="D541" s="18">
        <f t="shared" si="343"/>
        <v>0.20200472539409997</v>
      </c>
      <c r="E541" s="18">
        <f t="shared" si="343"/>
        <v>0.2503477365995256</v>
      </c>
      <c r="F541" s="18">
        <f t="shared" si="343"/>
        <v>0.24689466437056662</v>
      </c>
      <c r="G541" s="18">
        <f t="shared" si="343"/>
        <v>0.23480891156921022</v>
      </c>
      <c r="H541" s="18">
        <f t="shared" si="343"/>
        <v>0.15366171418867433</v>
      </c>
      <c r="I541" s="18">
        <f t="shared" si="343"/>
        <v>0.15366171418867433</v>
      </c>
      <c r="J541" s="18">
        <f t="shared" si="343"/>
        <v>0.1053187029832487</v>
      </c>
      <c r="K541" s="18">
        <f t="shared" si="343"/>
        <v>0.024171505602712817</v>
      </c>
      <c r="L541" s="18">
        <f t="shared" si="343"/>
        <v>0</v>
      </c>
      <c r="M541" s="18">
        <f t="shared" si="343"/>
        <v>0</v>
      </c>
    </row>
    <row r="542" spans="1:13" ht="12.75">
      <c r="A542" s="17" t="str">
        <f t="shared" si="336"/>
        <v>Gas Line</v>
      </c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2.75">
      <c r="A543" s="62" t="str">
        <f aca="true" t="shared" si="344" ref="A543:A550">A520</f>
        <v>On-Site Pickup Truck</v>
      </c>
      <c r="B543" s="4">
        <f>VLOOKUP($A543,'Vehicle EFs'!$A$38:$F$43,6,FALSE)</f>
        <v>0.0005820788957847033</v>
      </c>
      <c r="C543" s="16">
        <f>$B543*C236</f>
        <v>0.0349247337470822</v>
      </c>
      <c r="D543" s="16">
        <f aca="true" t="shared" si="345" ref="D543:M543">$B543*D236</f>
        <v>0.0349247337470822</v>
      </c>
      <c r="E543" s="16">
        <f t="shared" si="345"/>
        <v>0.0349247337470822</v>
      </c>
      <c r="F543" s="16">
        <f t="shared" si="345"/>
        <v>0.0349247337470822</v>
      </c>
      <c r="G543" s="16">
        <f t="shared" si="345"/>
        <v>0</v>
      </c>
      <c r="H543" s="16">
        <f t="shared" si="345"/>
        <v>0</v>
      </c>
      <c r="I543" s="16">
        <f t="shared" si="345"/>
        <v>0</v>
      </c>
      <c r="J543" s="16">
        <f t="shared" si="345"/>
        <v>0</v>
      </c>
      <c r="K543" s="16">
        <f t="shared" si="345"/>
        <v>0</v>
      </c>
      <c r="L543" s="16">
        <f t="shared" si="345"/>
        <v>0</v>
      </c>
      <c r="M543" s="16">
        <f t="shared" si="345"/>
        <v>0</v>
      </c>
    </row>
    <row r="544" spans="1:13" ht="12.75">
      <c r="A544" s="62" t="str">
        <f t="shared" si="344"/>
        <v>Off-Site Dump Truck</v>
      </c>
      <c r="B544" s="4">
        <f>VLOOKUP($A544,'Vehicle EFs'!$A$38:$F$43,6,FALSE)</f>
        <v>0.00017265361144794868</v>
      </c>
      <c r="C544" s="16">
        <f>$B544*C237</f>
        <v>0.015538825030315381</v>
      </c>
      <c r="D544" s="16">
        <f aca="true" t="shared" si="346" ref="D544:M544">$B544*D237</f>
        <v>0.015538825030315381</v>
      </c>
      <c r="E544" s="16">
        <f t="shared" si="346"/>
        <v>0.015538825030315381</v>
      </c>
      <c r="F544" s="16">
        <f t="shared" si="346"/>
        <v>0.015538825030315381</v>
      </c>
      <c r="G544" s="16">
        <f t="shared" si="346"/>
        <v>0</v>
      </c>
      <c r="H544" s="16">
        <f t="shared" si="346"/>
        <v>0</v>
      </c>
      <c r="I544" s="16">
        <f t="shared" si="346"/>
        <v>0</v>
      </c>
      <c r="J544" s="16">
        <f t="shared" si="346"/>
        <v>0</v>
      </c>
      <c r="K544" s="16">
        <f t="shared" si="346"/>
        <v>0</v>
      </c>
      <c r="L544" s="16">
        <f t="shared" si="346"/>
        <v>0</v>
      </c>
      <c r="M544" s="16">
        <f t="shared" si="346"/>
        <v>0</v>
      </c>
    </row>
    <row r="545" spans="1:13" ht="12.75">
      <c r="A545" s="62" t="str">
        <f t="shared" si="344"/>
        <v>On-Site Water Truck</v>
      </c>
      <c r="B545" s="4">
        <f>VLOOKUP($A545,'Vehicle EFs'!$A$38:$F$43,6,FALSE)</f>
        <v>0.021558477621655688</v>
      </c>
      <c r="C545" s="16">
        <f>$B545*C238</f>
        <v>0.4311695524331138</v>
      </c>
      <c r="D545" s="16">
        <f aca="true" t="shared" si="347" ref="D545:M545">$B545*D238</f>
        <v>0.4311695524331138</v>
      </c>
      <c r="E545" s="16">
        <f t="shared" si="347"/>
        <v>0.4311695524331138</v>
      </c>
      <c r="F545" s="16">
        <f t="shared" si="347"/>
        <v>0.4311695524331138</v>
      </c>
      <c r="G545" s="16">
        <f t="shared" si="347"/>
        <v>0</v>
      </c>
      <c r="H545" s="16">
        <f t="shared" si="347"/>
        <v>0</v>
      </c>
      <c r="I545" s="16">
        <f t="shared" si="347"/>
        <v>0</v>
      </c>
      <c r="J545" s="16">
        <f t="shared" si="347"/>
        <v>0</v>
      </c>
      <c r="K545" s="16">
        <f t="shared" si="347"/>
        <v>0</v>
      </c>
      <c r="L545" s="16">
        <f t="shared" si="347"/>
        <v>0</v>
      </c>
      <c r="M545" s="16">
        <f t="shared" si="347"/>
        <v>0</v>
      </c>
    </row>
    <row r="546" spans="1:13" ht="12.75">
      <c r="A546" s="62" t="str">
        <f t="shared" si="344"/>
        <v>Off-Site Concrete Truck</v>
      </c>
      <c r="B546" s="4">
        <f>VLOOKUP($A546,'Vehicle EFs'!$A$38:$F$43,6,FALSE)</f>
        <v>0.00017265361144794868</v>
      </c>
      <c r="C546" s="16">
        <f>$B546*C239</f>
        <v>0.013812288915835896</v>
      </c>
      <c r="D546" s="16">
        <f aca="true" t="shared" si="348" ref="D546:M546">$B546*D239</f>
        <v>0.013812288915835896</v>
      </c>
      <c r="E546" s="16">
        <f t="shared" si="348"/>
        <v>0.013812288915835896</v>
      </c>
      <c r="F546" s="16">
        <f t="shared" si="348"/>
        <v>0.013812288915835896</v>
      </c>
      <c r="G546" s="16">
        <f t="shared" si="348"/>
        <v>0</v>
      </c>
      <c r="H546" s="16">
        <f t="shared" si="348"/>
        <v>0</v>
      </c>
      <c r="I546" s="16">
        <f t="shared" si="348"/>
        <v>0</v>
      </c>
      <c r="J546" s="16">
        <f t="shared" si="348"/>
        <v>0</v>
      </c>
      <c r="K546" s="16">
        <f t="shared" si="348"/>
        <v>0</v>
      </c>
      <c r="L546" s="16">
        <f t="shared" si="348"/>
        <v>0</v>
      </c>
      <c r="M546" s="16">
        <f t="shared" si="348"/>
        <v>0</v>
      </c>
    </row>
    <row r="547" spans="1:13" ht="12.75">
      <c r="A547" s="62" t="str">
        <f t="shared" si="344"/>
        <v>Off-Site Delivery Truck</v>
      </c>
      <c r="B547" s="4">
        <f>VLOOKUP($A547,'Vehicle EFs'!$A$38:$F$43,6,FALSE)</f>
        <v>0.00017265361144794868</v>
      </c>
      <c r="C547" s="16">
        <f aca="true" t="shared" si="349" ref="C547:M547">$B547*C240</f>
        <v>0.013812288915835896</v>
      </c>
      <c r="D547" s="16">
        <f t="shared" si="349"/>
        <v>0.013812288915835896</v>
      </c>
      <c r="E547" s="16">
        <f t="shared" si="349"/>
        <v>0.013812288915835896</v>
      </c>
      <c r="F547" s="16">
        <f t="shared" si="349"/>
        <v>0.013812288915835896</v>
      </c>
      <c r="G547" s="16">
        <f t="shared" si="349"/>
        <v>0</v>
      </c>
      <c r="H547" s="16">
        <f t="shared" si="349"/>
        <v>0</v>
      </c>
      <c r="I547" s="16">
        <f t="shared" si="349"/>
        <v>0</v>
      </c>
      <c r="J547" s="16">
        <f t="shared" si="349"/>
        <v>0</v>
      </c>
      <c r="K547" s="16">
        <f t="shared" si="349"/>
        <v>0</v>
      </c>
      <c r="L547" s="16">
        <f t="shared" si="349"/>
        <v>0</v>
      </c>
      <c r="M547" s="16">
        <f t="shared" si="349"/>
        <v>0</v>
      </c>
    </row>
    <row r="548" spans="1:13" ht="12.75">
      <c r="A548" s="62" t="str">
        <f t="shared" si="344"/>
        <v>Off-Site Construction Worker Commute</v>
      </c>
      <c r="B548" s="4">
        <f>VLOOKUP($A548,'Vehicle EFs'!$A$38:$F$43,6,FALSE)</f>
        <v>0.00017265361144794868</v>
      </c>
      <c r="C548" s="16">
        <f aca="true" t="shared" si="350" ref="C548:M548">$B548*C241</f>
        <v>0.27624577831671787</v>
      </c>
      <c r="D548" s="16">
        <f t="shared" si="350"/>
        <v>0.27624577831671787</v>
      </c>
      <c r="E548" s="16">
        <f t="shared" si="350"/>
        <v>0.27624577831671787</v>
      </c>
      <c r="F548" s="16">
        <f t="shared" si="350"/>
        <v>0.27624577831671787</v>
      </c>
      <c r="G548" s="16">
        <f t="shared" si="350"/>
        <v>0</v>
      </c>
      <c r="H548" s="16">
        <f t="shared" si="350"/>
        <v>0</v>
      </c>
      <c r="I548" s="16">
        <f t="shared" si="350"/>
        <v>0</v>
      </c>
      <c r="J548" s="16">
        <f t="shared" si="350"/>
        <v>0</v>
      </c>
      <c r="K548" s="16">
        <f t="shared" si="350"/>
        <v>0</v>
      </c>
      <c r="L548" s="16">
        <f t="shared" si="350"/>
        <v>0</v>
      </c>
      <c r="M548" s="16">
        <f t="shared" si="350"/>
        <v>0</v>
      </c>
    </row>
    <row r="549" spans="1:13" ht="12.75">
      <c r="A549" s="17" t="str">
        <f t="shared" si="344"/>
        <v>On-Site Motor Vehicle Total</v>
      </c>
      <c r="B549" s="17"/>
      <c r="C549" s="18">
        <f>C543+C545</f>
        <v>0.466094286180196</v>
      </c>
      <c r="D549" s="18">
        <f aca="true" t="shared" si="351" ref="D549:M549">D543+D545</f>
        <v>0.466094286180196</v>
      </c>
      <c r="E549" s="18">
        <f t="shared" si="351"/>
        <v>0.466094286180196</v>
      </c>
      <c r="F549" s="18">
        <f t="shared" si="351"/>
        <v>0.466094286180196</v>
      </c>
      <c r="G549" s="18">
        <f t="shared" si="351"/>
        <v>0</v>
      </c>
      <c r="H549" s="18">
        <f t="shared" si="351"/>
        <v>0</v>
      </c>
      <c r="I549" s="18">
        <f t="shared" si="351"/>
        <v>0</v>
      </c>
      <c r="J549" s="18">
        <f t="shared" si="351"/>
        <v>0</v>
      </c>
      <c r="K549" s="18">
        <f t="shared" si="351"/>
        <v>0</v>
      </c>
      <c r="L549" s="18">
        <f t="shared" si="351"/>
        <v>0</v>
      </c>
      <c r="M549" s="18">
        <f t="shared" si="351"/>
        <v>0</v>
      </c>
    </row>
    <row r="550" spans="1:13" ht="12.75">
      <c r="A550" s="17" t="str">
        <f t="shared" si="344"/>
        <v>Off-Site Motor Vehicle Total</v>
      </c>
      <c r="B550" s="17"/>
      <c r="C550" s="18">
        <f>C544+SUM(C546:C548)</f>
        <v>0.31940918117870504</v>
      </c>
      <c r="D550" s="18">
        <f aca="true" t="shared" si="352" ref="D550:M550">D544+SUM(D546:D548)</f>
        <v>0.31940918117870504</v>
      </c>
      <c r="E550" s="18">
        <f t="shared" si="352"/>
        <v>0.31940918117870504</v>
      </c>
      <c r="F550" s="18">
        <f t="shared" si="352"/>
        <v>0.31940918117870504</v>
      </c>
      <c r="G550" s="18">
        <f t="shared" si="352"/>
        <v>0</v>
      </c>
      <c r="H550" s="18">
        <f t="shared" si="352"/>
        <v>0</v>
      </c>
      <c r="I550" s="18">
        <f t="shared" si="352"/>
        <v>0</v>
      </c>
      <c r="J550" s="18">
        <f t="shared" si="352"/>
        <v>0</v>
      </c>
      <c r="K550" s="18">
        <f t="shared" si="352"/>
        <v>0</v>
      </c>
      <c r="L550" s="18">
        <f t="shared" si="352"/>
        <v>0</v>
      </c>
      <c r="M550" s="18">
        <f t="shared" si="352"/>
        <v>0</v>
      </c>
    </row>
    <row r="551" ht="12.75">
      <c r="A551" s="19" t="s">
        <v>43</v>
      </c>
    </row>
    <row r="552" ht="12.75">
      <c r="A552" s="19"/>
    </row>
    <row r="554" spans="1:14" ht="12.75">
      <c r="A554" s="133" t="s">
        <v>224</v>
      </c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48"/>
    </row>
    <row r="555" spans="1:14" ht="12.75">
      <c r="A555" s="134" t="str">
        <f>$B$1&amp;" Fugitive PM10 and PM2.5 Activities"</f>
        <v>Mira Loma Construction Fugitive PM10 and PM2.5 Activities</v>
      </c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33"/>
    </row>
    <row r="556" spans="1:14" ht="12.75">
      <c r="A556" s="132" t="s">
        <v>108</v>
      </c>
      <c r="B556" s="136" t="s">
        <v>109</v>
      </c>
      <c r="C556" s="132" t="s">
        <v>110</v>
      </c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7"/>
    </row>
    <row r="557" spans="1:13" ht="12.75">
      <c r="A557" s="135"/>
      <c r="B557" s="137"/>
      <c r="C557" s="60">
        <f>C533</f>
        <v>39139</v>
      </c>
      <c r="D557" s="60">
        <f aca="true" t="shared" si="353" ref="D557:M557">D533</f>
        <v>39153</v>
      </c>
      <c r="E557" s="60">
        <f t="shared" si="353"/>
        <v>39167</v>
      </c>
      <c r="F557" s="60">
        <f t="shared" si="353"/>
        <v>39181</v>
      </c>
      <c r="G557" s="60">
        <f t="shared" si="353"/>
        <v>39195</v>
      </c>
      <c r="H557" s="60">
        <f t="shared" si="353"/>
        <v>39209</v>
      </c>
      <c r="I557" s="60">
        <f t="shared" si="353"/>
        <v>39223</v>
      </c>
      <c r="J557" s="60">
        <f t="shared" si="353"/>
        <v>39237</v>
      </c>
      <c r="K557" s="60">
        <f t="shared" si="353"/>
        <v>39251</v>
      </c>
      <c r="L557" s="60">
        <f t="shared" si="353"/>
        <v>39265</v>
      </c>
      <c r="M557" s="60">
        <f t="shared" si="353"/>
        <v>39279</v>
      </c>
    </row>
    <row r="558" spans="1:13" ht="12.75">
      <c r="A558" s="34" t="s">
        <v>297</v>
      </c>
      <c r="B558" s="91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</row>
    <row r="559" spans="1:13" ht="12.75">
      <c r="A559" s="43" t="s">
        <v>111</v>
      </c>
      <c r="B559" s="21" t="s">
        <v>112</v>
      </c>
      <c r="C559" s="87">
        <f>2228*D176/SUM($D176:$N176)/6</f>
        <v>53.047619047619044</v>
      </c>
      <c r="D559" s="87">
        <f aca="true" t="shared" si="354" ref="D559:M559">2228*E176/SUM($D176:$N176)/6</f>
        <v>106.09523809523809</v>
      </c>
      <c r="E559" s="87">
        <f t="shared" si="354"/>
        <v>106.09523809523809</v>
      </c>
      <c r="F559" s="87">
        <f t="shared" si="354"/>
        <v>53.047619047619044</v>
      </c>
      <c r="G559" s="87">
        <f t="shared" si="354"/>
        <v>53.047619047619044</v>
      </c>
      <c r="H559" s="87">
        <f t="shared" si="354"/>
        <v>0</v>
      </c>
      <c r="I559" s="87">
        <f t="shared" si="354"/>
        <v>0</v>
      </c>
      <c r="J559" s="87">
        <f t="shared" si="354"/>
        <v>0</v>
      </c>
      <c r="K559" s="87">
        <f t="shared" si="354"/>
        <v>0</v>
      </c>
      <c r="L559" s="87">
        <f t="shared" si="354"/>
        <v>0</v>
      </c>
      <c r="M559" s="87">
        <f t="shared" si="354"/>
        <v>0</v>
      </c>
    </row>
    <row r="560" spans="1:13" ht="12.75">
      <c r="A560" s="43" t="s">
        <v>98</v>
      </c>
      <c r="B560" s="21" t="s">
        <v>113</v>
      </c>
      <c r="C560" s="44">
        <f>9*(4*SQRT(C559)+C559)/43560</f>
        <v>0.01697957388968728</v>
      </c>
      <c r="D560" s="44">
        <f aca="true" t="shared" si="355" ref="D560:M560">9*(4*SQRT(D559)+D559)/43560</f>
        <v>0.030433110576147775</v>
      </c>
      <c r="E560" s="44">
        <f t="shared" si="355"/>
        <v>0.030433110576147775</v>
      </c>
      <c r="F560" s="44">
        <f t="shared" si="355"/>
        <v>0.01697957388968728</v>
      </c>
      <c r="G560" s="44">
        <f t="shared" si="355"/>
        <v>0.01697957388968728</v>
      </c>
      <c r="H560" s="44">
        <f t="shared" si="355"/>
        <v>0</v>
      </c>
      <c r="I560" s="44">
        <f t="shared" si="355"/>
        <v>0</v>
      </c>
      <c r="J560" s="44">
        <f t="shared" si="355"/>
        <v>0</v>
      </c>
      <c r="K560" s="44">
        <f t="shared" si="355"/>
        <v>0</v>
      </c>
      <c r="L560" s="44">
        <f t="shared" si="355"/>
        <v>0</v>
      </c>
      <c r="M560" s="44">
        <f t="shared" si="355"/>
        <v>0</v>
      </c>
    </row>
    <row r="561" spans="1:13" ht="12.75">
      <c r="A561" s="125" t="s">
        <v>298</v>
      </c>
      <c r="B561" s="21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</row>
    <row r="562" spans="1:13" ht="12.75">
      <c r="A562" s="43" t="s">
        <v>111</v>
      </c>
      <c r="B562" s="21" t="s">
        <v>112</v>
      </c>
      <c r="C562" s="87">
        <v>93</v>
      </c>
      <c r="D562" s="87">
        <v>0</v>
      </c>
      <c r="E562" s="87">
        <v>0</v>
      </c>
      <c r="F562" s="87">
        <v>0</v>
      </c>
      <c r="G562" s="87">
        <v>0</v>
      </c>
      <c r="H562" s="87">
        <v>0</v>
      </c>
      <c r="I562" s="87">
        <v>0</v>
      </c>
      <c r="J562" s="87">
        <v>0</v>
      </c>
      <c r="K562" s="87">
        <v>0</v>
      </c>
      <c r="L562" s="87">
        <v>0</v>
      </c>
      <c r="M562" s="87">
        <v>0</v>
      </c>
    </row>
    <row r="563" spans="1:13" ht="12.75">
      <c r="A563" s="43" t="s">
        <v>98</v>
      </c>
      <c r="B563" s="21" t="s">
        <v>113</v>
      </c>
      <c r="C563" s="44">
        <v>0.25</v>
      </c>
      <c r="D563" s="44">
        <v>0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</row>
    <row r="565" spans="1:14" ht="12.75">
      <c r="A565" s="133" t="s">
        <v>223</v>
      </c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48"/>
    </row>
    <row r="566" spans="1:14" ht="12.75">
      <c r="A566" s="134" t="str">
        <f>$B$1&amp;" Fugitive PM10 Emissions"</f>
        <v>Mira Loma Construction Fugitive PM10 Emissions</v>
      </c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33"/>
    </row>
    <row r="567" spans="1:14" ht="12.75">
      <c r="A567" s="132" t="s">
        <v>108</v>
      </c>
      <c r="B567" s="143" t="s">
        <v>114</v>
      </c>
      <c r="C567" s="132" t="s">
        <v>166</v>
      </c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7"/>
    </row>
    <row r="568" spans="1:13" ht="12.75">
      <c r="A568" s="135"/>
      <c r="B568" s="144"/>
      <c r="C568" s="60">
        <f aca="true" t="shared" si="356" ref="C568:M568">C557</f>
        <v>39139</v>
      </c>
      <c r="D568" s="60">
        <f t="shared" si="356"/>
        <v>39153</v>
      </c>
      <c r="E568" s="60">
        <f t="shared" si="356"/>
        <v>39167</v>
      </c>
      <c r="F568" s="60">
        <f t="shared" si="356"/>
        <v>39181</v>
      </c>
      <c r="G568" s="60">
        <f t="shared" si="356"/>
        <v>39195</v>
      </c>
      <c r="H568" s="60">
        <f t="shared" si="356"/>
        <v>39209</v>
      </c>
      <c r="I568" s="60">
        <f t="shared" si="356"/>
        <v>39223</v>
      </c>
      <c r="J568" s="60">
        <f t="shared" si="356"/>
        <v>39237</v>
      </c>
      <c r="K568" s="60">
        <f t="shared" si="356"/>
        <v>39251</v>
      </c>
      <c r="L568" s="60">
        <f t="shared" si="356"/>
        <v>39265</v>
      </c>
      <c r="M568" s="60">
        <f t="shared" si="356"/>
        <v>39279</v>
      </c>
    </row>
    <row r="569" spans="1:13" ht="12.75">
      <c r="A569" s="34" t="s">
        <v>297</v>
      </c>
      <c r="B569" s="21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</row>
    <row r="570" spans="1:13" ht="12.75">
      <c r="A570" s="43" t="s">
        <v>111</v>
      </c>
      <c r="B570" s="45">
        <f>'Fug. PM10 EFs'!$C$20</f>
        <v>0.0004968071119021534</v>
      </c>
      <c r="C570" s="47">
        <f aca="true" t="shared" si="357" ref="C570:M570">C559*$B570</f>
        <v>0.026354434412333278</v>
      </c>
      <c r="D570" s="47">
        <f t="shared" si="357"/>
        <v>0.052708868824666556</v>
      </c>
      <c r="E570" s="47">
        <f t="shared" si="357"/>
        <v>0.052708868824666556</v>
      </c>
      <c r="F570" s="47">
        <f t="shared" si="357"/>
        <v>0.026354434412333278</v>
      </c>
      <c r="G570" s="47">
        <f t="shared" si="357"/>
        <v>0.026354434412333278</v>
      </c>
      <c r="H570" s="47">
        <f t="shared" si="357"/>
        <v>0</v>
      </c>
      <c r="I570" s="47">
        <f t="shared" si="357"/>
        <v>0</v>
      </c>
      <c r="J570" s="47">
        <f t="shared" si="357"/>
        <v>0</v>
      </c>
      <c r="K570" s="47">
        <f t="shared" si="357"/>
        <v>0</v>
      </c>
      <c r="L570" s="47">
        <f t="shared" si="357"/>
        <v>0</v>
      </c>
      <c r="M570" s="47">
        <f t="shared" si="357"/>
        <v>0</v>
      </c>
    </row>
    <row r="571" spans="1:13" ht="12.75">
      <c r="A571" s="43" t="s">
        <v>98</v>
      </c>
      <c r="B571" s="46">
        <f>'Fug. PM10 EFs'!$C$41</f>
        <v>22.00354609929078</v>
      </c>
      <c r="C571" s="47">
        <f>C560*$B571</f>
        <v>0.37361083682804813</v>
      </c>
      <c r="D571" s="47">
        <f aca="true" t="shared" si="358" ref="D571:M571">D560*$B571</f>
        <v>0.6696363515070813</v>
      </c>
      <c r="E571" s="47">
        <f t="shared" si="358"/>
        <v>0.6696363515070813</v>
      </c>
      <c r="F571" s="47">
        <f t="shared" si="358"/>
        <v>0.37361083682804813</v>
      </c>
      <c r="G571" s="47">
        <f t="shared" si="358"/>
        <v>0.37361083682804813</v>
      </c>
      <c r="H571" s="47">
        <f t="shared" si="358"/>
        <v>0</v>
      </c>
      <c r="I571" s="47">
        <f t="shared" si="358"/>
        <v>0</v>
      </c>
      <c r="J571" s="47">
        <f t="shared" si="358"/>
        <v>0</v>
      </c>
      <c r="K571" s="47">
        <f t="shared" si="358"/>
        <v>0</v>
      </c>
      <c r="L571" s="47">
        <f t="shared" si="358"/>
        <v>0</v>
      </c>
      <c r="M571" s="47">
        <f t="shared" si="358"/>
        <v>0</v>
      </c>
    </row>
    <row r="572" spans="1:13" ht="12.75">
      <c r="A572" s="17" t="s">
        <v>42</v>
      </c>
      <c r="B572" s="3"/>
      <c r="C572" s="49">
        <f aca="true" t="shared" si="359" ref="C572:M572">SUM(C570:C571)</f>
        <v>0.3999652712403814</v>
      </c>
      <c r="D572" s="49">
        <f t="shared" si="359"/>
        <v>0.7223452203317479</v>
      </c>
      <c r="E572" s="49">
        <f t="shared" si="359"/>
        <v>0.7223452203317479</v>
      </c>
      <c r="F572" s="49">
        <f t="shared" si="359"/>
        <v>0.3999652712403814</v>
      </c>
      <c r="G572" s="49">
        <f t="shared" si="359"/>
        <v>0.3999652712403814</v>
      </c>
      <c r="H572" s="49">
        <f t="shared" si="359"/>
        <v>0</v>
      </c>
      <c r="I572" s="49">
        <f t="shared" si="359"/>
        <v>0</v>
      </c>
      <c r="J572" s="49">
        <f t="shared" si="359"/>
        <v>0</v>
      </c>
      <c r="K572" s="49">
        <f t="shared" si="359"/>
        <v>0</v>
      </c>
      <c r="L572" s="49">
        <f t="shared" si="359"/>
        <v>0</v>
      </c>
      <c r="M572" s="49">
        <f t="shared" si="359"/>
        <v>0</v>
      </c>
    </row>
    <row r="573" spans="1:13" ht="12.75">
      <c r="A573" s="125" t="s">
        <v>298</v>
      </c>
      <c r="B573" s="3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2.75">
      <c r="A574" s="43" t="s">
        <v>111</v>
      </c>
      <c r="B574" s="45">
        <f>'Fug. PM10 EFs'!$C$20</f>
        <v>0.0004968071119021534</v>
      </c>
      <c r="C574" s="47">
        <f>C562*$B574</f>
        <v>0.04620306140690027</v>
      </c>
      <c r="D574" s="47">
        <f aca="true" t="shared" si="360" ref="D574:M575">D562*$B574</f>
        <v>0</v>
      </c>
      <c r="E574" s="47">
        <f t="shared" si="360"/>
        <v>0</v>
      </c>
      <c r="F574" s="47">
        <f t="shared" si="360"/>
        <v>0</v>
      </c>
      <c r="G574" s="47">
        <f t="shared" si="360"/>
        <v>0</v>
      </c>
      <c r="H574" s="47">
        <f t="shared" si="360"/>
        <v>0</v>
      </c>
      <c r="I574" s="47">
        <f t="shared" si="360"/>
        <v>0</v>
      </c>
      <c r="J574" s="47">
        <f t="shared" si="360"/>
        <v>0</v>
      </c>
      <c r="K574" s="47">
        <f t="shared" si="360"/>
        <v>0</v>
      </c>
      <c r="L574" s="47">
        <f t="shared" si="360"/>
        <v>0</v>
      </c>
      <c r="M574" s="47">
        <f t="shared" si="360"/>
        <v>0</v>
      </c>
    </row>
    <row r="575" spans="1:13" ht="12.75">
      <c r="A575" s="43" t="s">
        <v>98</v>
      </c>
      <c r="B575" s="46">
        <f>'Fug. PM10 EFs'!$C$41</f>
        <v>22.00354609929078</v>
      </c>
      <c r="C575" s="47">
        <f>C563*$B575</f>
        <v>5.500886524822695</v>
      </c>
      <c r="D575" s="47">
        <f t="shared" si="360"/>
        <v>0</v>
      </c>
      <c r="E575" s="47">
        <f t="shared" si="360"/>
        <v>0</v>
      </c>
      <c r="F575" s="47">
        <f t="shared" si="360"/>
        <v>0</v>
      </c>
      <c r="G575" s="47">
        <f t="shared" si="360"/>
        <v>0</v>
      </c>
      <c r="H575" s="47">
        <f t="shared" si="360"/>
        <v>0</v>
      </c>
      <c r="I575" s="47">
        <f t="shared" si="360"/>
        <v>0</v>
      </c>
      <c r="J575" s="47">
        <f t="shared" si="360"/>
        <v>0</v>
      </c>
      <c r="K575" s="47">
        <f t="shared" si="360"/>
        <v>0</v>
      </c>
      <c r="L575" s="47">
        <f t="shared" si="360"/>
        <v>0</v>
      </c>
      <c r="M575" s="47">
        <f t="shared" si="360"/>
        <v>0</v>
      </c>
    </row>
    <row r="576" spans="1:13" ht="12.75">
      <c r="A576" s="17" t="s">
        <v>42</v>
      </c>
      <c r="B576" s="3"/>
      <c r="C576" s="49">
        <f aca="true" t="shared" si="361" ref="C576:M576">SUM(C574:C575)</f>
        <v>5.547089586229595</v>
      </c>
      <c r="D576" s="49">
        <f t="shared" si="361"/>
        <v>0</v>
      </c>
      <c r="E576" s="49">
        <f t="shared" si="361"/>
        <v>0</v>
      </c>
      <c r="F576" s="49">
        <f t="shared" si="361"/>
        <v>0</v>
      </c>
      <c r="G576" s="49">
        <f t="shared" si="361"/>
        <v>0</v>
      </c>
      <c r="H576" s="49">
        <f t="shared" si="361"/>
        <v>0</v>
      </c>
      <c r="I576" s="49">
        <f t="shared" si="361"/>
        <v>0</v>
      </c>
      <c r="J576" s="49">
        <f t="shared" si="361"/>
        <v>0</v>
      </c>
      <c r="K576" s="49">
        <f t="shared" si="361"/>
        <v>0</v>
      </c>
      <c r="L576" s="49">
        <f t="shared" si="361"/>
        <v>0</v>
      </c>
      <c r="M576" s="49">
        <f t="shared" si="361"/>
        <v>0</v>
      </c>
    </row>
    <row r="577" spans="1:13" ht="12.75">
      <c r="A577" s="123"/>
      <c r="B577" s="7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</row>
    <row r="579" spans="1:13" ht="12.75">
      <c r="A579" s="133" t="s">
        <v>225</v>
      </c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</row>
    <row r="580" spans="1:13" ht="12.75">
      <c r="A580" s="134" t="str">
        <f>$B$1&amp;" Fugitive PM2.5 Emissions"</f>
        <v>Mira Loma Construction Fugitive PM2.5 Emissions</v>
      </c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2" t="s">
        <v>108</v>
      </c>
      <c r="B581" s="145" t="s">
        <v>114</v>
      </c>
      <c r="C581" s="132" t="s">
        <v>166</v>
      </c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</row>
    <row r="582" spans="1:13" ht="12.75">
      <c r="A582" s="135"/>
      <c r="B582" s="146"/>
      <c r="C582" s="60">
        <f aca="true" t="shared" si="362" ref="C582:M582">C568</f>
        <v>39139</v>
      </c>
      <c r="D582" s="60">
        <f t="shared" si="362"/>
        <v>39153</v>
      </c>
      <c r="E582" s="60">
        <f t="shared" si="362"/>
        <v>39167</v>
      </c>
      <c r="F582" s="60">
        <f t="shared" si="362"/>
        <v>39181</v>
      </c>
      <c r="G582" s="60">
        <f t="shared" si="362"/>
        <v>39195</v>
      </c>
      <c r="H582" s="60">
        <f t="shared" si="362"/>
        <v>39209</v>
      </c>
      <c r="I582" s="60">
        <f t="shared" si="362"/>
        <v>39223</v>
      </c>
      <c r="J582" s="60">
        <f t="shared" si="362"/>
        <v>39237</v>
      </c>
      <c r="K582" s="60">
        <f t="shared" si="362"/>
        <v>39251</v>
      </c>
      <c r="L582" s="60">
        <f t="shared" si="362"/>
        <v>39265</v>
      </c>
      <c r="M582" s="60">
        <f t="shared" si="362"/>
        <v>39279</v>
      </c>
    </row>
    <row r="583" spans="1:13" ht="12.75">
      <c r="A583" s="34" t="s">
        <v>297</v>
      </c>
      <c r="B583" s="21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</row>
    <row r="584" spans="1:13" ht="12.75">
      <c r="A584" s="43" t="s">
        <v>111</v>
      </c>
      <c r="B584" s="45">
        <f>'Fug. PM10 EFs'!$C$21</f>
        <v>0.00010432949349945221</v>
      </c>
      <c r="C584" s="47">
        <f>C559*$B584</f>
        <v>0.005534431226589988</v>
      </c>
      <c r="D584" s="47">
        <f aca="true" t="shared" si="363" ref="D584:M584">D559*$B584</f>
        <v>0.011068862453179977</v>
      </c>
      <c r="E584" s="47">
        <f t="shared" si="363"/>
        <v>0.011068862453179977</v>
      </c>
      <c r="F584" s="47">
        <f t="shared" si="363"/>
        <v>0.005534431226589988</v>
      </c>
      <c r="G584" s="47">
        <f t="shared" si="363"/>
        <v>0.005534431226589988</v>
      </c>
      <c r="H584" s="47">
        <f t="shared" si="363"/>
        <v>0</v>
      </c>
      <c r="I584" s="47">
        <f t="shared" si="363"/>
        <v>0</v>
      </c>
      <c r="J584" s="47">
        <f t="shared" si="363"/>
        <v>0</v>
      </c>
      <c r="K584" s="47">
        <f t="shared" si="363"/>
        <v>0</v>
      </c>
      <c r="L584" s="47">
        <f t="shared" si="363"/>
        <v>0</v>
      </c>
      <c r="M584" s="47">
        <f t="shared" si="363"/>
        <v>0</v>
      </c>
    </row>
    <row r="585" spans="1:13" ht="12.75">
      <c r="A585" s="43" t="s">
        <v>98</v>
      </c>
      <c r="B585" s="46">
        <f>'Fug. PM10 EFs'!$C$42</f>
        <v>4.620744680851064</v>
      </c>
      <c r="C585" s="47">
        <f>C560*$B585</f>
        <v>0.07845827573389011</v>
      </c>
      <c r="D585" s="47">
        <f aca="true" t="shared" si="364" ref="D585:M585">D560*$B585</f>
        <v>0.14062363381648707</v>
      </c>
      <c r="E585" s="47">
        <f t="shared" si="364"/>
        <v>0.14062363381648707</v>
      </c>
      <c r="F585" s="47">
        <f t="shared" si="364"/>
        <v>0.07845827573389011</v>
      </c>
      <c r="G585" s="47">
        <f t="shared" si="364"/>
        <v>0.07845827573389011</v>
      </c>
      <c r="H585" s="47">
        <f t="shared" si="364"/>
        <v>0</v>
      </c>
      <c r="I585" s="47">
        <f t="shared" si="364"/>
        <v>0</v>
      </c>
      <c r="J585" s="47">
        <f t="shared" si="364"/>
        <v>0</v>
      </c>
      <c r="K585" s="47">
        <f t="shared" si="364"/>
        <v>0</v>
      </c>
      <c r="L585" s="47">
        <f t="shared" si="364"/>
        <v>0</v>
      </c>
      <c r="M585" s="47">
        <f t="shared" si="364"/>
        <v>0</v>
      </c>
    </row>
    <row r="586" spans="1:13" ht="12.75">
      <c r="A586" s="17" t="s">
        <v>42</v>
      </c>
      <c r="B586" s="3"/>
      <c r="C586" s="49">
        <f aca="true" t="shared" si="365" ref="C586:M586">SUM(C584:C585)</f>
        <v>0.0839927069604801</v>
      </c>
      <c r="D586" s="49">
        <f t="shared" si="365"/>
        <v>0.15169249626966705</v>
      </c>
      <c r="E586" s="49">
        <f t="shared" si="365"/>
        <v>0.15169249626966705</v>
      </c>
      <c r="F586" s="49">
        <f t="shared" si="365"/>
        <v>0.0839927069604801</v>
      </c>
      <c r="G586" s="49">
        <f t="shared" si="365"/>
        <v>0.0839927069604801</v>
      </c>
      <c r="H586" s="49">
        <f t="shared" si="365"/>
        <v>0</v>
      </c>
      <c r="I586" s="49">
        <f t="shared" si="365"/>
        <v>0</v>
      </c>
      <c r="J586" s="49">
        <f t="shared" si="365"/>
        <v>0</v>
      </c>
      <c r="K586" s="49">
        <f t="shared" si="365"/>
        <v>0</v>
      </c>
      <c r="L586" s="49">
        <f t="shared" si="365"/>
        <v>0</v>
      </c>
      <c r="M586" s="49">
        <f t="shared" si="365"/>
        <v>0</v>
      </c>
    </row>
    <row r="587" spans="1:13" ht="12.75">
      <c r="A587" s="125" t="s">
        <v>298</v>
      </c>
      <c r="B587" s="3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2.75">
      <c r="A588" s="43" t="s">
        <v>111</v>
      </c>
      <c r="B588" s="45">
        <f>'Fug. PM10 EFs'!$C$21</f>
        <v>0.00010432949349945221</v>
      </c>
      <c r="C588" s="47">
        <f>C562*$B588</f>
        <v>0.009702642895449056</v>
      </c>
      <c r="D588" s="47">
        <f aca="true" t="shared" si="366" ref="D588:M588">D562*$B588</f>
        <v>0</v>
      </c>
      <c r="E588" s="47">
        <f t="shared" si="366"/>
        <v>0</v>
      </c>
      <c r="F588" s="47">
        <f t="shared" si="366"/>
        <v>0</v>
      </c>
      <c r="G588" s="47">
        <f t="shared" si="366"/>
        <v>0</v>
      </c>
      <c r="H588" s="47">
        <f t="shared" si="366"/>
        <v>0</v>
      </c>
      <c r="I588" s="47">
        <f t="shared" si="366"/>
        <v>0</v>
      </c>
      <c r="J588" s="47">
        <f t="shared" si="366"/>
        <v>0</v>
      </c>
      <c r="K588" s="47">
        <f t="shared" si="366"/>
        <v>0</v>
      </c>
      <c r="L588" s="47">
        <f t="shared" si="366"/>
        <v>0</v>
      </c>
      <c r="M588" s="47">
        <f t="shared" si="366"/>
        <v>0</v>
      </c>
    </row>
    <row r="589" spans="1:13" ht="12.75">
      <c r="A589" s="43" t="s">
        <v>98</v>
      </c>
      <c r="B589" s="46">
        <f>'Fug. PM10 EFs'!$C$42</f>
        <v>4.620744680851064</v>
      </c>
      <c r="C589" s="47">
        <f>C563*$B589</f>
        <v>1.155186170212766</v>
      </c>
      <c r="D589" s="47">
        <f aca="true" t="shared" si="367" ref="D589:M589">D563*$B589</f>
        <v>0</v>
      </c>
      <c r="E589" s="47">
        <f t="shared" si="367"/>
        <v>0</v>
      </c>
      <c r="F589" s="47">
        <f t="shared" si="367"/>
        <v>0</v>
      </c>
      <c r="G589" s="47">
        <f t="shared" si="367"/>
        <v>0</v>
      </c>
      <c r="H589" s="47">
        <f t="shared" si="367"/>
        <v>0</v>
      </c>
      <c r="I589" s="47">
        <f t="shared" si="367"/>
        <v>0</v>
      </c>
      <c r="J589" s="47">
        <f t="shared" si="367"/>
        <v>0</v>
      </c>
      <c r="K589" s="47">
        <f t="shared" si="367"/>
        <v>0</v>
      </c>
      <c r="L589" s="47">
        <f t="shared" si="367"/>
        <v>0</v>
      </c>
      <c r="M589" s="47">
        <f t="shared" si="367"/>
        <v>0</v>
      </c>
    </row>
    <row r="590" spans="1:13" ht="12.75">
      <c r="A590" s="17" t="s">
        <v>42</v>
      </c>
      <c r="B590" s="3"/>
      <c r="C590" s="49">
        <f aca="true" t="shared" si="368" ref="C590:M590">SUM(C588:C589)</f>
        <v>1.164888813108215</v>
      </c>
      <c r="D590" s="49">
        <f t="shared" si="368"/>
        <v>0</v>
      </c>
      <c r="E590" s="49">
        <f t="shared" si="368"/>
        <v>0</v>
      </c>
      <c r="F590" s="49">
        <f t="shared" si="368"/>
        <v>0</v>
      </c>
      <c r="G590" s="49">
        <f t="shared" si="368"/>
        <v>0</v>
      </c>
      <c r="H590" s="49">
        <f t="shared" si="368"/>
        <v>0</v>
      </c>
      <c r="I590" s="49">
        <f t="shared" si="368"/>
        <v>0</v>
      </c>
      <c r="J590" s="49">
        <f t="shared" si="368"/>
        <v>0</v>
      </c>
      <c r="K590" s="49">
        <f t="shared" si="368"/>
        <v>0</v>
      </c>
      <c r="L590" s="49">
        <f t="shared" si="368"/>
        <v>0</v>
      </c>
      <c r="M590" s="49">
        <f t="shared" si="368"/>
        <v>0</v>
      </c>
    </row>
    <row r="591" spans="1:13" ht="12.75">
      <c r="A591" s="123"/>
      <c r="B591" s="7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</row>
    <row r="593" spans="1:14" ht="12.75">
      <c r="A593" s="133" t="s">
        <v>226</v>
      </c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48"/>
      <c r="N593" s="48"/>
    </row>
    <row r="594" spans="1:14" ht="12.75">
      <c r="A594" s="134" t="str">
        <f>$B$1&amp;" Architectural Coating VOC Emissions"</f>
        <v>Mira Loma Construction Architectural Coating VOC Emissions</v>
      </c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33"/>
      <c r="N594" s="33"/>
    </row>
    <row r="595" spans="1:14" ht="12.75">
      <c r="A595" s="145" t="s">
        <v>121</v>
      </c>
      <c r="B595" s="132" t="s">
        <v>167</v>
      </c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7"/>
      <c r="N595" s="7"/>
    </row>
    <row r="596" spans="1:12" ht="12.75">
      <c r="A596" s="146"/>
      <c r="B596" s="60">
        <f aca="true" t="shared" si="369" ref="B596:L596">C568</f>
        <v>39139</v>
      </c>
      <c r="C596" s="60">
        <f t="shared" si="369"/>
        <v>39153</v>
      </c>
      <c r="D596" s="60">
        <f t="shared" si="369"/>
        <v>39167</v>
      </c>
      <c r="E596" s="60">
        <f t="shared" si="369"/>
        <v>39181</v>
      </c>
      <c r="F596" s="60">
        <f t="shared" si="369"/>
        <v>39195</v>
      </c>
      <c r="G596" s="60">
        <f t="shared" si="369"/>
        <v>39209</v>
      </c>
      <c r="H596" s="60">
        <f t="shared" si="369"/>
        <v>39223</v>
      </c>
      <c r="I596" s="60">
        <f t="shared" si="369"/>
        <v>39237</v>
      </c>
      <c r="J596" s="60">
        <f t="shared" si="369"/>
        <v>39251</v>
      </c>
      <c r="K596" s="60">
        <f t="shared" si="369"/>
        <v>39265</v>
      </c>
      <c r="L596" s="60">
        <f t="shared" si="369"/>
        <v>39279</v>
      </c>
    </row>
    <row r="597" spans="1:12" ht="12.75">
      <c r="A597" s="125" t="s">
        <v>297</v>
      </c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43" t="s">
        <v>115</v>
      </c>
      <c r="B598" s="5">
        <f>IF(D179&gt;0,1,0)</f>
        <v>0</v>
      </c>
      <c r="C598" s="5">
        <f>IF(E179&gt;0,1,0)</f>
        <v>1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10</v>
      </c>
      <c r="K598" s="5">
        <v>0</v>
      </c>
      <c r="L598" s="5">
        <v>0</v>
      </c>
    </row>
    <row r="599" spans="1:12" ht="15">
      <c r="A599" s="43" t="s">
        <v>116</v>
      </c>
      <c r="B599" s="54">
        <v>0.84</v>
      </c>
      <c r="C599" s="54">
        <v>0.84</v>
      </c>
      <c r="D599" s="54">
        <v>0.84</v>
      </c>
      <c r="E599" s="54">
        <v>0.84</v>
      </c>
      <c r="F599" s="54">
        <v>0.84</v>
      </c>
      <c r="G599" s="54">
        <v>0.84</v>
      </c>
      <c r="H599" s="54">
        <v>0.84</v>
      </c>
      <c r="I599" s="54">
        <v>0.84</v>
      </c>
      <c r="J599" s="54">
        <v>0.84</v>
      </c>
      <c r="K599" s="54">
        <v>0.84</v>
      </c>
      <c r="L599" s="54">
        <v>0.84</v>
      </c>
    </row>
    <row r="600" spans="1:12" ht="12.75">
      <c r="A600" s="52" t="s">
        <v>117</v>
      </c>
      <c r="B600" s="55">
        <f aca="true" t="shared" si="370" ref="B600:L600">B599*B598</f>
        <v>0</v>
      </c>
      <c r="C600" s="55">
        <f t="shared" si="370"/>
        <v>0.84</v>
      </c>
      <c r="D600" s="55">
        <f t="shared" si="370"/>
        <v>0</v>
      </c>
      <c r="E600" s="55">
        <f t="shared" si="370"/>
        <v>0</v>
      </c>
      <c r="F600" s="55">
        <f t="shared" si="370"/>
        <v>0</v>
      </c>
      <c r="G600" s="55">
        <f t="shared" si="370"/>
        <v>0</v>
      </c>
      <c r="H600" s="55">
        <f t="shared" si="370"/>
        <v>0</v>
      </c>
      <c r="I600" s="55">
        <f t="shared" si="370"/>
        <v>0</v>
      </c>
      <c r="J600" s="55">
        <f t="shared" si="370"/>
        <v>8.4</v>
      </c>
      <c r="K600" s="55">
        <f t="shared" si="370"/>
        <v>0</v>
      </c>
      <c r="L600" s="55">
        <f t="shared" si="370"/>
        <v>0</v>
      </c>
    </row>
    <row r="601" spans="1:14" ht="12.75">
      <c r="A601" s="53" t="s">
        <v>118</v>
      </c>
      <c r="B601" s="50"/>
      <c r="C601" s="8"/>
      <c r="D601" s="8"/>
      <c r="E601" s="8"/>
      <c r="F601" s="8"/>
      <c r="G601" s="8"/>
      <c r="H601" s="51"/>
      <c r="I601" s="51"/>
      <c r="J601" s="51"/>
      <c r="K601" s="51"/>
      <c r="L601" s="8"/>
      <c r="M601" s="8"/>
      <c r="N601" s="8"/>
    </row>
    <row r="603" spans="1:14" ht="12.75">
      <c r="A603" s="133" t="s">
        <v>227</v>
      </c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48"/>
      <c r="N603" s="48"/>
    </row>
    <row r="604" spans="1:14" ht="12.75">
      <c r="A604" s="134" t="str">
        <f>$B$1&amp;" Asphaltic Paving VOC Emissions"</f>
        <v>Mira Loma Construction Asphaltic Paving VOC Emissions</v>
      </c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33"/>
      <c r="N604" s="33"/>
    </row>
    <row r="605" spans="1:14" ht="12.75">
      <c r="A605" s="145" t="s">
        <v>121</v>
      </c>
      <c r="B605" s="132" t="s">
        <v>167</v>
      </c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7"/>
      <c r="N605" s="7"/>
    </row>
    <row r="606" spans="1:12" ht="12.75">
      <c r="A606" s="146"/>
      <c r="B606" s="60">
        <f aca="true" t="shared" si="371" ref="B606:L606">B596</f>
        <v>39139</v>
      </c>
      <c r="C606" s="60">
        <f t="shared" si="371"/>
        <v>39153</v>
      </c>
      <c r="D606" s="60">
        <f t="shared" si="371"/>
        <v>39167</v>
      </c>
      <c r="E606" s="60">
        <f t="shared" si="371"/>
        <v>39181</v>
      </c>
      <c r="F606" s="60">
        <f t="shared" si="371"/>
        <v>39195</v>
      </c>
      <c r="G606" s="60">
        <f t="shared" si="371"/>
        <v>39209</v>
      </c>
      <c r="H606" s="60">
        <f t="shared" si="371"/>
        <v>39223</v>
      </c>
      <c r="I606" s="60">
        <f t="shared" si="371"/>
        <v>39237</v>
      </c>
      <c r="J606" s="60">
        <f t="shared" si="371"/>
        <v>39251</v>
      </c>
      <c r="K606" s="60">
        <f t="shared" si="371"/>
        <v>39265</v>
      </c>
      <c r="L606" s="60">
        <f t="shared" si="371"/>
        <v>39279</v>
      </c>
    </row>
    <row r="607" spans="1:12" ht="12.75">
      <c r="A607" s="125" t="s">
        <v>297</v>
      </c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43" t="s">
        <v>137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</row>
    <row r="609" spans="1:12" ht="12.75">
      <c r="A609" s="43" t="s">
        <v>119</v>
      </c>
      <c r="B609" s="44">
        <f aca="true" t="shared" si="372" ref="B609:L609">B608/43560</f>
        <v>0</v>
      </c>
      <c r="C609" s="44">
        <f t="shared" si="372"/>
        <v>0</v>
      </c>
      <c r="D609" s="44">
        <f t="shared" si="372"/>
        <v>0</v>
      </c>
      <c r="E609" s="44">
        <f t="shared" si="372"/>
        <v>0</v>
      </c>
      <c r="F609" s="44">
        <f t="shared" si="372"/>
        <v>0</v>
      </c>
      <c r="G609" s="44">
        <f t="shared" si="372"/>
        <v>0</v>
      </c>
      <c r="H609" s="44">
        <f t="shared" si="372"/>
        <v>0</v>
      </c>
      <c r="I609" s="44">
        <f t="shared" si="372"/>
        <v>0</v>
      </c>
      <c r="J609" s="44">
        <f t="shared" si="372"/>
        <v>0</v>
      </c>
      <c r="K609" s="44">
        <f t="shared" si="372"/>
        <v>0</v>
      </c>
      <c r="L609" s="44">
        <f t="shared" si="372"/>
        <v>0</v>
      </c>
    </row>
    <row r="610" spans="1:12" ht="15">
      <c r="A610" s="43" t="s">
        <v>120</v>
      </c>
      <c r="B610" s="54">
        <v>2.62</v>
      </c>
      <c r="C610" s="54">
        <v>2.62</v>
      </c>
      <c r="D610" s="54">
        <v>2.62</v>
      </c>
      <c r="E610" s="54">
        <v>2.62</v>
      </c>
      <c r="F610" s="54">
        <v>2.62</v>
      </c>
      <c r="G610" s="54">
        <v>2.62</v>
      </c>
      <c r="H610" s="54">
        <v>2.62</v>
      </c>
      <c r="I610" s="54">
        <v>2.62</v>
      </c>
      <c r="J610" s="54">
        <v>2.62</v>
      </c>
      <c r="K610" s="54">
        <v>2.62</v>
      </c>
      <c r="L610" s="54">
        <v>2.62</v>
      </c>
    </row>
    <row r="611" spans="1:12" ht="12.75">
      <c r="A611" s="52" t="s">
        <v>117</v>
      </c>
      <c r="B611" s="55">
        <f aca="true" t="shared" si="373" ref="B611:L611">B610*B609</f>
        <v>0</v>
      </c>
      <c r="C611" s="55">
        <f t="shared" si="373"/>
        <v>0</v>
      </c>
      <c r="D611" s="55">
        <f t="shared" si="373"/>
        <v>0</v>
      </c>
      <c r="E611" s="55">
        <f t="shared" si="373"/>
        <v>0</v>
      </c>
      <c r="F611" s="55">
        <f t="shared" si="373"/>
        <v>0</v>
      </c>
      <c r="G611" s="55">
        <f t="shared" si="373"/>
        <v>0</v>
      </c>
      <c r="H611" s="55">
        <f t="shared" si="373"/>
        <v>0</v>
      </c>
      <c r="I611" s="55">
        <f t="shared" si="373"/>
        <v>0</v>
      </c>
      <c r="J611" s="55">
        <f t="shared" si="373"/>
        <v>0</v>
      </c>
      <c r="K611" s="55">
        <f t="shared" si="373"/>
        <v>0</v>
      </c>
      <c r="L611" s="55">
        <f t="shared" si="373"/>
        <v>0</v>
      </c>
    </row>
    <row r="612" ht="12.75">
      <c r="A612" s="125" t="s">
        <v>298</v>
      </c>
    </row>
    <row r="613" spans="1:12" ht="12.75">
      <c r="A613" s="43" t="s">
        <v>137</v>
      </c>
      <c r="B613" s="32">
        <v>750</v>
      </c>
      <c r="C613" s="32">
        <v>0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</row>
    <row r="614" spans="1:12" ht="12.75">
      <c r="A614" s="43" t="s">
        <v>119</v>
      </c>
      <c r="B614" s="44">
        <f aca="true" t="shared" si="374" ref="B614:L614">B613/43560</f>
        <v>0.01721763085399449</v>
      </c>
      <c r="C614" s="44">
        <f t="shared" si="374"/>
        <v>0</v>
      </c>
      <c r="D614" s="44">
        <f t="shared" si="374"/>
        <v>0</v>
      </c>
      <c r="E614" s="44">
        <f t="shared" si="374"/>
        <v>0</v>
      </c>
      <c r="F614" s="44">
        <f t="shared" si="374"/>
        <v>0</v>
      </c>
      <c r="G614" s="44">
        <f t="shared" si="374"/>
        <v>0</v>
      </c>
      <c r="H614" s="44">
        <f t="shared" si="374"/>
        <v>0</v>
      </c>
      <c r="I614" s="44">
        <f t="shared" si="374"/>
        <v>0</v>
      </c>
      <c r="J614" s="44">
        <f t="shared" si="374"/>
        <v>0</v>
      </c>
      <c r="K614" s="44">
        <f t="shared" si="374"/>
        <v>0</v>
      </c>
      <c r="L614" s="44">
        <f t="shared" si="374"/>
        <v>0</v>
      </c>
    </row>
    <row r="615" spans="1:12" ht="15">
      <c r="A615" s="43" t="s">
        <v>120</v>
      </c>
      <c r="B615" s="54">
        <v>2.62</v>
      </c>
      <c r="C615" s="54">
        <v>2.62</v>
      </c>
      <c r="D615" s="54">
        <v>2.62</v>
      </c>
      <c r="E615" s="54">
        <v>2.62</v>
      </c>
      <c r="F615" s="54">
        <v>2.62</v>
      </c>
      <c r="G615" s="54">
        <v>2.62</v>
      </c>
      <c r="H615" s="54">
        <v>2.62</v>
      </c>
      <c r="I615" s="54">
        <v>2.62</v>
      </c>
      <c r="J615" s="54">
        <v>2.62</v>
      </c>
      <c r="K615" s="54">
        <v>2.62</v>
      </c>
      <c r="L615" s="54">
        <v>2.62</v>
      </c>
    </row>
    <row r="616" spans="1:12" ht="12.75">
      <c r="A616" s="52" t="s">
        <v>117</v>
      </c>
      <c r="B616" s="55">
        <f aca="true" t="shared" si="375" ref="B616:L616">B615*B614</f>
        <v>0.04511019283746557</v>
      </c>
      <c r="C616" s="55">
        <f t="shared" si="375"/>
        <v>0</v>
      </c>
      <c r="D616" s="55">
        <f t="shared" si="375"/>
        <v>0</v>
      </c>
      <c r="E616" s="55">
        <f t="shared" si="375"/>
        <v>0</v>
      </c>
      <c r="F616" s="55">
        <f t="shared" si="375"/>
        <v>0</v>
      </c>
      <c r="G616" s="55">
        <f t="shared" si="375"/>
        <v>0</v>
      </c>
      <c r="H616" s="55">
        <f t="shared" si="375"/>
        <v>0</v>
      </c>
      <c r="I616" s="55">
        <f t="shared" si="375"/>
        <v>0</v>
      </c>
      <c r="J616" s="55">
        <f t="shared" si="375"/>
        <v>0</v>
      </c>
      <c r="K616" s="55">
        <f t="shared" si="375"/>
        <v>0</v>
      </c>
      <c r="L616" s="55">
        <f t="shared" si="375"/>
        <v>0</v>
      </c>
    </row>
  </sheetData>
  <sheetProtection/>
  <mergeCells count="88">
    <mergeCell ref="A463:M463"/>
    <mergeCell ref="A464:M464"/>
    <mergeCell ref="A465:A466"/>
    <mergeCell ref="B465:B466"/>
    <mergeCell ref="C465:M465"/>
    <mergeCell ref="A530:M530"/>
    <mergeCell ref="A531:M531"/>
    <mergeCell ref="A532:A533"/>
    <mergeCell ref="B532:B533"/>
    <mergeCell ref="C532:M532"/>
    <mergeCell ref="A419:M419"/>
    <mergeCell ref="A420:M420"/>
    <mergeCell ref="A421:A422"/>
    <mergeCell ref="B421:B422"/>
    <mergeCell ref="C421:M421"/>
    <mergeCell ref="A486:M486"/>
    <mergeCell ref="A487:M487"/>
    <mergeCell ref="A488:A489"/>
    <mergeCell ref="B488:B489"/>
    <mergeCell ref="C488:M488"/>
    <mergeCell ref="A377:A378"/>
    <mergeCell ref="B377:B378"/>
    <mergeCell ref="C377:M377"/>
    <mergeCell ref="A332:M332"/>
    <mergeCell ref="A333:A334"/>
    <mergeCell ref="B333:B334"/>
    <mergeCell ref="C333:M333"/>
    <mergeCell ref="A594:L594"/>
    <mergeCell ref="A593:L593"/>
    <mergeCell ref="A581:A582"/>
    <mergeCell ref="B581:B582"/>
    <mergeCell ref="C581:M581"/>
    <mergeCell ref="A605:A606"/>
    <mergeCell ref="B605:L605"/>
    <mergeCell ref="A604:L604"/>
    <mergeCell ref="A603:L603"/>
    <mergeCell ref="B595:L595"/>
    <mergeCell ref="A595:A596"/>
    <mergeCell ref="C567:M567"/>
    <mergeCell ref="A579:M579"/>
    <mergeCell ref="A580:M580"/>
    <mergeCell ref="B556:B557"/>
    <mergeCell ref="A567:A568"/>
    <mergeCell ref="B567:B568"/>
    <mergeCell ref="A566:M566"/>
    <mergeCell ref="A565:M565"/>
    <mergeCell ref="A555:M555"/>
    <mergeCell ref="C556:M556"/>
    <mergeCell ref="C208:M208"/>
    <mergeCell ref="A243:M243"/>
    <mergeCell ref="A554:M554"/>
    <mergeCell ref="B245:B246"/>
    <mergeCell ref="A244:M244"/>
    <mergeCell ref="A287:M287"/>
    <mergeCell ref="A288:M288"/>
    <mergeCell ref="A556:A557"/>
    <mergeCell ref="A289:A290"/>
    <mergeCell ref="B289:B290"/>
    <mergeCell ref="C289:M289"/>
    <mergeCell ref="A331:M331"/>
    <mergeCell ref="A375:M375"/>
    <mergeCell ref="A376:M376"/>
    <mergeCell ref="C245:M245"/>
    <mergeCell ref="A245:A246"/>
    <mergeCell ref="A208:A209"/>
    <mergeCell ref="A81:L81"/>
    <mergeCell ref="A121:L121"/>
    <mergeCell ref="A122:L122"/>
    <mergeCell ref="B208:B209"/>
    <mergeCell ref="A207:M207"/>
    <mergeCell ref="A206:M206"/>
    <mergeCell ref="A170:N170"/>
    <mergeCell ref="A171:A172"/>
    <mergeCell ref="B171:B172"/>
    <mergeCell ref="C171:C172"/>
    <mergeCell ref="D171:N171"/>
    <mergeCell ref="A123:A124"/>
    <mergeCell ref="B123:L123"/>
    <mergeCell ref="A169:N169"/>
    <mergeCell ref="A37:A38"/>
    <mergeCell ref="A36:L36"/>
    <mergeCell ref="B37:L37"/>
    <mergeCell ref="A80:L80"/>
    <mergeCell ref="A3:G3"/>
    <mergeCell ref="A2:G2"/>
    <mergeCell ref="A82:A83"/>
    <mergeCell ref="B82:L82"/>
    <mergeCell ref="A35:L35"/>
  </mergeCells>
  <conditionalFormatting sqref="B31:G31">
    <cfRule type="cellIs" priority="1" dxfId="0" operator="equal" stopIfTrue="1">
      <formula>"Yes"</formula>
    </cfRule>
  </conditionalFormatting>
  <printOptions/>
  <pageMargins left="0.75" right="0.75" top="1" bottom="1" header="0.5" footer="0.5"/>
  <pageSetup fitToHeight="99" horizontalDpi="600" verticalDpi="600" orientation="landscape" scale="69" r:id="rId1"/>
  <headerFooter alignWithMargins="0">
    <oddFooter>&amp;CC.1-&amp;P&amp;RSCE Mira Loma Peaker Project</oddFooter>
  </headerFooter>
  <rowBreaks count="15" manualBreakCount="15">
    <brk id="34" max="255" man="1"/>
    <brk id="79" max="255" man="1"/>
    <brk id="120" max="255" man="1"/>
    <brk id="168" max="255" man="1"/>
    <brk id="205" max="255" man="1"/>
    <brk id="242" max="255" man="1"/>
    <brk id="286" max="255" man="1"/>
    <brk id="330" max="255" man="1"/>
    <brk id="374" max="255" man="1"/>
    <brk id="418" max="255" man="1"/>
    <brk id="462" max="255" man="1"/>
    <brk id="485" max="255" man="1"/>
    <brk id="529" max="255" man="1"/>
    <brk id="553" max="255" man="1"/>
    <brk id="6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2">
      <selection activeCell="A2" sqref="A2:L2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316</v>
      </c>
    </row>
    <row r="2" spans="1:14" ht="12.75">
      <c r="A2" s="133" t="s">
        <v>317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48"/>
      <c r="N2" s="48"/>
    </row>
    <row r="3" spans="1:14" ht="12.75">
      <c r="A3" s="134" t="str">
        <f>$B$1&amp;" NOx Emissions Mitigation"</f>
        <v>Mira Loma Construction NOx Emissions Mitigation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3"/>
      <c r="N3" s="33"/>
    </row>
    <row r="4" spans="1:14" ht="12.75">
      <c r="A4" s="132" t="s">
        <v>121</v>
      </c>
      <c r="B4" s="132" t="s">
        <v>305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"/>
      <c r="N4" s="7"/>
    </row>
    <row r="5" spans="1:12" ht="12.75">
      <c r="A5" s="135"/>
      <c r="B5" s="60">
        <f>DATE(2007,2,26)</f>
        <v>39139</v>
      </c>
      <c r="C5" s="60">
        <f aca="true" t="shared" si="0" ref="C5:L5">B5+14</f>
        <v>39153</v>
      </c>
      <c r="D5" s="60">
        <f t="shared" si="0"/>
        <v>39167</v>
      </c>
      <c r="E5" s="60">
        <f t="shared" si="0"/>
        <v>39181</v>
      </c>
      <c r="F5" s="60">
        <f t="shared" si="0"/>
        <v>39195</v>
      </c>
      <c r="G5" s="60">
        <f t="shared" si="0"/>
        <v>39209</v>
      </c>
      <c r="H5" s="60">
        <f t="shared" si="0"/>
        <v>39223</v>
      </c>
      <c r="I5" s="60">
        <f t="shared" si="0"/>
        <v>39237</v>
      </c>
      <c r="J5" s="60">
        <f t="shared" si="0"/>
        <v>39251</v>
      </c>
      <c r="K5" s="60">
        <f t="shared" si="0"/>
        <v>39265</v>
      </c>
      <c r="L5" s="60">
        <f t="shared" si="0"/>
        <v>39279</v>
      </c>
    </row>
    <row r="6" spans="1:12" ht="12.75">
      <c r="A6" s="127" t="s">
        <v>306</v>
      </c>
      <c r="B6" s="35">
        <f>'Mira Loma'!B100</f>
        <v>80.85762295202463</v>
      </c>
      <c r="C6" s="35">
        <f>'Mira Loma'!C100</f>
        <v>114.70901982370124</v>
      </c>
      <c r="D6" s="35">
        <f>'Mira Loma'!D100</f>
        <v>118.05153810578341</v>
      </c>
      <c r="E6" s="35">
        <f>'Mira Loma'!E100</f>
        <v>125.5976039623377</v>
      </c>
      <c r="F6" s="35">
        <f>'Mira Loma'!F100</f>
        <v>40.40020695855962</v>
      </c>
      <c r="G6" s="35">
        <f>'Mira Loma'!G100</f>
        <v>24.034886570479852</v>
      </c>
      <c r="H6" s="35">
        <f>'Mira Loma'!H100</f>
        <v>20.859461429109814</v>
      </c>
      <c r="I6" s="35">
        <f>'Mira Loma'!I100</f>
        <v>20.478381429109813</v>
      </c>
      <c r="J6" s="35">
        <f>'Mira Loma'!J100</f>
        <v>0.22456500000000001</v>
      </c>
      <c r="K6" s="35">
        <f>'Mira Loma'!K100</f>
        <v>0</v>
      </c>
      <c r="L6" s="35">
        <f>'Mira Loma'!L100</f>
        <v>0</v>
      </c>
    </row>
    <row r="7" spans="1:12" ht="12.75">
      <c r="A7" s="15" t="s">
        <v>307</v>
      </c>
      <c r="B7" s="35">
        <f>IF(B6&gt;24,-(B6-24),0)</f>
        <v>-56.85762295202463</v>
      </c>
      <c r="C7" s="35">
        <f aca="true" t="shared" si="1" ref="C7:L7">IF(C6&gt;24,-(C6-24),0)</f>
        <v>-90.70901982370124</v>
      </c>
      <c r="D7" s="35">
        <f t="shared" si="1"/>
        <v>-94.05153810578341</v>
      </c>
      <c r="E7" s="35">
        <f t="shared" si="1"/>
        <v>-101.5976039623377</v>
      </c>
      <c r="F7" s="35">
        <f t="shared" si="1"/>
        <v>-16.40020695855962</v>
      </c>
      <c r="G7" s="35">
        <f t="shared" si="1"/>
        <v>-0.034886570479852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</row>
    <row r="8" spans="1:12" ht="12.75">
      <c r="A8" s="34" t="s">
        <v>308</v>
      </c>
      <c r="B8" s="18">
        <f aca="true" t="shared" si="2" ref="B8:L8">B6+B7</f>
        <v>24</v>
      </c>
      <c r="C8" s="18">
        <f t="shared" si="2"/>
        <v>24</v>
      </c>
      <c r="D8" s="18">
        <f t="shared" si="2"/>
        <v>24</v>
      </c>
      <c r="E8" s="18">
        <f t="shared" si="2"/>
        <v>24</v>
      </c>
      <c r="F8" s="18">
        <f t="shared" si="2"/>
        <v>24</v>
      </c>
      <c r="G8" s="18">
        <f t="shared" si="2"/>
        <v>24</v>
      </c>
      <c r="H8" s="18">
        <f t="shared" si="2"/>
        <v>20.859461429109814</v>
      </c>
      <c r="I8" s="18">
        <f t="shared" si="2"/>
        <v>20.478381429109813</v>
      </c>
      <c r="J8" s="18">
        <f t="shared" si="2"/>
        <v>0.22456500000000001</v>
      </c>
      <c r="K8" s="18">
        <f t="shared" si="2"/>
        <v>0</v>
      </c>
      <c r="L8" s="18">
        <f t="shared" si="2"/>
        <v>0</v>
      </c>
    </row>
    <row r="9" spans="1:12" ht="12.75">
      <c r="A9" s="66" t="s">
        <v>163</v>
      </c>
      <c r="B9" s="67">
        <v>100</v>
      </c>
      <c r="C9" s="67">
        <v>100</v>
      </c>
      <c r="D9" s="67">
        <v>100</v>
      </c>
      <c r="E9" s="67">
        <v>100</v>
      </c>
      <c r="F9" s="67">
        <v>100</v>
      </c>
      <c r="G9" s="67">
        <v>100</v>
      </c>
      <c r="H9" s="67">
        <v>100</v>
      </c>
      <c r="I9" s="67">
        <v>100</v>
      </c>
      <c r="J9" s="67">
        <v>100</v>
      </c>
      <c r="K9" s="67">
        <v>100</v>
      </c>
      <c r="L9" s="67">
        <v>100</v>
      </c>
    </row>
    <row r="10" spans="1:12" ht="12.75">
      <c r="A10" s="34" t="s">
        <v>164</v>
      </c>
      <c r="B10" s="68" t="str">
        <f aca="true" t="shared" si="3" ref="B10:L10">IF(B8&gt;B9,"Yes","No")</f>
        <v>No</v>
      </c>
      <c r="C10" s="68" t="str">
        <f t="shared" si="3"/>
        <v>No</v>
      </c>
      <c r="D10" s="68" t="str">
        <f t="shared" si="3"/>
        <v>No</v>
      </c>
      <c r="E10" s="68" t="str">
        <f t="shared" si="3"/>
        <v>No</v>
      </c>
      <c r="F10" s="68" t="str">
        <f t="shared" si="3"/>
        <v>No</v>
      </c>
      <c r="G10" s="68" t="str">
        <f t="shared" si="3"/>
        <v>No</v>
      </c>
      <c r="H10" s="68" t="str">
        <f t="shared" si="3"/>
        <v>No</v>
      </c>
      <c r="I10" s="68" t="str">
        <f t="shared" si="3"/>
        <v>No</v>
      </c>
      <c r="J10" s="68" t="str">
        <f t="shared" si="3"/>
        <v>No</v>
      </c>
      <c r="K10" s="68" t="str">
        <f t="shared" si="3"/>
        <v>No</v>
      </c>
      <c r="L10" s="68" t="str">
        <f t="shared" si="3"/>
        <v>No</v>
      </c>
    </row>
    <row r="11" spans="1:12" ht="12.75">
      <c r="A11" s="1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2.75">
      <c r="A12" s="15" t="s">
        <v>310</v>
      </c>
      <c r="B12" s="35">
        <f aca="true" t="shared" si="4" ref="B12:L12">-B7*$B$14</f>
        <v>682.2914754242955</v>
      </c>
      <c r="C12" s="35">
        <f t="shared" si="4"/>
        <v>1088.508237884415</v>
      </c>
      <c r="D12" s="35">
        <f t="shared" si="4"/>
        <v>1128.618457269401</v>
      </c>
      <c r="E12" s="35">
        <f t="shared" si="4"/>
        <v>1219.1712475480524</v>
      </c>
      <c r="F12" s="35">
        <f t="shared" si="4"/>
        <v>196.80248350271546</v>
      </c>
      <c r="G12" s="35">
        <f t="shared" si="4"/>
        <v>0.41863884575822397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</row>
    <row r="13" spans="1:12" ht="12.75">
      <c r="A13" s="129" t="s">
        <v>311</v>
      </c>
      <c r="B13" s="130">
        <f>SUM(B12:L12)</f>
        <v>4315.8105404746375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>
      <c r="A14" s="26" t="s">
        <v>309</v>
      </c>
      <c r="B14" s="128">
        <v>12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</sheetData>
  <sheetProtection/>
  <mergeCells count="4">
    <mergeCell ref="A2:L2"/>
    <mergeCell ref="A4:A5"/>
    <mergeCell ref="A3:L3"/>
    <mergeCell ref="B4:L4"/>
  </mergeCells>
  <conditionalFormatting sqref="B10:L10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fitToWidth="1" horizontalDpi="600" verticalDpi="600" orientation="landscape" scale="78" r:id="rId1"/>
  <headerFooter alignWithMargins="0">
    <oddFooter>&amp;CC.1-&amp;P&amp;RSCE Mira Loma Peaker Project</oddFooter>
  </headerFooter>
  <rowBreaks count="1" manualBreakCount="1">
    <brk id="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40.7109375" style="0" bestFit="1" customWidth="1"/>
    <col min="2" max="2" width="10.8515625" style="0" customWidth="1"/>
    <col min="3" max="3" width="12.421875" style="0" customWidth="1"/>
    <col min="4" max="4" width="26.57421875" style="0" customWidth="1"/>
    <col min="5" max="10" width="7.421875" style="0" customWidth="1"/>
  </cols>
  <sheetData>
    <row r="1" ht="12.75" hidden="1">
      <c r="A1">
        <v>5</v>
      </c>
    </row>
    <row r="2" spans="1:19" ht="12.75">
      <c r="A2" s="133" t="s">
        <v>228</v>
      </c>
      <c r="B2" s="133"/>
      <c r="C2" s="133"/>
      <c r="D2" s="133"/>
      <c r="E2" s="133"/>
      <c r="F2" s="133"/>
      <c r="G2" s="133"/>
      <c r="H2" s="133"/>
      <c r="I2" s="133"/>
      <c r="J2" s="133"/>
      <c r="K2" s="48"/>
      <c r="L2" s="48"/>
      <c r="M2" s="48"/>
      <c r="N2" s="48"/>
      <c r="O2" s="48"/>
      <c r="P2" s="48"/>
      <c r="Q2" s="48"/>
      <c r="R2" s="48"/>
      <c r="S2" s="48"/>
    </row>
    <row r="3" spans="1:10" ht="12.7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30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196</v>
      </c>
      <c r="F4" s="1" t="s">
        <v>197</v>
      </c>
      <c r="G4" s="1" t="s">
        <v>198</v>
      </c>
      <c r="H4" s="1" t="s">
        <v>284</v>
      </c>
      <c r="I4" s="1" t="s">
        <v>199</v>
      </c>
      <c r="J4" s="1" t="s">
        <v>285</v>
      </c>
    </row>
    <row r="5" spans="1:10" ht="12.75">
      <c r="A5" s="59" t="s">
        <v>138</v>
      </c>
      <c r="B5" s="2" t="s">
        <v>5</v>
      </c>
      <c r="C5" s="2">
        <v>35</v>
      </c>
      <c r="D5" s="3" t="s">
        <v>17</v>
      </c>
      <c r="E5" s="4">
        <f>VLOOKUP($D5&amp;TEXT($C5,"0000"),'2007'!$F$9:$K$250,3,TRUE)</f>
        <v>0.3169333320319164</v>
      </c>
      <c r="F5" s="4">
        <f>VLOOKUP($D5&amp;TEXT($C5,"0000"),'2007'!$F$9:$K$250,2,TRUE)</f>
        <v>0.13921821719309274</v>
      </c>
      <c r="G5" s="4">
        <f>VLOOKUP($D5&amp;TEXT($C5,"0000"),'2007'!$F$9:$K$250,4,TRUE)</f>
        <v>0.2824510000548262</v>
      </c>
      <c r="H5" s="4">
        <f>VLOOKUP($D5&amp;TEXT($C5,"0000"),'2007'!$F$9:$K$250,5,TRUE)</f>
        <v>0.00033557297655662324</v>
      </c>
      <c r="I5" s="4">
        <f>VLOOKUP($D5&amp;TEXT($C5,"0000"),'2007'!$F$9:$K$250,6,TRUE)</f>
        <v>0.03168163202330049</v>
      </c>
      <c r="J5" s="4">
        <f aca="true" t="shared" si="0" ref="J5:J10">I5*$B$24</f>
        <v>0.02914710146143645</v>
      </c>
    </row>
    <row r="6" spans="1:10" ht="12.75">
      <c r="A6" s="59" t="s">
        <v>139</v>
      </c>
      <c r="B6" s="2" t="s">
        <v>5</v>
      </c>
      <c r="C6" s="2">
        <v>79</v>
      </c>
      <c r="D6" s="3" t="s">
        <v>7</v>
      </c>
      <c r="E6" s="4">
        <f>VLOOKUP($D6&amp;TEXT($C6,"0000"),'2007'!$F$9:$K$250,3,TRUE)</f>
        <v>0.3747998109263352</v>
      </c>
      <c r="F6" s="4">
        <f>VLOOKUP($D6&amp;TEXT($C6,"0000"),'2007'!$F$9:$K$250,2,TRUE)</f>
        <v>0.11789846155883012</v>
      </c>
      <c r="G6" s="4">
        <f>VLOOKUP($D6&amp;TEXT($C6,"0000"),'2007'!$F$9:$K$250,4,TRUE)</f>
        <v>0.6979432017902252</v>
      </c>
      <c r="H6" s="4">
        <f>VLOOKUP($D6&amp;TEXT($C6,"0000"),'2007'!$F$9:$K$250,5,TRUE)</f>
        <v>0.0006067963189681883</v>
      </c>
      <c r="I6" s="4">
        <f>VLOOKUP($D6&amp;TEXT($C6,"0000"),'2007'!$F$9:$K$250,6,TRUE)</f>
        <v>0.06347939984437417</v>
      </c>
      <c r="J6" s="4">
        <f t="shared" si="0"/>
        <v>0.05840104785682424</v>
      </c>
    </row>
    <row r="7" spans="1:10" ht="12.75">
      <c r="A7" s="59" t="s">
        <v>140</v>
      </c>
      <c r="B7" s="2" t="s">
        <v>5</v>
      </c>
      <c r="C7" s="2">
        <v>37</v>
      </c>
      <c r="D7" s="3" t="s">
        <v>241</v>
      </c>
      <c r="E7" s="4">
        <f>VLOOKUP($D7&amp;TEXT($C7,"0000"),'2007'!$F$9:$K$250,3,TRUE)</f>
        <v>0.2933208088283192</v>
      </c>
      <c r="F7" s="4">
        <f>VLOOKUP($D7&amp;TEXT($C7,"0000"),'2007'!$F$9:$K$250,2,TRUE)</f>
        <v>0.1306045214175718</v>
      </c>
      <c r="G7" s="4">
        <f>VLOOKUP($D7&amp;TEXT($C7,"0000"),'2007'!$F$9:$K$250,4,TRUE)</f>
        <v>0.24678652350684688</v>
      </c>
      <c r="H7" s="4">
        <f>VLOOKUP($D7&amp;TEXT($C7,"0000"),'2007'!$F$9:$K$250,5,TRUE)</f>
        <v>0.00028791181050463743</v>
      </c>
      <c r="I7" s="4">
        <f>VLOOKUP($D7&amp;TEXT($C7,"0000"),'2007'!$F$9:$K$250,6,TRUE)</f>
        <v>0.028982944405649226</v>
      </c>
      <c r="J7" s="4">
        <f t="shared" si="0"/>
        <v>0.02666430885319729</v>
      </c>
    </row>
    <row r="8" spans="1:10" ht="12.75">
      <c r="A8" s="59" t="s">
        <v>155</v>
      </c>
      <c r="B8" s="2" t="s">
        <v>5</v>
      </c>
      <c r="C8" s="2">
        <v>147</v>
      </c>
      <c r="D8" s="3" t="s">
        <v>12</v>
      </c>
      <c r="E8" s="4">
        <f>VLOOKUP($D8&amp;TEXT($C8,"0000"),'2007'!$F$9:$K$250,3,TRUE)</f>
        <v>0.6425089458537838</v>
      </c>
      <c r="F8" s="4">
        <f>VLOOKUP($D8&amp;TEXT($C8,"0000"),'2007'!$F$9:$K$250,2,TRUE)</f>
        <v>0.17594500463758003</v>
      </c>
      <c r="G8" s="4">
        <f>VLOOKUP($D8&amp;TEXT($C8,"0000"),'2007'!$F$9:$K$250,4,TRUE)</f>
        <v>1.384927599678421</v>
      </c>
      <c r="H8" s="4">
        <f>VLOOKUP($D8&amp;TEXT($C8,"0000"),'2007'!$F$9:$K$250,5,TRUE)</f>
        <v>0.0011962282019979415</v>
      </c>
      <c r="I8" s="4">
        <f>VLOOKUP($D8&amp;TEXT($C8,"0000"),'2007'!$F$9:$K$250,6,TRUE)</f>
        <v>0.07688365904239662</v>
      </c>
      <c r="J8" s="4">
        <f t="shared" si="0"/>
        <v>0.0707329663190049</v>
      </c>
    </row>
    <row r="9" spans="1:10" ht="12.75">
      <c r="A9" s="59" t="s">
        <v>141</v>
      </c>
      <c r="B9" s="2" t="s">
        <v>5</v>
      </c>
      <c r="C9" s="2">
        <v>175</v>
      </c>
      <c r="D9" s="3" t="s">
        <v>8</v>
      </c>
      <c r="E9" s="4">
        <f>VLOOKUP($D9&amp;TEXT($C9,"0000"),'2007'!$F$9:$K$250,3,TRUE)</f>
        <v>0.4974721724315512</v>
      </c>
      <c r="F9" s="4">
        <f>VLOOKUP($D9&amp;TEXT($C9,"0000"),'2007'!$F$9:$K$250,2,TRUE)</f>
        <v>0.14174698241110154</v>
      </c>
      <c r="G9" s="4">
        <f>VLOOKUP($D9&amp;TEXT($C9,"0000"),'2007'!$F$9:$K$250,4,TRUE)</f>
        <v>1.10085797570599</v>
      </c>
      <c r="H9" s="4">
        <f>VLOOKUP($D9&amp;TEXT($C9,"0000"),'2007'!$F$9:$K$250,5,TRUE)</f>
        <v>0.0009040144085523899</v>
      </c>
      <c r="I9" s="4">
        <f>VLOOKUP($D9&amp;TEXT($C9,"0000"),'2007'!$F$9:$K$250,6,TRUE)</f>
        <v>0.061474693931191406</v>
      </c>
      <c r="J9" s="4">
        <f t="shared" si="0"/>
        <v>0.05655671841669609</v>
      </c>
    </row>
    <row r="10" spans="1:10" ht="12.75">
      <c r="A10" s="59" t="s">
        <v>142</v>
      </c>
      <c r="B10" s="2" t="s">
        <v>5</v>
      </c>
      <c r="C10" s="2">
        <v>250</v>
      </c>
      <c r="D10" s="3" t="s">
        <v>8</v>
      </c>
      <c r="E10" s="4">
        <f>VLOOKUP($D10&amp;TEXT($C10,"0000"),'2007'!$F$9:$K$250,3,TRUE)</f>
        <v>0.4118931567054769</v>
      </c>
      <c r="F10" s="4">
        <f>VLOOKUP($D10&amp;TEXT($C10,"0000"),'2007'!$F$9:$K$250,2,TRUE)</f>
        <v>0.14779746601712468</v>
      </c>
      <c r="G10" s="4">
        <f>VLOOKUP($D10&amp;TEXT($C10,"0000"),'2007'!$F$9:$K$250,4,TRUE)</f>
        <v>1.4664521646974422</v>
      </c>
      <c r="H10" s="4">
        <f>VLOOKUP($D10&amp;TEXT($C10,"0000"),'2007'!$F$9:$K$250,5,TRUE)</f>
        <v>0.0012619799662471345</v>
      </c>
      <c r="I10" s="4">
        <f>VLOOKUP($D10&amp;TEXT($C10,"0000"),'2007'!$F$9:$K$250,6,TRUE)</f>
        <v>0.0570941375614551</v>
      </c>
      <c r="J10" s="4">
        <f t="shared" si="0"/>
        <v>0.052526606556538694</v>
      </c>
    </row>
    <row r="11" spans="1:10" ht="12.75">
      <c r="A11" s="59" t="s">
        <v>288</v>
      </c>
      <c r="B11" s="2" t="s">
        <v>5</v>
      </c>
      <c r="C11" s="5">
        <v>38</v>
      </c>
      <c r="D11" s="3" t="s">
        <v>17</v>
      </c>
      <c r="E11" s="4">
        <f>VLOOKUP($D11&amp;TEXT($C11,"0000"),'2007'!$F$9:$K$250,3,TRUE)</f>
        <v>0.3169333320319164</v>
      </c>
      <c r="F11" s="4">
        <f>VLOOKUP($D11&amp;TEXT($C11,"0000"),'2007'!$F$9:$K$250,2,TRUE)</f>
        <v>0.13921821719309274</v>
      </c>
      <c r="G11" s="4">
        <f>VLOOKUP($D11&amp;TEXT($C11,"0000"),'2007'!$F$9:$K$250,4,TRUE)</f>
        <v>0.2824510000548262</v>
      </c>
      <c r="H11" s="4">
        <f>VLOOKUP($D11&amp;TEXT($C11,"0000"),'2007'!$F$9:$K$250,5,TRUE)</f>
        <v>0.00033557297655662324</v>
      </c>
      <c r="I11" s="4">
        <f>VLOOKUP($D11&amp;TEXT($C11,"0000"),'2007'!$F$9:$K$250,6,TRUE)</f>
        <v>0.03168163202330049</v>
      </c>
      <c r="J11" s="4">
        <f aca="true" t="shared" si="1" ref="J11:J19">I11*$B$24</f>
        <v>0.02914710146143645</v>
      </c>
    </row>
    <row r="12" spans="1:10" ht="12.75">
      <c r="A12" s="59" t="s">
        <v>289</v>
      </c>
      <c r="B12" s="2" t="s">
        <v>5</v>
      </c>
      <c r="C12" s="5">
        <v>118</v>
      </c>
      <c r="D12" s="3" t="s">
        <v>7</v>
      </c>
      <c r="E12" s="4">
        <f>VLOOKUP($D12&amp;TEXT($C12,"0000"),'2007'!$F$9:$K$250,3,TRUE)</f>
        <v>0.3747998109263352</v>
      </c>
      <c r="F12" s="4">
        <f>VLOOKUP($D12&amp;TEXT($C12,"0000"),'2007'!$F$9:$K$250,2,TRUE)</f>
        <v>0.11789846155883012</v>
      </c>
      <c r="G12" s="4">
        <f>VLOOKUP($D12&amp;TEXT($C12,"0000"),'2007'!$F$9:$K$250,4,TRUE)</f>
        <v>0.6979432017902252</v>
      </c>
      <c r="H12" s="4">
        <f>VLOOKUP($D12&amp;TEXT($C12,"0000"),'2007'!$F$9:$K$250,5,TRUE)</f>
        <v>0.0006067963189681883</v>
      </c>
      <c r="I12" s="4">
        <f>VLOOKUP($D12&amp;TEXT($C12,"0000"),'2007'!$F$9:$K$250,6,TRUE)</f>
        <v>0.06347939984437417</v>
      </c>
      <c r="J12" s="4">
        <f t="shared" si="1"/>
        <v>0.05840104785682424</v>
      </c>
    </row>
    <row r="13" spans="1:10" ht="12.75">
      <c r="A13" s="59" t="s">
        <v>290</v>
      </c>
      <c r="B13" s="2" t="s">
        <v>5</v>
      </c>
      <c r="C13" s="5">
        <v>49</v>
      </c>
      <c r="D13" s="3" t="s">
        <v>241</v>
      </c>
      <c r="E13" s="4">
        <f>VLOOKUP($D13&amp;TEXT($C13,"0000"),'2007'!$F$9:$K$250,3,TRUE)</f>
        <v>0.2933208088283192</v>
      </c>
      <c r="F13" s="4">
        <f>VLOOKUP($D13&amp;TEXT($C13,"0000"),'2007'!$F$9:$K$250,2,TRUE)</f>
        <v>0.1306045214175718</v>
      </c>
      <c r="G13" s="4">
        <f>VLOOKUP($D13&amp;TEXT($C13,"0000"),'2007'!$F$9:$K$250,4,TRUE)</f>
        <v>0.24678652350684688</v>
      </c>
      <c r="H13" s="4">
        <f>VLOOKUP($D13&amp;TEXT($C13,"0000"),'2007'!$F$9:$K$250,5,TRUE)</f>
        <v>0.00028791181050463743</v>
      </c>
      <c r="I13" s="4">
        <f>VLOOKUP($D13&amp;TEXT($C13,"0000"),'2007'!$F$9:$K$250,6,TRUE)</f>
        <v>0.028982944405649226</v>
      </c>
      <c r="J13" s="4">
        <f t="shared" si="1"/>
        <v>0.02666430885319729</v>
      </c>
    </row>
    <row r="14" spans="1:10" ht="12.75">
      <c r="A14" s="59" t="s">
        <v>291</v>
      </c>
      <c r="B14" s="2" t="s">
        <v>5</v>
      </c>
      <c r="C14" s="5">
        <v>140</v>
      </c>
      <c r="D14" s="3" t="s">
        <v>12</v>
      </c>
      <c r="E14" s="4">
        <f>VLOOKUP($D14&amp;TEXT($C14,"0000"),'2007'!$F$9:$K$250,3,TRUE)</f>
        <v>0.6425089458537838</v>
      </c>
      <c r="F14" s="4">
        <f>VLOOKUP($D14&amp;TEXT($C14,"0000"),'2007'!$F$9:$K$250,2,TRUE)</f>
        <v>0.17594500463758003</v>
      </c>
      <c r="G14" s="4">
        <f>VLOOKUP($D14&amp;TEXT($C14,"0000"),'2007'!$F$9:$K$250,4,TRUE)</f>
        <v>1.384927599678421</v>
      </c>
      <c r="H14" s="4">
        <f>VLOOKUP($D14&amp;TEXT($C14,"0000"),'2007'!$F$9:$K$250,5,TRUE)</f>
        <v>0.0011962282019979415</v>
      </c>
      <c r="I14" s="4">
        <f>VLOOKUP($D14&amp;TEXT($C14,"0000"),'2007'!$F$9:$K$250,6,TRUE)</f>
        <v>0.07688365904239662</v>
      </c>
      <c r="J14" s="4">
        <f t="shared" si="1"/>
        <v>0.0707329663190049</v>
      </c>
    </row>
    <row r="15" spans="1:10" ht="12.75">
      <c r="A15" s="59" t="s">
        <v>292</v>
      </c>
      <c r="B15" s="2" t="s">
        <v>5</v>
      </c>
      <c r="C15" s="5">
        <v>99</v>
      </c>
      <c r="D15" s="3" t="s">
        <v>16</v>
      </c>
      <c r="E15" s="4">
        <f>VLOOKUP($D15&amp;TEXT($C15,"0000"),'2007'!$F$9:$K$250,3,TRUE)</f>
        <v>0.44189162581779917</v>
      </c>
      <c r="F15" s="4">
        <f>VLOOKUP($D15&amp;TEXT($C15,"0000"),'2007'!$F$9:$K$250,2,TRUE)</f>
        <v>0.1409823319353536</v>
      </c>
      <c r="G15" s="4">
        <f>VLOOKUP($D15&amp;TEXT($C15,"0000"),'2007'!$F$9:$K$250,4,TRUE)</f>
        <v>0.9073413185547913</v>
      </c>
      <c r="H15" s="4">
        <f>VLOOKUP($D15&amp;TEXT($C15,"0000"),'2007'!$F$9:$K$250,5,TRUE)</f>
        <v>0.0007697333730389982</v>
      </c>
      <c r="I15" s="4">
        <f>VLOOKUP($D15&amp;TEXT($C15,"0000"),'2007'!$F$9:$K$250,6,TRUE)</f>
        <v>0.06287527799437655</v>
      </c>
      <c r="J15" s="4">
        <f t="shared" si="1"/>
        <v>0.05784525575482643</v>
      </c>
    </row>
    <row r="16" spans="1:10" ht="12.75">
      <c r="A16" s="59" t="s">
        <v>293</v>
      </c>
      <c r="B16" s="2" t="s">
        <v>5</v>
      </c>
      <c r="C16" s="5">
        <v>99</v>
      </c>
      <c r="D16" s="3" t="s">
        <v>6</v>
      </c>
      <c r="E16" s="4">
        <f>VLOOKUP($D16&amp;TEXT($C16,"0000"),'2007'!$F$9:$K$250,3,TRUE)</f>
        <v>0.5504205288181995</v>
      </c>
      <c r="F16" s="4">
        <f>VLOOKUP($D16&amp;TEXT($C16,"0000"),'2007'!$F$9:$K$250,2,TRUE)</f>
        <v>0.1786140482130061</v>
      </c>
      <c r="G16" s="4">
        <f>VLOOKUP($D16&amp;TEXT($C16,"0000"),'2007'!$F$9:$K$250,4,TRUE)</f>
        <v>1.030544168338401</v>
      </c>
      <c r="H16" s="4">
        <f>VLOOKUP($D16&amp;TEXT($C16,"0000"),'2007'!$F$9:$K$250,5,TRUE)</f>
        <v>0.0008636360991281652</v>
      </c>
      <c r="I16" s="4">
        <f>VLOOKUP($D16&amp;TEXT($C16,"0000"),'2007'!$F$9:$K$250,6,TRUE)</f>
        <v>0.09631992095612839</v>
      </c>
      <c r="J16" s="4">
        <f t="shared" si="1"/>
        <v>0.08861432727963812</v>
      </c>
    </row>
    <row r="17" spans="1:10" ht="12.75">
      <c r="A17" s="59" t="s">
        <v>294</v>
      </c>
      <c r="B17" s="2" t="s">
        <v>5</v>
      </c>
      <c r="C17" s="5">
        <v>230</v>
      </c>
      <c r="D17" s="3" t="s">
        <v>8</v>
      </c>
      <c r="E17" s="4">
        <f>VLOOKUP($D17&amp;TEXT($C17,"0000"),'2007'!$F$9:$K$250,3,TRUE)</f>
        <v>0.4118931567054769</v>
      </c>
      <c r="F17" s="4">
        <f>VLOOKUP($D17&amp;TEXT($C17,"0000"),'2007'!$F$9:$K$250,2,TRUE)</f>
        <v>0.14779746601712468</v>
      </c>
      <c r="G17" s="4">
        <f>VLOOKUP($D17&amp;TEXT($C17,"0000"),'2007'!$F$9:$K$250,4,TRUE)</f>
        <v>1.4664521646974422</v>
      </c>
      <c r="H17" s="4">
        <f>VLOOKUP($D17&amp;TEXT($C17,"0000"),'2007'!$F$9:$K$250,5,TRUE)</f>
        <v>0.0012619799662471345</v>
      </c>
      <c r="I17" s="4">
        <f>VLOOKUP($D17&amp;TEXT($C17,"0000"),'2007'!$F$9:$K$250,6,TRUE)</f>
        <v>0.0570941375614551</v>
      </c>
      <c r="J17" s="4">
        <f t="shared" si="1"/>
        <v>0.052526606556538694</v>
      </c>
    </row>
    <row r="18" spans="1:10" ht="12.75">
      <c r="A18" s="59" t="s">
        <v>295</v>
      </c>
      <c r="B18" s="2" t="s">
        <v>5</v>
      </c>
      <c r="C18" s="5">
        <v>65</v>
      </c>
      <c r="D18" s="3" t="s">
        <v>16</v>
      </c>
      <c r="E18" s="4">
        <f>VLOOKUP($D18&amp;TEXT($C18,"0000"),'2007'!$F$9:$K$250,3,TRUE)</f>
        <v>0.44189162581779917</v>
      </c>
      <c r="F18" s="4">
        <f>VLOOKUP($D18&amp;TEXT($C18,"0000"),'2007'!$F$9:$K$250,2,TRUE)</f>
        <v>0.1409823319353536</v>
      </c>
      <c r="G18" s="4">
        <f>VLOOKUP($D18&amp;TEXT($C18,"0000"),'2007'!$F$9:$K$250,4,TRUE)</f>
        <v>0.9073413185547913</v>
      </c>
      <c r="H18" s="4">
        <f>VLOOKUP($D18&amp;TEXT($C18,"0000"),'2007'!$F$9:$K$250,5,TRUE)</f>
        <v>0.0007697333730389982</v>
      </c>
      <c r="I18" s="4">
        <f>VLOOKUP($D18&amp;TEXT($C18,"0000"),'2007'!$F$9:$K$250,6,TRUE)</f>
        <v>0.06287527799437655</v>
      </c>
      <c r="J18" s="4">
        <f t="shared" si="1"/>
        <v>0.05784525575482643</v>
      </c>
    </row>
    <row r="19" spans="1:10" ht="12.75">
      <c r="A19" s="59" t="s">
        <v>296</v>
      </c>
      <c r="B19" s="2" t="s">
        <v>5</v>
      </c>
      <c r="C19" s="5">
        <v>65</v>
      </c>
      <c r="D19" s="3" t="s">
        <v>11</v>
      </c>
      <c r="E19" s="4">
        <f>VLOOKUP($D19&amp;TEXT($C19,"0000"),'2007'!$F$9:$K$250,3,TRUE)</f>
        <v>0.5607213857211287</v>
      </c>
      <c r="F19" s="4">
        <f>VLOOKUP($D19&amp;TEXT($C19,"0000"),'2007'!$F$9:$K$250,2,TRUE)</f>
        <v>0.1710636351077758</v>
      </c>
      <c r="G19" s="4">
        <f>VLOOKUP($D19&amp;TEXT($C19,"0000"),'2007'!$F$9:$K$250,4,TRUE)</f>
        <v>1.0579275281669862</v>
      </c>
      <c r="H19" s="4">
        <f>VLOOKUP($D19&amp;TEXT($C19,"0000"),'2007'!$F$9:$K$250,5,TRUE)</f>
        <v>0.0009485142521554979</v>
      </c>
      <c r="I19" s="4">
        <f>VLOOKUP($D19&amp;TEXT($C19,"0000"),'2007'!$F$9:$K$250,6,TRUE)</f>
        <v>0.08957412011407778</v>
      </c>
      <c r="J19" s="4">
        <f t="shared" si="1"/>
        <v>0.08240819050495156</v>
      </c>
    </row>
    <row r="20" spans="1:10" ht="12.75">
      <c r="A20" s="7"/>
      <c r="B20" s="8"/>
      <c r="C20" s="8"/>
      <c r="D20" s="8"/>
      <c r="E20" s="8"/>
      <c r="F20" s="8"/>
      <c r="G20" s="9"/>
      <c r="H20" s="9"/>
      <c r="I20" s="9"/>
      <c r="J20" s="9"/>
    </row>
    <row r="21" spans="1:10" ht="12.75">
      <c r="A21" s="7"/>
      <c r="B21" s="8"/>
      <c r="C21" s="8"/>
      <c r="D21" s="8"/>
      <c r="E21" s="8"/>
      <c r="F21" s="8"/>
      <c r="G21" s="9"/>
      <c r="H21" s="9"/>
      <c r="I21" s="9"/>
      <c r="J21" s="9"/>
    </row>
    <row r="22" spans="1:10" ht="12.75">
      <c r="A22" s="10" t="s">
        <v>200</v>
      </c>
      <c r="B22" s="8"/>
      <c r="C22" s="8"/>
      <c r="D22" s="8"/>
      <c r="E22" s="8"/>
      <c r="F22" s="8"/>
      <c r="G22" s="9"/>
      <c r="H22" s="9"/>
      <c r="I22" s="9"/>
      <c r="J22" s="9"/>
    </row>
    <row r="23" spans="1:2" ht="12.75">
      <c r="A23" s="10" t="s">
        <v>286</v>
      </c>
      <c r="B23" s="58"/>
    </row>
    <row r="24" spans="1:3" ht="12.75">
      <c r="A24" s="69" t="s">
        <v>175</v>
      </c>
      <c r="B24" s="80">
        <v>0.92</v>
      </c>
      <c r="C24" s="79" t="s">
        <v>211</v>
      </c>
    </row>
    <row r="25" spans="1:3" ht="12.75">
      <c r="A25" s="69"/>
      <c r="B25" s="71"/>
      <c r="C25" s="25" t="s">
        <v>212</v>
      </c>
    </row>
    <row r="27" ht="12.75">
      <c r="A27" t="s">
        <v>19</v>
      </c>
    </row>
    <row r="31" spans="1:4" ht="12.75">
      <c r="A31" s="89"/>
      <c r="B31" s="8"/>
      <c r="C31" s="88"/>
      <c r="D31" s="7"/>
    </row>
    <row r="32" spans="1:4" ht="12.75">
      <c r="A32" s="89"/>
      <c r="B32" s="8"/>
      <c r="C32" s="88"/>
      <c r="D32" s="7"/>
    </row>
    <row r="33" spans="1:4" ht="12.75">
      <c r="A33" s="89"/>
      <c r="B33" s="8"/>
      <c r="C33" s="88"/>
      <c r="D33" s="7"/>
    </row>
    <row r="34" spans="1:4" ht="12.75">
      <c r="A34" s="89"/>
      <c r="B34" s="8"/>
      <c r="C34" s="88"/>
      <c r="D34" s="7"/>
    </row>
    <row r="35" spans="1:4" ht="12.75">
      <c r="A35" s="89"/>
      <c r="B35" s="8"/>
      <c r="C35" s="88"/>
      <c r="D35" s="7"/>
    </row>
    <row r="36" spans="1:4" ht="12.75">
      <c r="A36" s="89"/>
      <c r="B36" s="8"/>
      <c r="C36" s="88"/>
      <c r="D36" s="7"/>
    </row>
    <row r="37" spans="1:4" ht="12.75">
      <c r="A37" s="7"/>
      <c r="B37" s="7"/>
      <c r="C37" s="7"/>
      <c r="D37" s="7"/>
    </row>
  </sheetData>
  <sheetProtection/>
  <mergeCells count="2">
    <mergeCell ref="A2:J2"/>
    <mergeCell ref="A3:J3"/>
  </mergeCells>
  <printOptions horizontalCentered="1"/>
  <pageMargins left="0.75" right="0.75" top="1" bottom="1" header="0.5" footer="0.5"/>
  <pageSetup fitToHeight="99" fitToWidth="1" horizontalDpi="300" verticalDpi="300" orientation="landscape" scale="90" r:id="rId1"/>
  <headerFooter alignWithMargins="0">
    <oddFooter>&amp;CC.1-&amp;P&amp;RSCE Mira Loma Peaker Project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93" customWidth="1"/>
    <col min="3" max="3" width="14.28125" style="94" customWidth="1"/>
    <col min="4" max="4" width="9.140625" style="93" customWidth="1"/>
    <col min="5" max="6" width="0" style="93" hidden="1" customWidth="1"/>
    <col min="7" max="11" width="9.140625" style="95" customWidth="1"/>
    <col min="12" max="16384" width="9.140625" style="93" customWidth="1"/>
  </cols>
  <sheetData>
    <row r="1" ht="12.75">
      <c r="A1" s="90" t="s">
        <v>229</v>
      </c>
    </row>
    <row r="2" ht="10.5" thickBot="1"/>
    <row r="3" ht="10.5" thickBot="1">
      <c r="A3" s="96">
        <v>2007</v>
      </c>
    </row>
    <row r="4" ht="10.5" thickBot="1"/>
    <row r="5" spans="1:12" ht="13.5" thickBot="1">
      <c r="A5" s="97" t="s">
        <v>230</v>
      </c>
      <c r="B5" s="98" t="s">
        <v>231</v>
      </c>
      <c r="C5" s="148" t="s">
        <v>312</v>
      </c>
      <c r="D5" s="140"/>
      <c r="E5" s="140"/>
      <c r="F5" s="140"/>
      <c r="G5" s="140"/>
      <c r="H5" s="140"/>
      <c r="I5" s="140"/>
      <c r="J5" s="140"/>
      <c r="K5" s="140"/>
      <c r="L5" s="48"/>
    </row>
    <row r="6" spans="3:12" ht="25.5" customHeight="1">
      <c r="C6" s="147" t="s">
        <v>168</v>
      </c>
      <c r="D6" s="147"/>
      <c r="E6" s="147"/>
      <c r="F6" s="147"/>
      <c r="G6" s="147"/>
      <c r="H6" s="147"/>
      <c r="I6" s="147"/>
      <c r="J6" s="147"/>
      <c r="K6" s="147"/>
      <c r="L6" s="33"/>
    </row>
    <row r="7" spans="3:12" ht="9.75">
      <c r="C7" s="100"/>
      <c r="D7" s="99"/>
      <c r="E7" s="99"/>
      <c r="F7" s="99"/>
      <c r="G7" s="116" t="s">
        <v>232</v>
      </c>
      <c r="H7" s="116" t="s">
        <v>232</v>
      </c>
      <c r="I7" s="116" t="s">
        <v>232</v>
      </c>
      <c r="J7" s="116" t="s">
        <v>232</v>
      </c>
      <c r="K7" s="116" t="s">
        <v>232</v>
      </c>
      <c r="L7" s="99"/>
    </row>
    <row r="8" spans="3:11" ht="9.75">
      <c r="C8" s="118" t="s">
        <v>233</v>
      </c>
      <c r="D8" s="119" t="s">
        <v>234</v>
      </c>
      <c r="E8" s="119"/>
      <c r="F8" s="119"/>
      <c r="G8" s="120" t="s">
        <v>235</v>
      </c>
      <c r="H8" s="120" t="s">
        <v>20</v>
      </c>
      <c r="I8" s="120" t="s">
        <v>236</v>
      </c>
      <c r="J8" s="120" t="s">
        <v>237</v>
      </c>
      <c r="K8" s="120" t="s">
        <v>238</v>
      </c>
    </row>
    <row r="9" spans="3:11" ht="9.75">
      <c r="C9" s="117" t="s">
        <v>239</v>
      </c>
      <c r="D9" s="105">
        <v>15</v>
      </c>
      <c r="E9" s="99" t="str">
        <f>IF(NOT(ISBLANK(C9)),C9,E8)</f>
        <v>Aerial Lifts</v>
      </c>
      <c r="F9" s="99" t="str">
        <f>E9&amp;TEXT(IF(NOT(ISBLANK(C9)),0,D8+1),"0000")</f>
        <v>Aerial Lifts0000</v>
      </c>
      <c r="G9" s="106">
        <v>0.01196425527747785</v>
      </c>
      <c r="H9" s="106">
        <v>0.05385267081213946</v>
      </c>
      <c r="I9" s="106">
        <v>0.07835252464542179</v>
      </c>
      <c r="J9" s="106">
        <v>0.00013464344817446243</v>
      </c>
      <c r="K9" s="103">
        <v>0.005479710082995292</v>
      </c>
    </row>
    <row r="10" spans="3:11" ht="9.75">
      <c r="C10" s="104"/>
      <c r="D10" s="105">
        <v>25</v>
      </c>
      <c r="E10" s="99" t="str">
        <f>IF(NOT(ISBLANK(C10)),C10,E9)</f>
        <v>Aerial Lifts</v>
      </c>
      <c r="F10" s="99" t="str">
        <f>E10&amp;TEXT(IF(NOT(ISBLANK(C10)),0,D9+1),"0000")</f>
        <v>Aerial Lifts0016</v>
      </c>
      <c r="G10" s="106">
        <v>0.02683927408727345</v>
      </c>
      <c r="H10" s="106">
        <v>0.06782536734844395</v>
      </c>
      <c r="I10" s="106">
        <v>0.11034209338290553</v>
      </c>
      <c r="J10" s="106">
        <v>0.00013906252808274972</v>
      </c>
      <c r="K10" s="103">
        <v>0.008343148942565309</v>
      </c>
    </row>
    <row r="11" spans="3:11" ht="9.75">
      <c r="C11" s="104"/>
      <c r="D11" s="105">
        <v>50</v>
      </c>
      <c r="E11" s="99" t="str">
        <f aca="true" t="shared" si="0" ref="E11:E74">IF(NOT(ISBLANK(C11)),C11,E10)</f>
        <v>Aerial Lifts</v>
      </c>
      <c r="F11" s="99" t="str">
        <f aca="true" t="shared" si="1" ref="F11:F74">E11&amp;TEXT(IF(NOT(ISBLANK(C11)),0,D10+1),"0000")</f>
        <v>Aerial Lifts0026</v>
      </c>
      <c r="G11" s="106">
        <v>0.08667727868488058</v>
      </c>
      <c r="H11" s="106">
        <v>0.20418062224120304</v>
      </c>
      <c r="I11" s="106">
        <v>0.20624122387937355</v>
      </c>
      <c r="J11" s="106">
        <v>0.00025354392425288707</v>
      </c>
      <c r="K11" s="103">
        <v>0.020982842554361687</v>
      </c>
    </row>
    <row r="12" spans="3:11" ht="9.75">
      <c r="C12" s="104"/>
      <c r="D12" s="105">
        <v>120</v>
      </c>
      <c r="E12" s="99" t="str">
        <f t="shared" si="0"/>
        <v>Aerial Lifts</v>
      </c>
      <c r="F12" s="99" t="str">
        <f t="shared" si="1"/>
        <v>Aerial Lifts0051</v>
      </c>
      <c r="G12" s="106">
        <v>0.08185153270074894</v>
      </c>
      <c r="H12" s="106">
        <v>0.2562972086341582</v>
      </c>
      <c r="I12" s="106">
        <v>0.5110101107182392</v>
      </c>
      <c r="J12" s="106">
        <v>0.00044660191834276243</v>
      </c>
      <c r="K12" s="103">
        <v>0.039786624112355624</v>
      </c>
    </row>
    <row r="13" spans="3:11" ht="9.75">
      <c r="C13" s="104"/>
      <c r="D13" s="105">
        <v>500</v>
      </c>
      <c r="E13" s="99" t="str">
        <f t="shared" si="0"/>
        <v>Aerial Lifts</v>
      </c>
      <c r="F13" s="99" t="str">
        <f t="shared" si="1"/>
        <v>Aerial Lifts0121</v>
      </c>
      <c r="G13" s="106">
        <v>0.1826781031971157</v>
      </c>
      <c r="H13" s="106">
        <v>0.7380548572890461</v>
      </c>
      <c r="I13" s="106">
        <v>2.21597126023944</v>
      </c>
      <c r="J13" s="106">
        <v>0.002089251784161728</v>
      </c>
      <c r="K13" s="103">
        <v>0.07033685239618878</v>
      </c>
    </row>
    <row r="14" spans="3:11" ht="9.75">
      <c r="C14" s="104"/>
      <c r="D14" s="105">
        <v>750</v>
      </c>
      <c r="E14" s="99" t="str">
        <f t="shared" si="0"/>
        <v>Aerial Lifts</v>
      </c>
      <c r="F14" s="99" t="str">
        <f t="shared" si="1"/>
        <v>Aerial Lifts0501</v>
      </c>
      <c r="G14" s="106">
        <v>0.33966348354755155</v>
      </c>
      <c r="H14" s="106">
        <v>1.3340998689199333</v>
      </c>
      <c r="I14" s="106">
        <v>4.1000894206345135</v>
      </c>
      <c r="J14" s="106">
        <v>0.0038686163528110964</v>
      </c>
      <c r="K14" s="103">
        <v>0.12866577404090318</v>
      </c>
    </row>
    <row r="15" spans="3:11" ht="9.75">
      <c r="C15" s="101" t="s">
        <v>240</v>
      </c>
      <c r="D15" s="107"/>
      <c r="E15" s="99" t="str">
        <f t="shared" si="0"/>
        <v>Aerial Lifts Composite</v>
      </c>
      <c r="F15" s="99" t="str">
        <f t="shared" si="1"/>
        <v>Aerial Lifts Composite0000</v>
      </c>
      <c r="G15" s="108">
        <v>0.07812998081230556</v>
      </c>
      <c r="H15" s="108">
        <v>0.22533740691772516</v>
      </c>
      <c r="I15" s="108">
        <v>0.402581564937094</v>
      </c>
      <c r="J15" s="108">
        <v>0.0003992078673906333</v>
      </c>
      <c r="K15" s="109">
        <v>0.02785671778288245</v>
      </c>
    </row>
    <row r="16" spans="3:11" ht="9.75">
      <c r="C16" s="101" t="s">
        <v>241</v>
      </c>
      <c r="D16" s="102">
        <v>15</v>
      </c>
      <c r="E16" s="99" t="str">
        <f t="shared" si="0"/>
        <v>Air Compressors</v>
      </c>
      <c r="F16" s="99" t="str">
        <f t="shared" si="1"/>
        <v>Air Compressors0000</v>
      </c>
      <c r="G16" s="106">
        <v>0.016327718311305438</v>
      </c>
      <c r="H16" s="106">
        <v>0.0538581449263495</v>
      </c>
      <c r="I16" s="106">
        <v>0.09283001098630574</v>
      </c>
      <c r="J16" s="106">
        <v>0.00011239797986237998</v>
      </c>
      <c r="K16" s="103">
        <v>0.0071258110248193975</v>
      </c>
    </row>
    <row r="17" spans="3:11" ht="9.75">
      <c r="C17" s="104"/>
      <c r="D17" s="105">
        <v>25</v>
      </c>
      <c r="E17" s="99" t="str">
        <f t="shared" si="0"/>
        <v>Air Compressors</v>
      </c>
      <c r="F17" s="99" t="str">
        <f t="shared" si="1"/>
        <v>Air Compressors0016</v>
      </c>
      <c r="G17" s="106">
        <v>0.037588569592855295</v>
      </c>
      <c r="H17" s="106">
        <v>0.09339999397367528</v>
      </c>
      <c r="I17" s="106">
        <v>0.1473268286050406</v>
      </c>
      <c r="J17" s="106">
        <v>0.0001832951700378679</v>
      </c>
      <c r="K17" s="103">
        <v>0.011311250722461738</v>
      </c>
    </row>
    <row r="18" spans="3:11" ht="9.75">
      <c r="C18" s="104"/>
      <c r="D18" s="105">
        <v>50</v>
      </c>
      <c r="E18" s="99" t="str">
        <f t="shared" si="0"/>
        <v>Air Compressors</v>
      </c>
      <c r="F18" s="99" t="str">
        <f t="shared" si="1"/>
        <v>Air Compressors0026</v>
      </c>
      <c r="G18" s="106">
        <v>0.1306045214175718</v>
      </c>
      <c r="H18" s="106">
        <v>0.2933208088283192</v>
      </c>
      <c r="I18" s="106">
        <v>0.24678652350684688</v>
      </c>
      <c r="J18" s="106">
        <v>0.00028791181050463743</v>
      </c>
      <c r="K18" s="103">
        <v>0.028982944405649226</v>
      </c>
    </row>
    <row r="19" spans="3:11" ht="9.75">
      <c r="C19" s="104"/>
      <c r="D19" s="105">
        <v>120</v>
      </c>
      <c r="E19" s="99" t="str">
        <f t="shared" si="0"/>
        <v>Air Compressors</v>
      </c>
      <c r="F19" s="99" t="str">
        <f t="shared" si="1"/>
        <v>Air Compressors0051</v>
      </c>
      <c r="G19" s="106">
        <v>0.11583895475354558</v>
      </c>
      <c r="H19" s="106">
        <v>0.34152401065298627</v>
      </c>
      <c r="I19" s="106">
        <v>0.6761744160752318</v>
      </c>
      <c r="J19" s="106">
        <v>0.000550750270100636</v>
      </c>
      <c r="K19" s="103">
        <v>0.059113310627639026</v>
      </c>
    </row>
    <row r="20" spans="3:11" ht="9.75">
      <c r="C20" s="104"/>
      <c r="D20" s="105">
        <v>175</v>
      </c>
      <c r="E20" s="99" t="str">
        <f t="shared" si="0"/>
        <v>Air Compressors</v>
      </c>
      <c r="F20" s="99" t="str">
        <f t="shared" si="1"/>
        <v>Air Compressors0121</v>
      </c>
      <c r="G20" s="106">
        <v>0.14344589740480435</v>
      </c>
      <c r="H20" s="106">
        <v>0.5150264696168451</v>
      </c>
      <c r="I20" s="106">
        <v>1.1478079880526886</v>
      </c>
      <c r="J20" s="106">
        <v>0.000995586936720026</v>
      </c>
      <c r="K20" s="103">
        <v>0.06145641874653112</v>
      </c>
    </row>
    <row r="21" spans="3:11" ht="9.75">
      <c r="C21" s="104"/>
      <c r="D21" s="105">
        <v>250</v>
      </c>
      <c r="E21" s="99" t="str">
        <f t="shared" si="0"/>
        <v>Air Compressors</v>
      </c>
      <c r="F21" s="99" t="str">
        <f t="shared" si="1"/>
        <v>Air Compressors0176</v>
      </c>
      <c r="G21" s="106">
        <v>0.1458984986264029</v>
      </c>
      <c r="H21" s="106">
        <v>0.40707949594144766</v>
      </c>
      <c r="I21" s="106">
        <v>1.6002500313283232</v>
      </c>
      <c r="J21" s="106">
        <v>0.001476447885138138</v>
      </c>
      <c r="K21" s="103">
        <v>0.05565354729809157</v>
      </c>
    </row>
    <row r="22" spans="3:11" ht="9.75">
      <c r="C22" s="104"/>
      <c r="D22" s="105">
        <v>500</v>
      </c>
      <c r="E22" s="99" t="str">
        <f t="shared" si="0"/>
        <v>Air Compressors</v>
      </c>
      <c r="F22" s="99" t="str">
        <f t="shared" si="1"/>
        <v>Air Compressors0251</v>
      </c>
      <c r="G22" s="106">
        <v>0.22881809277004211</v>
      </c>
      <c r="H22" s="106">
        <v>0.8865268175820818</v>
      </c>
      <c r="I22" s="106">
        <v>2.546477871802847</v>
      </c>
      <c r="J22" s="106">
        <v>0.002274617589446848</v>
      </c>
      <c r="K22" s="103">
        <v>0.08892769875505484</v>
      </c>
    </row>
    <row r="23" spans="3:11" ht="9.75">
      <c r="C23" s="104"/>
      <c r="D23" s="105">
        <v>750</v>
      </c>
      <c r="E23" s="99" t="str">
        <f t="shared" si="0"/>
        <v>Air Compressors</v>
      </c>
      <c r="F23" s="99" t="str">
        <f t="shared" si="1"/>
        <v>Air Compressors0501</v>
      </c>
      <c r="G23" s="106">
        <v>0.3606779202699539</v>
      </c>
      <c r="H23" s="106">
        <v>1.3700869582478934</v>
      </c>
      <c r="I23" s="106">
        <v>4.028146888423818</v>
      </c>
      <c r="J23" s="106">
        <v>0.003601058141652033</v>
      </c>
      <c r="K23" s="103">
        <v>0.13904762298206602</v>
      </c>
    </row>
    <row r="24" spans="3:11" ht="9.75">
      <c r="C24" s="104"/>
      <c r="D24" s="105">
        <v>1000</v>
      </c>
      <c r="E24" s="99" t="str">
        <f t="shared" si="0"/>
        <v>Air Compressors</v>
      </c>
      <c r="F24" s="99" t="str">
        <f t="shared" si="1"/>
        <v>Air Compressors0751</v>
      </c>
      <c r="G24" s="106">
        <v>0.602726568113613</v>
      </c>
      <c r="H24" s="106">
        <v>2.3256106929085636</v>
      </c>
      <c r="I24" s="106">
        <v>6.540580406850515</v>
      </c>
      <c r="J24" s="106">
        <v>0.004890177936680557</v>
      </c>
      <c r="K24" s="103">
        <v>0.20536657404169145</v>
      </c>
    </row>
    <row r="25" spans="3:11" ht="9.75">
      <c r="C25" s="101" t="s">
        <v>242</v>
      </c>
      <c r="D25" s="107"/>
      <c r="E25" s="99" t="str">
        <f t="shared" si="0"/>
        <v>Air Compressors Composite</v>
      </c>
      <c r="F25" s="99" t="str">
        <f t="shared" si="1"/>
        <v>Air Compressors Composite0000</v>
      </c>
      <c r="G25" s="108">
        <v>0.1285111918436317</v>
      </c>
      <c r="H25" s="108">
        <v>0.3871701697906458</v>
      </c>
      <c r="I25" s="108">
        <v>0.8301669959657184</v>
      </c>
      <c r="J25" s="108">
        <v>0.0007113244903973436</v>
      </c>
      <c r="K25" s="109">
        <v>0.05793801029880002</v>
      </c>
    </row>
    <row r="26" spans="3:11" ht="9.75">
      <c r="C26" s="101" t="s">
        <v>25</v>
      </c>
      <c r="D26" s="102">
        <v>15</v>
      </c>
      <c r="E26" s="99" t="str">
        <f t="shared" si="0"/>
        <v>Bore/Drill Rigs</v>
      </c>
      <c r="F26" s="99" t="str">
        <f t="shared" si="1"/>
        <v>Bore/Drill Rigs0000</v>
      </c>
      <c r="G26" s="106">
        <v>0.012372933982616208</v>
      </c>
      <c r="H26" s="106">
        <v>0.0631695244990561</v>
      </c>
      <c r="I26" s="106">
        <v>0.07883914313291916</v>
      </c>
      <c r="J26" s="106">
        <v>0.00016098669077033482</v>
      </c>
      <c r="K26" s="103">
        <v>0.00568616454657505</v>
      </c>
    </row>
    <row r="27" spans="3:11" ht="9.75">
      <c r="C27" s="104"/>
      <c r="D27" s="105">
        <v>25</v>
      </c>
      <c r="E27" s="99" t="str">
        <f t="shared" si="0"/>
        <v>Bore/Drill Rigs</v>
      </c>
      <c r="F27" s="99" t="str">
        <f t="shared" si="1"/>
        <v>Bore/Drill Rigs0016</v>
      </c>
      <c r="G27" s="106">
        <v>0.02216836732343559</v>
      </c>
      <c r="H27" s="106">
        <v>0.06892444458491831</v>
      </c>
      <c r="I27" s="106">
        <v>0.13965770713029182</v>
      </c>
      <c r="J27" s="106">
        <v>0.0002028657891726275</v>
      </c>
      <c r="K27" s="103">
        <v>0.008905986936292541</v>
      </c>
    </row>
    <row r="28" spans="3:11" ht="9.75">
      <c r="C28" s="104"/>
      <c r="D28" s="105">
        <v>50</v>
      </c>
      <c r="E28" s="99" t="str">
        <f t="shared" si="0"/>
        <v>Bore/Drill Rigs</v>
      </c>
      <c r="F28" s="99" t="str">
        <f t="shared" si="1"/>
        <v>Bore/Drill Rigs0026</v>
      </c>
      <c r="G28" s="106">
        <v>0.09797252613779478</v>
      </c>
      <c r="H28" s="106">
        <v>0.28859142795283166</v>
      </c>
      <c r="I28" s="106">
        <v>0.29591172706511043</v>
      </c>
      <c r="J28" s="106">
        <v>0.00040122866308742807</v>
      </c>
      <c r="K28" s="103">
        <v>0.02879790910975389</v>
      </c>
    </row>
    <row r="29" spans="3:11" ht="9.75">
      <c r="C29" s="104"/>
      <c r="D29" s="105">
        <v>120</v>
      </c>
      <c r="E29" s="99" t="str">
        <f t="shared" si="0"/>
        <v>Bore/Drill Rigs</v>
      </c>
      <c r="F29" s="99" t="str">
        <f t="shared" si="1"/>
        <v>Bore/Drill Rigs0051</v>
      </c>
      <c r="G29" s="106">
        <v>0.12078287443327565</v>
      </c>
      <c r="H29" s="106">
        <v>0.5010733276051272</v>
      </c>
      <c r="I29" s="106">
        <v>0.8412126090814999</v>
      </c>
      <c r="J29" s="106">
        <v>0.0009046776663511775</v>
      </c>
      <c r="K29" s="103">
        <v>0.06801493402405821</v>
      </c>
    </row>
    <row r="30" spans="3:11" ht="9.75">
      <c r="C30" s="104"/>
      <c r="D30" s="105">
        <v>175</v>
      </c>
      <c r="E30" s="99" t="str">
        <f t="shared" si="0"/>
        <v>Bore/Drill Rigs</v>
      </c>
      <c r="F30" s="99" t="str">
        <f t="shared" si="1"/>
        <v>Bore/Drill Rigs0121</v>
      </c>
      <c r="G30" s="106">
        <v>0.13829206061419577</v>
      </c>
      <c r="H30" s="106">
        <v>0.7538604163104857</v>
      </c>
      <c r="I30" s="106">
        <v>1.291595371928755</v>
      </c>
      <c r="J30" s="106">
        <v>0.0015873514288666634</v>
      </c>
      <c r="K30" s="103">
        <v>0.06496518767633594</v>
      </c>
    </row>
    <row r="31" spans="3:11" ht="9.75">
      <c r="C31" s="104"/>
      <c r="D31" s="105">
        <v>250</v>
      </c>
      <c r="E31" s="99" t="str">
        <f t="shared" si="0"/>
        <v>Bore/Drill Rigs</v>
      </c>
      <c r="F31" s="99" t="str">
        <f t="shared" si="1"/>
        <v>Bore/Drill Rigs0176</v>
      </c>
      <c r="G31" s="106">
        <v>0.1125255888959251</v>
      </c>
      <c r="H31" s="106">
        <v>0.35315729244364424</v>
      </c>
      <c r="I31" s="106">
        <v>1.6315254453490906</v>
      </c>
      <c r="J31" s="106">
        <v>0.002116468952338812</v>
      </c>
      <c r="K31" s="103">
        <v>0.0425635563664774</v>
      </c>
    </row>
    <row r="32" spans="3:11" ht="9.75">
      <c r="C32" s="104"/>
      <c r="D32" s="105">
        <v>500</v>
      </c>
      <c r="E32" s="99" t="str">
        <f t="shared" si="0"/>
        <v>Bore/Drill Rigs</v>
      </c>
      <c r="F32" s="99" t="str">
        <f t="shared" si="1"/>
        <v>Bore/Drill Rigs0251</v>
      </c>
      <c r="G32" s="106">
        <v>0.16277483749882582</v>
      </c>
      <c r="H32" s="106">
        <v>0.5678040045899997</v>
      </c>
      <c r="I32" s="106">
        <v>2.233393530188365</v>
      </c>
      <c r="J32" s="106">
        <v>0.0030555969152903516</v>
      </c>
      <c r="K32" s="103">
        <v>0.06591167335635821</v>
      </c>
    </row>
    <row r="33" spans="3:11" ht="9.75">
      <c r="C33" s="104"/>
      <c r="D33" s="105">
        <v>750</v>
      </c>
      <c r="E33" s="99" t="str">
        <f t="shared" si="0"/>
        <v>Bore/Drill Rigs</v>
      </c>
      <c r="F33" s="99" t="str">
        <f t="shared" si="1"/>
        <v>Bore/Drill Rigs0501</v>
      </c>
      <c r="G33" s="106">
        <v>0.33676943823361843</v>
      </c>
      <c r="H33" s="106">
        <v>1.121906896283392</v>
      </c>
      <c r="I33" s="106">
        <v>4.654486887751273</v>
      </c>
      <c r="J33" s="106">
        <v>0.006184592312564755</v>
      </c>
      <c r="K33" s="103">
        <v>0.13423273529026788</v>
      </c>
    </row>
    <row r="34" spans="3:11" ht="9.75">
      <c r="C34" s="104"/>
      <c r="D34" s="105">
        <v>1000</v>
      </c>
      <c r="E34" s="99" t="str">
        <f t="shared" si="0"/>
        <v>Bore/Drill Rigs</v>
      </c>
      <c r="F34" s="99" t="str">
        <f t="shared" si="1"/>
        <v>Bore/Drill Rigs0751</v>
      </c>
      <c r="G34" s="106">
        <v>0.7010733398925901</v>
      </c>
      <c r="H34" s="106">
        <v>1.9337920647623272</v>
      </c>
      <c r="I34" s="106">
        <v>9.881943566262736</v>
      </c>
      <c r="J34" s="106">
        <v>0.00933362953465141</v>
      </c>
      <c r="K34" s="103">
        <v>0.24705924576537608</v>
      </c>
    </row>
    <row r="35" spans="3:11" ht="9.75">
      <c r="C35" s="101" t="s">
        <v>243</v>
      </c>
      <c r="D35" s="107"/>
      <c r="E35" s="99" t="str">
        <f t="shared" si="0"/>
        <v>Bore/Drill Rigs Composite</v>
      </c>
      <c r="F35" s="99" t="str">
        <f t="shared" si="1"/>
        <v>Bore/Drill Rigs Composite0000</v>
      </c>
      <c r="G35" s="108">
        <v>0.14567126641407477</v>
      </c>
      <c r="H35" s="108">
        <v>0.5387659974166074</v>
      </c>
      <c r="I35" s="108">
        <v>1.4733680855820304</v>
      </c>
      <c r="J35" s="108">
        <v>0.0017468999271735934</v>
      </c>
      <c r="K35" s="109">
        <v>0.06478029530780316</v>
      </c>
    </row>
    <row r="36" spans="3:11" ht="9.75">
      <c r="C36" s="101" t="s">
        <v>14</v>
      </c>
      <c r="D36" s="102">
        <v>15</v>
      </c>
      <c r="E36" s="99" t="str">
        <f t="shared" si="0"/>
        <v>Cement and Mortar Mixers</v>
      </c>
      <c r="F36" s="99" t="str">
        <f t="shared" si="1"/>
        <v>Cement and Mortar Mixers0000</v>
      </c>
      <c r="G36" s="106">
        <v>0.009197671090801794</v>
      </c>
      <c r="H36" s="106">
        <v>0.03989192054968413</v>
      </c>
      <c r="I36" s="106">
        <v>0.05961718390320388</v>
      </c>
      <c r="J36" s="106">
        <v>9.834822141945527E-05</v>
      </c>
      <c r="K36" s="103">
        <v>0.00420155143106752</v>
      </c>
    </row>
    <row r="37" spans="3:11" ht="9.75">
      <c r="C37" s="104"/>
      <c r="D37" s="105">
        <v>25</v>
      </c>
      <c r="E37" s="99" t="str">
        <f t="shared" si="0"/>
        <v>Cement and Mortar Mixers</v>
      </c>
      <c r="F37" s="99" t="str">
        <f t="shared" si="1"/>
        <v>Cement and Mortar Mixers0016</v>
      </c>
      <c r="G37" s="106">
        <v>0.04282278403654873</v>
      </c>
      <c r="H37" s="106">
        <v>0.10835992611973982</v>
      </c>
      <c r="I37" s="106">
        <v>0.17632824859468005</v>
      </c>
      <c r="J37" s="106">
        <v>0.0002227545258597573</v>
      </c>
      <c r="K37" s="103">
        <v>0.013280416893169934</v>
      </c>
    </row>
    <row r="38" spans="3:11" ht="9.75">
      <c r="C38" s="101" t="s">
        <v>244</v>
      </c>
      <c r="D38" s="107"/>
      <c r="E38" s="99" t="str">
        <f t="shared" si="0"/>
        <v>Cement and Mortar Mixers Composite</v>
      </c>
      <c r="F38" s="99" t="str">
        <f t="shared" si="1"/>
        <v>Cement and Mortar Mixers Composite0000</v>
      </c>
      <c r="G38" s="108">
        <v>0.011974610043178022</v>
      </c>
      <c r="H38" s="108">
        <v>0.04554636911512899</v>
      </c>
      <c r="I38" s="108">
        <v>0.06925579841843202</v>
      </c>
      <c r="J38" s="108">
        <v>0.00010862234936896891</v>
      </c>
      <c r="K38" s="109">
        <v>0.004951331965210952</v>
      </c>
    </row>
    <row r="39" spans="3:11" ht="9.75">
      <c r="C39" s="101" t="s">
        <v>26</v>
      </c>
      <c r="D39" s="102">
        <v>25</v>
      </c>
      <c r="E39" s="99" t="str">
        <f t="shared" si="0"/>
        <v>Concrete/Industrial Saws</v>
      </c>
      <c r="F39" s="99" t="str">
        <f t="shared" si="1"/>
        <v>Concrete/Industrial Saws0000</v>
      </c>
      <c r="G39" s="106">
        <v>0.021487442767006176</v>
      </c>
      <c r="H39" s="106">
        <v>0.06891920347696022</v>
      </c>
      <c r="I39" s="106">
        <v>0.1401636077418069</v>
      </c>
      <c r="J39" s="106">
        <v>0.00020907107330264105</v>
      </c>
      <c r="K39" s="103">
        <v>0.008936859575248321</v>
      </c>
    </row>
    <row r="40" spans="3:11" ht="9.75">
      <c r="C40" s="104"/>
      <c r="D40" s="105">
        <v>50</v>
      </c>
      <c r="E40" s="99" t="str">
        <f t="shared" si="0"/>
        <v>Concrete/Industrial Saws</v>
      </c>
      <c r="F40" s="99" t="str">
        <f t="shared" si="1"/>
        <v>Concrete/Industrial Saws0026</v>
      </c>
      <c r="G40" s="106">
        <v>0.15126165418922313</v>
      </c>
      <c r="H40" s="106">
        <v>0.3516520414418552</v>
      </c>
      <c r="I40" s="106">
        <v>0.3238107311944913</v>
      </c>
      <c r="J40" s="106">
        <v>0.0003905289968871076</v>
      </c>
      <c r="K40" s="103">
        <v>0.03522722240802398</v>
      </c>
    </row>
    <row r="41" spans="3:11" ht="9.75">
      <c r="C41" s="104"/>
      <c r="D41" s="105">
        <v>120</v>
      </c>
      <c r="E41" s="99" t="str">
        <f t="shared" si="0"/>
        <v>Concrete/Industrial Saws</v>
      </c>
      <c r="F41" s="99" t="str">
        <f t="shared" si="1"/>
        <v>Concrete/Industrial Saws0051</v>
      </c>
      <c r="G41" s="106">
        <v>0.16537967470683446</v>
      </c>
      <c r="H41" s="106">
        <v>0.5151701103338066</v>
      </c>
      <c r="I41" s="106">
        <v>1.0187434625857381</v>
      </c>
      <c r="J41" s="106">
        <v>0.0008698147555571529</v>
      </c>
      <c r="K41" s="103">
        <v>0.08297817214298929</v>
      </c>
    </row>
    <row r="42" spans="3:11" ht="9.75">
      <c r="C42" s="104"/>
      <c r="D42" s="105">
        <v>175</v>
      </c>
      <c r="E42" s="99" t="str">
        <f t="shared" si="0"/>
        <v>Concrete/Industrial Saws</v>
      </c>
      <c r="F42" s="99" t="str">
        <f t="shared" si="1"/>
        <v>Concrete/Industrial Saws0121</v>
      </c>
      <c r="G42" s="106">
        <v>0.2336090977046987</v>
      </c>
      <c r="H42" s="106">
        <v>0.8938858158639936</v>
      </c>
      <c r="I42" s="106">
        <v>1.96836528421782</v>
      </c>
      <c r="J42" s="106">
        <v>0.0018025259776004296</v>
      </c>
      <c r="K42" s="103">
        <v>0.09871916728264393</v>
      </c>
    </row>
    <row r="43" spans="3:11" ht="9.75">
      <c r="C43" s="101" t="s">
        <v>245</v>
      </c>
      <c r="D43" s="107"/>
      <c r="E43" s="99" t="str">
        <f t="shared" si="0"/>
        <v>Concrete/Industrial Saws Composite</v>
      </c>
      <c r="F43" s="99" t="str">
        <f t="shared" si="1"/>
        <v>Concrete/Industrial Saws Composite0000</v>
      </c>
      <c r="G43" s="108">
        <v>0.15612101996978062</v>
      </c>
      <c r="H43" s="108">
        <v>0.4486786128553631</v>
      </c>
      <c r="I43" s="108">
        <v>0.7639459682880612</v>
      </c>
      <c r="J43" s="108">
        <v>0.0006973347392647491</v>
      </c>
      <c r="K43" s="109">
        <v>0.06395347064177904</v>
      </c>
    </row>
    <row r="44" spans="3:11" ht="9.75">
      <c r="C44" s="101" t="s">
        <v>8</v>
      </c>
      <c r="D44" s="102">
        <v>50</v>
      </c>
      <c r="E44" s="99" t="str">
        <f t="shared" si="0"/>
        <v>Cranes</v>
      </c>
      <c r="F44" s="99" t="str">
        <f t="shared" si="1"/>
        <v>Cranes0000</v>
      </c>
      <c r="G44" s="106">
        <v>0.1554559915415602</v>
      </c>
      <c r="H44" s="106">
        <v>0.34546917496089025</v>
      </c>
      <c r="I44" s="106">
        <v>0.26655245037109493</v>
      </c>
      <c r="J44" s="106">
        <v>0.0002997460460423517</v>
      </c>
      <c r="K44" s="103">
        <v>0.033444746407195636</v>
      </c>
    </row>
    <row r="45" spans="3:11" ht="9.75">
      <c r="C45" s="104"/>
      <c r="D45" s="105">
        <v>120</v>
      </c>
      <c r="E45" s="99" t="str">
        <f t="shared" si="0"/>
        <v>Cranes</v>
      </c>
      <c r="F45" s="99" t="str">
        <f t="shared" si="1"/>
        <v>Cranes0051</v>
      </c>
      <c r="G45" s="106">
        <v>0.13376707635046006</v>
      </c>
      <c r="H45" s="106">
        <v>0.3854645030519729</v>
      </c>
      <c r="I45" s="106">
        <v>0.7667342565805061</v>
      </c>
      <c r="J45" s="106">
        <v>0.0005882613250044192</v>
      </c>
      <c r="K45" s="103">
        <v>0.06933559229352934</v>
      </c>
    </row>
    <row r="46" spans="3:11" ht="9.75">
      <c r="C46" s="104"/>
      <c r="D46" s="105">
        <v>175</v>
      </c>
      <c r="E46" s="99" t="str">
        <f t="shared" si="0"/>
        <v>Cranes</v>
      </c>
      <c r="F46" s="99" t="str">
        <f t="shared" si="1"/>
        <v>Cranes0121</v>
      </c>
      <c r="G46" s="106">
        <v>0.14174698241110154</v>
      </c>
      <c r="H46" s="106">
        <v>0.4974721724315512</v>
      </c>
      <c r="I46" s="106">
        <v>1.10085797570599</v>
      </c>
      <c r="J46" s="106">
        <v>0.0009040144085523899</v>
      </c>
      <c r="K46" s="103">
        <v>0.061474693931191406</v>
      </c>
    </row>
    <row r="47" spans="3:11" ht="9.75">
      <c r="C47" s="104"/>
      <c r="D47" s="105">
        <v>250</v>
      </c>
      <c r="E47" s="99" t="str">
        <f t="shared" si="0"/>
        <v>Cranes</v>
      </c>
      <c r="F47" s="99" t="str">
        <f t="shared" si="1"/>
        <v>Cranes0176</v>
      </c>
      <c r="G47" s="106">
        <v>0.14779746601712468</v>
      </c>
      <c r="H47" s="106">
        <v>0.4118931567054769</v>
      </c>
      <c r="I47" s="106">
        <v>1.4664521646974422</v>
      </c>
      <c r="J47" s="106">
        <v>0.0012619799662471345</v>
      </c>
      <c r="K47" s="103">
        <v>0.0570941375614551</v>
      </c>
    </row>
    <row r="48" spans="3:11" ht="9.75">
      <c r="C48" s="104"/>
      <c r="D48" s="105">
        <v>500</v>
      </c>
      <c r="E48" s="99" t="str">
        <f t="shared" si="0"/>
        <v>Cranes</v>
      </c>
      <c r="F48" s="99" t="str">
        <f t="shared" si="1"/>
        <v>Cranes0251</v>
      </c>
      <c r="G48" s="106">
        <v>0.2121464075777633</v>
      </c>
      <c r="H48" s="106">
        <v>0.8483490414590892</v>
      </c>
      <c r="I48" s="106">
        <v>2.1049367430318044</v>
      </c>
      <c r="J48" s="106">
        <v>0.001767753104749477</v>
      </c>
      <c r="K48" s="103">
        <v>0.08187706773337833</v>
      </c>
    </row>
    <row r="49" spans="3:11" ht="9.75">
      <c r="C49" s="104"/>
      <c r="D49" s="105">
        <v>750</v>
      </c>
      <c r="E49" s="99" t="str">
        <f t="shared" si="0"/>
        <v>Cranes</v>
      </c>
      <c r="F49" s="99" t="str">
        <f t="shared" si="1"/>
        <v>Cranes0501</v>
      </c>
      <c r="G49" s="106">
        <v>0.3599691069898468</v>
      </c>
      <c r="H49" s="106">
        <v>1.4213216819757986</v>
      </c>
      <c r="I49" s="106">
        <v>3.619694708251252</v>
      </c>
      <c r="J49" s="106">
        <v>0.003047031429119083</v>
      </c>
      <c r="K49" s="103">
        <v>0.13891713718560056</v>
      </c>
    </row>
    <row r="50" spans="3:11" ht="9.75">
      <c r="C50" s="104"/>
      <c r="D50" s="105">
        <v>9999</v>
      </c>
      <c r="E50" s="99" t="str">
        <f t="shared" si="0"/>
        <v>Cranes</v>
      </c>
      <c r="F50" s="99" t="str">
        <f t="shared" si="1"/>
        <v>Cranes0751</v>
      </c>
      <c r="G50" s="106">
        <v>1.2785883904991673</v>
      </c>
      <c r="H50" s="106">
        <v>5.227554390134897</v>
      </c>
      <c r="I50" s="106">
        <v>13.566460705472789</v>
      </c>
      <c r="J50" s="106">
        <v>0.009759172426404292</v>
      </c>
      <c r="K50" s="103">
        <v>0.43445662927110373</v>
      </c>
    </row>
    <row r="51" spans="3:11" ht="9.75">
      <c r="C51" s="101" t="s">
        <v>246</v>
      </c>
      <c r="D51" s="107"/>
      <c r="E51" s="99" t="str">
        <f t="shared" si="0"/>
        <v>Cranes Composite</v>
      </c>
      <c r="F51" s="99" t="str">
        <f t="shared" si="1"/>
        <v>Cranes Composite0000</v>
      </c>
      <c r="G51" s="108">
        <v>0.18818286147368748</v>
      </c>
      <c r="H51" s="108">
        <v>0.6365494204832062</v>
      </c>
      <c r="I51" s="108">
        <v>1.6947646997109183</v>
      </c>
      <c r="J51" s="108">
        <v>0.0013772576630229757</v>
      </c>
      <c r="K51" s="109">
        <v>0.07548263722909614</v>
      </c>
    </row>
    <row r="52" spans="3:11" ht="9.75">
      <c r="C52" s="101" t="s">
        <v>27</v>
      </c>
      <c r="D52" s="102">
        <v>50</v>
      </c>
      <c r="E52" s="99" t="str">
        <f t="shared" si="0"/>
        <v>Crawler Tractors</v>
      </c>
      <c r="F52" s="99" t="str">
        <f t="shared" si="1"/>
        <v>Crawler Tractors0000</v>
      </c>
      <c r="G52" s="106">
        <v>0.1727183216835993</v>
      </c>
      <c r="H52" s="106">
        <v>0.3812494076160157</v>
      </c>
      <c r="I52" s="106">
        <v>0.2897306910281851</v>
      </c>
      <c r="J52" s="106">
        <v>0.00032163129238298665</v>
      </c>
      <c r="K52" s="103">
        <v>0.03678489953378917</v>
      </c>
    </row>
    <row r="53" spans="3:11" ht="9.75">
      <c r="C53" s="104"/>
      <c r="D53" s="105">
        <v>120</v>
      </c>
      <c r="E53" s="99" t="str">
        <f t="shared" si="0"/>
        <v>Crawler Tractors</v>
      </c>
      <c r="F53" s="99" t="str">
        <f t="shared" si="1"/>
        <v>Crawler Tractors0051</v>
      </c>
      <c r="G53" s="106">
        <v>0.1844301589984065</v>
      </c>
      <c r="H53" s="106">
        <v>0.5217459218106879</v>
      </c>
      <c r="I53" s="106">
        <v>1.053920608512251</v>
      </c>
      <c r="J53" s="106">
        <v>0.0007719918801936743</v>
      </c>
      <c r="K53" s="103">
        <v>0.09409779989902721</v>
      </c>
    </row>
    <row r="54" spans="3:11" ht="9.75">
      <c r="C54" s="104"/>
      <c r="D54" s="105">
        <v>175</v>
      </c>
      <c r="E54" s="99" t="str">
        <f t="shared" si="0"/>
        <v>Crawler Tractors</v>
      </c>
      <c r="F54" s="99" t="str">
        <f t="shared" si="1"/>
        <v>Crawler Tractors0121</v>
      </c>
      <c r="G54" s="106">
        <v>0.22560526505671866</v>
      </c>
      <c r="H54" s="106">
        <v>0.781397570995922</v>
      </c>
      <c r="I54" s="106">
        <v>1.73670620155752</v>
      </c>
      <c r="J54" s="106">
        <v>0.0013635703913908502</v>
      </c>
      <c r="K54" s="103">
        <v>0.0978876970646299</v>
      </c>
    </row>
    <row r="55" spans="3:11" ht="9.75">
      <c r="C55" s="104"/>
      <c r="D55" s="105">
        <v>250</v>
      </c>
      <c r="E55" s="99" t="str">
        <f t="shared" si="0"/>
        <v>Crawler Tractors</v>
      </c>
      <c r="F55" s="99" t="str">
        <f t="shared" si="1"/>
        <v>Crawler Tractors0176</v>
      </c>
      <c r="G55" s="106">
        <v>0.23857326327083225</v>
      </c>
      <c r="H55" s="106">
        <v>0.6706817407387539</v>
      </c>
      <c r="I55" s="106">
        <v>2.282395413753705</v>
      </c>
      <c r="J55" s="106">
        <v>0.0018692655416071631</v>
      </c>
      <c r="K55" s="103">
        <v>0.09321784160860189</v>
      </c>
    </row>
    <row r="56" spans="3:11" ht="9.75">
      <c r="C56" s="104"/>
      <c r="D56" s="105">
        <v>500</v>
      </c>
      <c r="E56" s="99" t="str">
        <f t="shared" si="0"/>
        <v>Crawler Tractors</v>
      </c>
      <c r="F56" s="99" t="str">
        <f t="shared" si="1"/>
        <v>Crawler Tractors0251</v>
      </c>
      <c r="G56" s="106">
        <v>0.3324453090685162</v>
      </c>
      <c r="H56" s="106">
        <v>1.526388290969592</v>
      </c>
      <c r="I56" s="106">
        <v>3.1975822682884685</v>
      </c>
      <c r="J56" s="106">
        <v>0.00254442262200063</v>
      </c>
      <c r="K56" s="103">
        <v>0.12890648585482772</v>
      </c>
    </row>
    <row r="57" spans="3:11" ht="9.75">
      <c r="C57" s="104"/>
      <c r="D57" s="105">
        <v>750</v>
      </c>
      <c r="E57" s="99" t="str">
        <f t="shared" si="0"/>
        <v>Crawler Tractors</v>
      </c>
      <c r="F57" s="99" t="str">
        <f t="shared" si="1"/>
        <v>Crawler Tractors0501</v>
      </c>
      <c r="G57" s="106">
        <v>0.5988193134596103</v>
      </c>
      <c r="H57" s="106">
        <v>2.71922760187574</v>
      </c>
      <c r="I57" s="106">
        <v>5.840759593346746</v>
      </c>
      <c r="J57" s="106">
        <v>0.004672299388339787</v>
      </c>
      <c r="K57" s="103">
        <v>0.2324248536946708</v>
      </c>
    </row>
    <row r="58" spans="3:11" ht="9.75">
      <c r="C58" s="104"/>
      <c r="D58" s="105">
        <v>1000</v>
      </c>
      <c r="E58" s="99" t="str">
        <f t="shared" si="0"/>
        <v>Crawler Tractors</v>
      </c>
      <c r="F58" s="99" t="str">
        <f t="shared" si="1"/>
        <v>Crawler Tractors0751</v>
      </c>
      <c r="G58" s="106">
        <v>0.9272879539706812</v>
      </c>
      <c r="H58" s="106">
        <v>4.283854538859453</v>
      </c>
      <c r="I58" s="106">
        <v>9.552239364509042</v>
      </c>
      <c r="J58" s="106">
        <v>0.006617070502057026</v>
      </c>
      <c r="K58" s="103">
        <v>0.3238834407902235</v>
      </c>
    </row>
    <row r="59" spans="3:11" ht="9.75">
      <c r="C59" s="101" t="s">
        <v>247</v>
      </c>
      <c r="D59" s="107"/>
      <c r="E59" s="99" t="str">
        <f t="shared" si="0"/>
        <v>Crawler Tractors Composite</v>
      </c>
      <c r="F59" s="99" t="str">
        <f t="shared" si="1"/>
        <v>Crawler Tractors Composite0000</v>
      </c>
      <c r="G59" s="108">
        <v>0.21798334643341621</v>
      </c>
      <c r="H59" s="108">
        <v>0.7089855981465074</v>
      </c>
      <c r="I59" s="108">
        <v>1.6217667755915386</v>
      </c>
      <c r="J59" s="108">
        <v>0.0012581934755673755</v>
      </c>
      <c r="K59" s="109">
        <v>0.09879895691145285</v>
      </c>
    </row>
    <row r="60" spans="3:11" ht="9.75">
      <c r="C60" s="101" t="s">
        <v>28</v>
      </c>
      <c r="D60" s="102">
        <v>50</v>
      </c>
      <c r="E60" s="99" t="str">
        <f t="shared" si="0"/>
        <v>Crushing/Proc. Equipment</v>
      </c>
      <c r="F60" s="99" t="str">
        <f t="shared" si="1"/>
        <v>Crushing/Proc. Equipment0000</v>
      </c>
      <c r="G60" s="106">
        <v>0.26230772079924547</v>
      </c>
      <c r="H60" s="106">
        <v>0.5917012074417194</v>
      </c>
      <c r="I60" s="106">
        <v>0.487865021422606</v>
      </c>
      <c r="J60" s="106">
        <v>0.0005690149130668418</v>
      </c>
      <c r="K60" s="103">
        <v>0.05815223641971747</v>
      </c>
    </row>
    <row r="61" spans="3:11" ht="9.75">
      <c r="C61" s="104"/>
      <c r="D61" s="105">
        <v>120</v>
      </c>
      <c r="E61" s="99" t="str">
        <f t="shared" si="0"/>
        <v>Crushing/Proc. Equipment</v>
      </c>
      <c r="F61" s="99" t="str">
        <f t="shared" si="1"/>
        <v>Crushing/Proc. Equipment0051</v>
      </c>
      <c r="G61" s="106">
        <v>0.20506980076936196</v>
      </c>
      <c r="H61" s="106">
        <v>0.6091868051876869</v>
      </c>
      <c r="I61" s="106">
        <v>1.1923078825716646</v>
      </c>
      <c r="J61" s="106">
        <v>0.0009752869348367448</v>
      </c>
      <c r="K61" s="103">
        <v>0.10611847074471756</v>
      </c>
    </row>
    <row r="62" spans="3:11" ht="9.75">
      <c r="C62" s="104"/>
      <c r="D62" s="105">
        <v>175</v>
      </c>
      <c r="E62" s="99" t="str">
        <f t="shared" si="0"/>
        <v>Crushing/Proc. Equipment</v>
      </c>
      <c r="F62" s="99" t="str">
        <f t="shared" si="1"/>
        <v>Crushing/Proc. Equipment0121</v>
      </c>
      <c r="G62" s="106">
        <v>0.2708606597182879</v>
      </c>
      <c r="H62" s="106">
        <v>0.981946068259397</v>
      </c>
      <c r="I62" s="106">
        <v>2.152665934890298</v>
      </c>
      <c r="J62" s="106">
        <v>0.001881964137356842</v>
      </c>
      <c r="K62" s="103">
        <v>0.11742519743481025</v>
      </c>
    </row>
    <row r="63" spans="3:11" ht="9.75">
      <c r="C63" s="104"/>
      <c r="D63" s="105">
        <v>250</v>
      </c>
      <c r="E63" s="99" t="str">
        <f t="shared" si="0"/>
        <v>Crushing/Proc. Equipment</v>
      </c>
      <c r="F63" s="99" t="str">
        <f t="shared" si="1"/>
        <v>Crushing/Proc. Equipment0176</v>
      </c>
      <c r="G63" s="106">
        <v>0.2682464166040491</v>
      </c>
      <c r="H63" s="106">
        <v>0.7429015935324563</v>
      </c>
      <c r="I63" s="106">
        <v>2.9564925491623515</v>
      </c>
      <c r="J63" s="106">
        <v>0.0027514090765658403</v>
      </c>
      <c r="K63" s="103">
        <v>0.10215303301948232</v>
      </c>
    </row>
    <row r="64" spans="3:11" ht="9.75">
      <c r="C64" s="104"/>
      <c r="D64" s="105">
        <v>500</v>
      </c>
      <c r="E64" s="99" t="str">
        <f t="shared" si="0"/>
        <v>Crushing/Proc. Equipment</v>
      </c>
      <c r="F64" s="99" t="str">
        <f t="shared" si="1"/>
        <v>Crushing/Proc. Equipment0251</v>
      </c>
      <c r="G64" s="106">
        <v>0.36336855000583423</v>
      </c>
      <c r="H64" s="106">
        <v>1.3803129639701242</v>
      </c>
      <c r="I64" s="106">
        <v>4.034803619621003</v>
      </c>
      <c r="J64" s="106">
        <v>0.003667453240201718</v>
      </c>
      <c r="K64" s="103">
        <v>0.14133059440518855</v>
      </c>
    </row>
    <row r="65" spans="3:11" ht="9.75">
      <c r="C65" s="104"/>
      <c r="D65" s="105">
        <v>750</v>
      </c>
      <c r="E65" s="99" t="str">
        <f t="shared" si="0"/>
        <v>Crushing/Proc. Equipment</v>
      </c>
      <c r="F65" s="99" t="str">
        <f t="shared" si="1"/>
        <v>Crushing/Proc. Equipment0501</v>
      </c>
      <c r="G65" s="106">
        <v>0.5795540162440088</v>
      </c>
      <c r="H65" s="106">
        <v>2.091465584816349</v>
      </c>
      <c r="I65" s="106">
        <v>6.536630302223367</v>
      </c>
      <c r="J65" s="106">
        <v>0.005920564745981944</v>
      </c>
      <c r="K65" s="103">
        <v>0.22291652605355744</v>
      </c>
    </row>
    <row r="66" spans="3:11" ht="9.75">
      <c r="C66" s="104"/>
      <c r="D66" s="105">
        <v>9999</v>
      </c>
      <c r="E66" s="99" t="str">
        <f t="shared" si="0"/>
        <v>Crushing/Proc. Equipment</v>
      </c>
      <c r="F66" s="99" t="str">
        <f t="shared" si="1"/>
        <v>Crushing/Proc. Equipment0751</v>
      </c>
      <c r="G66" s="106">
        <v>1.6037964345675169</v>
      </c>
      <c r="H66" s="106">
        <v>5.980006219461926</v>
      </c>
      <c r="I66" s="106">
        <v>17.550126756235272</v>
      </c>
      <c r="J66" s="106">
        <v>0.013149158787773396</v>
      </c>
      <c r="K66" s="103">
        <v>0.5442900093092592</v>
      </c>
    </row>
    <row r="67" spans="3:11" ht="9.75">
      <c r="C67" s="101" t="s">
        <v>248</v>
      </c>
      <c r="D67" s="107"/>
      <c r="E67" s="99" t="str">
        <f t="shared" si="0"/>
        <v>Crushing/Proc. Equipment Composite</v>
      </c>
      <c r="F67" s="99" t="str">
        <f t="shared" si="1"/>
        <v>Crushing/Proc. Equipment Composite0000</v>
      </c>
      <c r="G67" s="108">
        <v>0.24988401138307487</v>
      </c>
      <c r="H67" s="108">
        <v>0.7817289091719395</v>
      </c>
      <c r="I67" s="108">
        <v>1.6553176486105967</v>
      </c>
      <c r="J67" s="108">
        <v>0.0014564674990269013</v>
      </c>
      <c r="K67" s="109">
        <v>0.10477016505215936</v>
      </c>
    </row>
    <row r="68" spans="3:11" ht="9.75">
      <c r="C68" s="101" t="s">
        <v>249</v>
      </c>
      <c r="D68" s="102">
        <v>25</v>
      </c>
      <c r="E68" s="99" t="str">
        <f t="shared" si="0"/>
        <v>Dumpers/Tenders</v>
      </c>
      <c r="F68" s="99" t="str">
        <f t="shared" si="1"/>
        <v>Dumpers/Tenders0000</v>
      </c>
      <c r="G68" s="106">
        <v>0.01368945080711552</v>
      </c>
      <c r="H68" s="106">
        <v>0.038329945762461466</v>
      </c>
      <c r="I68" s="106">
        <v>0.07087990531680219</v>
      </c>
      <c r="J68" s="106">
        <v>9.673913105777185E-05</v>
      </c>
      <c r="K68" s="103">
        <v>0.004853728437158891</v>
      </c>
    </row>
    <row r="69" spans="3:11" ht="9.75">
      <c r="C69" s="101" t="s">
        <v>250</v>
      </c>
      <c r="D69" s="107"/>
      <c r="E69" s="99" t="str">
        <f t="shared" si="0"/>
        <v>Dumpers/Tenders Composite</v>
      </c>
      <c r="F69" s="99" t="str">
        <f t="shared" si="1"/>
        <v>Dumpers/Tenders Composite0000</v>
      </c>
      <c r="G69" s="108">
        <v>0.01368945080711552</v>
      </c>
      <c r="H69" s="108">
        <v>0.038329945762461466</v>
      </c>
      <c r="I69" s="108">
        <v>0.07087990531680219</v>
      </c>
      <c r="J69" s="108">
        <v>9.673913105777185E-05</v>
      </c>
      <c r="K69" s="109">
        <v>0.004853728437158891</v>
      </c>
    </row>
    <row r="70" spans="3:11" ht="9.75">
      <c r="C70" s="101" t="s">
        <v>6</v>
      </c>
      <c r="D70" s="102">
        <v>25</v>
      </c>
      <c r="E70" s="99" t="str">
        <f t="shared" si="0"/>
        <v>Excavators</v>
      </c>
      <c r="F70" s="99" t="str">
        <f t="shared" si="1"/>
        <v>Excavators0000</v>
      </c>
      <c r="G70" s="106">
        <v>0.020558633695111173</v>
      </c>
      <c r="H70" s="106">
        <v>0.06769282023404517</v>
      </c>
      <c r="I70" s="106">
        <v>0.135296178557356</v>
      </c>
      <c r="J70" s="106">
        <v>0.00020859372852599268</v>
      </c>
      <c r="K70" s="103">
        <v>0.00879428333365594</v>
      </c>
    </row>
    <row r="71" spans="3:11" ht="9.75">
      <c r="C71" s="104"/>
      <c r="D71" s="105">
        <v>50</v>
      </c>
      <c r="E71" s="99" t="str">
        <f t="shared" si="0"/>
        <v>Excavators</v>
      </c>
      <c r="F71" s="99" t="str">
        <f t="shared" si="1"/>
        <v>Excavators0026</v>
      </c>
      <c r="G71" s="106">
        <v>0.15104800772815125</v>
      </c>
      <c r="H71" s="106">
        <v>0.3525758155279841</v>
      </c>
      <c r="I71" s="106">
        <v>0.2778328403253054</v>
      </c>
      <c r="J71" s="106">
        <v>0.00032341455031513293</v>
      </c>
      <c r="K71" s="103">
        <v>0.034132284917717276</v>
      </c>
    </row>
    <row r="72" spans="3:11" ht="9.75">
      <c r="C72" s="104"/>
      <c r="D72" s="105">
        <v>120</v>
      </c>
      <c r="E72" s="99" t="str">
        <f t="shared" si="0"/>
        <v>Excavators</v>
      </c>
      <c r="F72" s="99" t="str">
        <f t="shared" si="1"/>
        <v>Excavators0051</v>
      </c>
      <c r="G72" s="106">
        <v>0.1786140482130061</v>
      </c>
      <c r="H72" s="106">
        <v>0.5504205288181995</v>
      </c>
      <c r="I72" s="106">
        <v>1.030544168338401</v>
      </c>
      <c r="J72" s="106">
        <v>0.0008636360991281652</v>
      </c>
      <c r="K72" s="103">
        <v>0.09631992095612839</v>
      </c>
    </row>
    <row r="73" spans="3:11" ht="9.75">
      <c r="C73" s="104"/>
      <c r="D73" s="105">
        <v>175</v>
      </c>
      <c r="E73" s="99" t="str">
        <f t="shared" si="0"/>
        <v>Excavators</v>
      </c>
      <c r="F73" s="99" t="str">
        <f t="shared" si="1"/>
        <v>Excavators0121</v>
      </c>
      <c r="G73" s="106">
        <v>0.1792305020019218</v>
      </c>
      <c r="H73" s="106">
        <v>0.6757753763200292</v>
      </c>
      <c r="I73" s="106">
        <v>1.3896789224355264</v>
      </c>
      <c r="J73" s="106">
        <v>0.0012626853049906499</v>
      </c>
      <c r="K73" s="103">
        <v>0.07941751022765965</v>
      </c>
    </row>
    <row r="74" spans="3:11" ht="9.75">
      <c r="C74" s="104"/>
      <c r="D74" s="105">
        <v>250</v>
      </c>
      <c r="E74" s="99" t="str">
        <f t="shared" si="0"/>
        <v>Excavators</v>
      </c>
      <c r="F74" s="99" t="str">
        <f t="shared" si="1"/>
        <v>Excavators0176</v>
      </c>
      <c r="G74" s="106">
        <v>0.17257253806884992</v>
      </c>
      <c r="H74" s="106">
        <v>0.46420053094184277</v>
      </c>
      <c r="I74" s="106">
        <v>1.855895277916927</v>
      </c>
      <c r="J74" s="106">
        <v>0.0017854534705910858</v>
      </c>
      <c r="K74" s="103">
        <v>0.06412885358105763</v>
      </c>
    </row>
    <row r="75" spans="3:11" ht="9.75">
      <c r="C75" s="104"/>
      <c r="D75" s="105">
        <v>500</v>
      </c>
      <c r="E75" s="99" t="str">
        <f aca="true" t="shared" si="2" ref="E75:E138">IF(NOT(ISBLANK(C75)),C75,E74)</f>
        <v>Excavators</v>
      </c>
      <c r="F75" s="99" t="str">
        <f aca="true" t="shared" si="3" ref="F75:F138">E75&amp;TEXT(IF(NOT(ISBLANK(C75)),0,D74+1),"0000")</f>
        <v>Excavators0251</v>
      </c>
      <c r="G75" s="106">
        <v>0.22946289371969525</v>
      </c>
      <c r="H75" s="106">
        <v>0.7652726353872646</v>
      </c>
      <c r="I75" s="106">
        <v>2.380931130922315</v>
      </c>
      <c r="J75" s="106">
        <v>0.002294189156205288</v>
      </c>
      <c r="K75" s="103">
        <v>0.0857550079536442</v>
      </c>
    </row>
    <row r="76" spans="3:11" ht="9.75">
      <c r="C76" s="104"/>
      <c r="D76" s="105">
        <v>750</v>
      </c>
      <c r="E76" s="99" t="str">
        <f t="shared" si="2"/>
        <v>Excavators</v>
      </c>
      <c r="F76" s="99" t="str">
        <f t="shared" si="3"/>
        <v>Excavators0501</v>
      </c>
      <c r="G76" s="106">
        <v>0.3840784283264023</v>
      </c>
      <c r="H76" s="106">
        <v>1.264502695288538</v>
      </c>
      <c r="I76" s="106">
        <v>4.075822440347163</v>
      </c>
      <c r="J76" s="106">
        <v>0.0038953476109481223</v>
      </c>
      <c r="K76" s="103">
        <v>0.14442357281878448</v>
      </c>
    </row>
    <row r="77" spans="3:11" ht="9.75">
      <c r="C77" s="101" t="s">
        <v>251</v>
      </c>
      <c r="D77" s="107"/>
      <c r="E77" s="99" t="str">
        <f t="shared" si="2"/>
        <v>Excavators Composite</v>
      </c>
      <c r="F77" s="99" t="str">
        <f t="shared" si="3"/>
        <v>Excavators Composite0000</v>
      </c>
      <c r="G77" s="108">
        <v>0.1816361918550563</v>
      </c>
      <c r="H77" s="108">
        <v>0.5976550635042284</v>
      </c>
      <c r="I77" s="108">
        <v>1.4225192786450738</v>
      </c>
      <c r="J77" s="108">
        <v>0.0013153897308055711</v>
      </c>
      <c r="K77" s="109">
        <v>0.07755203781365094</v>
      </c>
    </row>
    <row r="78" spans="3:11" ht="9.75">
      <c r="C78" s="101" t="s">
        <v>252</v>
      </c>
      <c r="D78" s="102">
        <v>50</v>
      </c>
      <c r="E78" s="99" t="str">
        <f t="shared" si="2"/>
        <v>Forklifts</v>
      </c>
      <c r="F78" s="99" t="str">
        <f t="shared" si="3"/>
        <v>Forklifts0000</v>
      </c>
      <c r="G78" s="106">
        <v>0.09318783266333855</v>
      </c>
      <c r="H78" s="106">
        <v>0.21194865303868077</v>
      </c>
      <c r="I78" s="106">
        <v>0.16428860682791485</v>
      </c>
      <c r="J78" s="106">
        <v>0.00018967167675469705</v>
      </c>
      <c r="K78" s="103">
        <v>0.02064190251230287</v>
      </c>
    </row>
    <row r="79" spans="3:11" ht="9.75">
      <c r="C79" s="104"/>
      <c r="D79" s="105">
        <v>120</v>
      </c>
      <c r="E79" s="99" t="str">
        <f t="shared" si="2"/>
        <v>Forklifts</v>
      </c>
      <c r="F79" s="99" t="str">
        <f t="shared" si="3"/>
        <v>Forklifts0051</v>
      </c>
      <c r="G79" s="106">
        <v>0.07862458918223209</v>
      </c>
      <c r="H79" s="106">
        <v>0.23374089179352509</v>
      </c>
      <c r="I79" s="106">
        <v>0.4358648232426377</v>
      </c>
      <c r="J79" s="106">
        <v>0.0003662842189498026</v>
      </c>
      <c r="K79" s="103">
        <v>0.042841849245162364</v>
      </c>
    </row>
    <row r="80" spans="3:11" ht="9.75">
      <c r="C80" s="104"/>
      <c r="D80" s="105">
        <v>175</v>
      </c>
      <c r="E80" s="99" t="str">
        <f t="shared" si="2"/>
        <v>Forklifts</v>
      </c>
      <c r="F80" s="99" t="str">
        <f t="shared" si="3"/>
        <v>Forklifts0121</v>
      </c>
      <c r="G80" s="106">
        <v>0.09341780010389722</v>
      </c>
      <c r="H80" s="106">
        <v>0.3342671794601783</v>
      </c>
      <c r="I80" s="106">
        <v>0.7024208353025723</v>
      </c>
      <c r="J80" s="106">
        <v>0.0006307076341180767</v>
      </c>
      <c r="K80" s="103">
        <v>0.04162298573220157</v>
      </c>
    </row>
    <row r="81" spans="3:11" ht="9.75">
      <c r="C81" s="104"/>
      <c r="D81" s="105">
        <v>250</v>
      </c>
      <c r="E81" s="99" t="str">
        <f t="shared" si="2"/>
        <v>Forklifts</v>
      </c>
      <c r="F81" s="99" t="str">
        <f t="shared" si="3"/>
        <v>Forklifts0176</v>
      </c>
      <c r="G81" s="106">
        <v>0.07623130410186767</v>
      </c>
      <c r="H81" s="106">
        <v>0.19196667436966378</v>
      </c>
      <c r="I81" s="106">
        <v>0.8930228749374101</v>
      </c>
      <c r="J81" s="106">
        <v>0.0008677526250460222</v>
      </c>
      <c r="K81" s="103">
        <v>0.02729166714061673</v>
      </c>
    </row>
    <row r="82" spans="3:11" ht="9.75">
      <c r="C82" s="104"/>
      <c r="D82" s="105">
        <v>500</v>
      </c>
      <c r="E82" s="99" t="str">
        <f t="shared" si="2"/>
        <v>Forklifts</v>
      </c>
      <c r="F82" s="99" t="str">
        <f t="shared" si="3"/>
        <v>Forklifts0251</v>
      </c>
      <c r="G82" s="106">
        <v>0.09879583420536282</v>
      </c>
      <c r="H82" s="106">
        <v>0.27771812394037243</v>
      </c>
      <c r="I82" s="106">
        <v>1.1190124203466374</v>
      </c>
      <c r="J82" s="106">
        <v>0.0010893062733416375</v>
      </c>
      <c r="K82" s="103">
        <v>0.03636194422909823</v>
      </c>
    </row>
    <row r="83" spans="3:11" ht="9.75">
      <c r="C83" s="101" t="s">
        <v>253</v>
      </c>
      <c r="D83" s="107"/>
      <c r="E83" s="99" t="str">
        <f t="shared" si="2"/>
        <v>Forklifts Composite</v>
      </c>
      <c r="F83" s="99" t="str">
        <f t="shared" si="3"/>
        <v>Forklifts Composite0000</v>
      </c>
      <c r="G83" s="108">
        <v>0.0860933468851007</v>
      </c>
      <c r="H83" s="108">
        <v>0.24953785161255918</v>
      </c>
      <c r="I83" s="108">
        <v>0.643011349741185</v>
      </c>
      <c r="J83" s="108">
        <v>0.0006028420406199511</v>
      </c>
      <c r="K83" s="109">
        <v>0.034566787121286635</v>
      </c>
    </row>
    <row r="84" spans="3:11" ht="9.75">
      <c r="C84" s="101" t="s">
        <v>9</v>
      </c>
      <c r="D84" s="102">
        <v>15</v>
      </c>
      <c r="E84" s="99" t="str">
        <f t="shared" si="2"/>
        <v>Generator Sets</v>
      </c>
      <c r="F84" s="99" t="str">
        <f t="shared" si="3"/>
        <v>Generator Sets0000</v>
      </c>
      <c r="G84" s="106">
        <v>0.01980680126404558</v>
      </c>
      <c r="H84" s="106">
        <v>0.07611205341352102</v>
      </c>
      <c r="I84" s="106">
        <v>0.12773108852991247</v>
      </c>
      <c r="J84" s="106">
        <v>0.0001588402775102372</v>
      </c>
      <c r="K84" s="103">
        <v>0.008140928538472224</v>
      </c>
    </row>
    <row r="85" spans="3:11" ht="9.75">
      <c r="C85" s="104"/>
      <c r="D85" s="105">
        <v>25</v>
      </c>
      <c r="E85" s="99" t="str">
        <f t="shared" si="2"/>
        <v>Generator Sets</v>
      </c>
      <c r="F85" s="99" t="str">
        <f t="shared" si="3"/>
        <v>Generator Sets0016</v>
      </c>
      <c r="G85" s="106">
        <v>0.03492413896025346</v>
      </c>
      <c r="H85" s="106">
        <v>0.11399337213066742</v>
      </c>
      <c r="I85" s="106">
        <v>0.17981034508142696</v>
      </c>
      <c r="J85" s="106">
        <v>0.00022370926763017564</v>
      </c>
      <c r="K85" s="103">
        <v>0.012332813846895212</v>
      </c>
    </row>
    <row r="86" spans="3:11" ht="9.75">
      <c r="C86" s="104"/>
      <c r="D86" s="105">
        <v>50</v>
      </c>
      <c r="E86" s="99" t="str">
        <f t="shared" si="2"/>
        <v>Generator Sets</v>
      </c>
      <c r="F86" s="99" t="str">
        <f t="shared" si="3"/>
        <v>Generator Sets0026</v>
      </c>
      <c r="G86" s="106">
        <v>0.1293580681410565</v>
      </c>
      <c r="H86" s="106">
        <v>0.30761461057181316</v>
      </c>
      <c r="I86" s="106">
        <v>0.31968782775734855</v>
      </c>
      <c r="J86" s="106">
        <v>0.00039587885714481157</v>
      </c>
      <c r="K86" s="103">
        <v>0.03181876883028581</v>
      </c>
    </row>
    <row r="87" spans="3:11" ht="9.75">
      <c r="C87" s="104"/>
      <c r="D87" s="105">
        <v>120</v>
      </c>
      <c r="E87" s="99" t="str">
        <f t="shared" si="2"/>
        <v>Generator Sets</v>
      </c>
      <c r="F87" s="99" t="str">
        <f t="shared" si="3"/>
        <v>Generator Sets0051</v>
      </c>
      <c r="G87" s="106">
        <v>0.16382050683409025</v>
      </c>
      <c r="H87" s="106">
        <v>0.5185439216172575</v>
      </c>
      <c r="I87" s="106">
        <v>1.0337985971014974</v>
      </c>
      <c r="J87" s="106">
        <v>0.0009143866890752707</v>
      </c>
      <c r="K87" s="103">
        <v>0.07914324673981674</v>
      </c>
    </row>
    <row r="88" spans="3:11" ht="9.75">
      <c r="C88" s="104"/>
      <c r="D88" s="105">
        <v>175</v>
      </c>
      <c r="E88" s="99" t="str">
        <f t="shared" si="2"/>
        <v>Generator Sets</v>
      </c>
      <c r="F88" s="99" t="str">
        <f t="shared" si="3"/>
        <v>Generator Sets0121</v>
      </c>
      <c r="G88" s="106">
        <v>0.19442461520946652</v>
      </c>
      <c r="H88" s="106">
        <v>0.7568635280978725</v>
      </c>
      <c r="I88" s="106">
        <v>1.693836815320367</v>
      </c>
      <c r="J88" s="106">
        <v>0.0015975109797530486</v>
      </c>
      <c r="K88" s="103">
        <v>0.07949388733157828</v>
      </c>
    </row>
    <row r="89" spans="3:11" ht="9.75">
      <c r="C89" s="104"/>
      <c r="D89" s="105">
        <v>250</v>
      </c>
      <c r="E89" s="99" t="str">
        <f t="shared" si="2"/>
        <v>Generator Sets</v>
      </c>
      <c r="F89" s="99" t="str">
        <f t="shared" si="3"/>
        <v>Generator Sets0176</v>
      </c>
      <c r="G89" s="106">
        <v>0.1981810663262595</v>
      </c>
      <c r="H89" s="106">
        <v>0.5973839382915092</v>
      </c>
      <c r="I89" s="106">
        <v>2.3842504186356495</v>
      </c>
      <c r="J89" s="106">
        <v>0.002391045237766244</v>
      </c>
      <c r="K89" s="103">
        <v>0.07371544563507747</v>
      </c>
    </row>
    <row r="90" spans="3:11" ht="9.75">
      <c r="C90" s="104"/>
      <c r="D90" s="105">
        <v>500</v>
      </c>
      <c r="E90" s="99" t="str">
        <f t="shared" si="2"/>
        <v>Generator Sets</v>
      </c>
      <c r="F90" s="99" t="str">
        <f t="shared" si="3"/>
        <v>Generator Sets0251</v>
      </c>
      <c r="G90" s="106">
        <v>0.28243830172493045</v>
      </c>
      <c r="H90" s="106">
        <v>1.1210829015884534</v>
      </c>
      <c r="I90" s="106">
        <v>3.473067279825223</v>
      </c>
      <c r="J90" s="106">
        <v>0.003306320951487954</v>
      </c>
      <c r="K90" s="103">
        <v>0.10839532644100572</v>
      </c>
    </row>
    <row r="91" spans="3:11" ht="9.75">
      <c r="C91" s="104"/>
      <c r="D91" s="105">
        <v>750</v>
      </c>
      <c r="E91" s="99" t="str">
        <f t="shared" si="2"/>
        <v>Generator Sets</v>
      </c>
      <c r="F91" s="99" t="str">
        <f t="shared" si="3"/>
        <v>Generator Sets0501</v>
      </c>
      <c r="G91" s="106">
        <v>0.4695412221328054</v>
      </c>
      <c r="H91" s="106">
        <v>1.809791883454119</v>
      </c>
      <c r="I91" s="106">
        <v>5.73895794194711</v>
      </c>
      <c r="J91" s="106">
        <v>0.0054676584324301804</v>
      </c>
      <c r="K91" s="103">
        <v>0.17709971315575787</v>
      </c>
    </row>
    <row r="92" spans="3:11" ht="9.75">
      <c r="C92" s="104"/>
      <c r="D92" s="105">
        <v>9999</v>
      </c>
      <c r="E92" s="99" t="str">
        <f t="shared" si="2"/>
        <v>Generator Sets</v>
      </c>
      <c r="F92" s="99" t="str">
        <f t="shared" si="3"/>
        <v>Generator Sets0751</v>
      </c>
      <c r="G92" s="106">
        <v>1.1948671133640376</v>
      </c>
      <c r="H92" s="106">
        <v>4.407606456006374</v>
      </c>
      <c r="I92" s="106">
        <v>13.258394578175071</v>
      </c>
      <c r="J92" s="106">
        <v>0.010543436325366792</v>
      </c>
      <c r="K92" s="103">
        <v>0.41507409752078567</v>
      </c>
    </row>
    <row r="93" spans="3:11" ht="9.75">
      <c r="C93" s="101" t="s">
        <v>254</v>
      </c>
      <c r="D93" s="107"/>
      <c r="E93" s="99" t="str">
        <f t="shared" si="2"/>
        <v>Generator Sets Composite</v>
      </c>
      <c r="F93" s="99" t="str">
        <f t="shared" si="3"/>
        <v>Generator Sets Composite0000</v>
      </c>
      <c r="G93" s="108">
        <v>0.11301272259532257</v>
      </c>
      <c r="H93" s="108">
        <v>0.35485795154840566</v>
      </c>
      <c r="I93" s="108">
        <v>0.72493066541221</v>
      </c>
      <c r="J93" s="108">
        <v>0.0006979933731753748</v>
      </c>
      <c r="K93" s="109">
        <v>0.0446118265849857</v>
      </c>
    </row>
    <row r="94" spans="3:11" ht="9.75">
      <c r="C94" s="101" t="s">
        <v>29</v>
      </c>
      <c r="D94" s="102">
        <v>50</v>
      </c>
      <c r="E94" s="99" t="str">
        <f t="shared" si="2"/>
        <v>Graders</v>
      </c>
      <c r="F94" s="99" t="str">
        <f t="shared" si="3"/>
        <v>Graders0000</v>
      </c>
      <c r="G94" s="106">
        <v>0.17327806153632083</v>
      </c>
      <c r="H94" s="106">
        <v>0.392851956729758</v>
      </c>
      <c r="I94" s="106">
        <v>0.3100687649970107</v>
      </c>
      <c r="J94" s="106">
        <v>0.00035599909767692055</v>
      </c>
      <c r="K94" s="103">
        <v>0.038126309339529</v>
      </c>
    </row>
    <row r="95" spans="3:11" ht="9.75">
      <c r="C95" s="104"/>
      <c r="D95" s="105">
        <v>120</v>
      </c>
      <c r="E95" s="99" t="str">
        <f t="shared" si="2"/>
        <v>Graders</v>
      </c>
      <c r="F95" s="99" t="str">
        <f t="shared" si="3"/>
        <v>Graders0051</v>
      </c>
      <c r="G95" s="106">
        <v>0.190237969927665</v>
      </c>
      <c r="H95" s="106">
        <v>0.5657117946041548</v>
      </c>
      <c r="I95" s="106">
        <v>1.1024532201629405</v>
      </c>
      <c r="J95" s="106">
        <v>0.0008793762393483434</v>
      </c>
      <c r="K95" s="103">
        <v>0.09958922714937396</v>
      </c>
    </row>
    <row r="96" spans="3:11" ht="9.75">
      <c r="C96" s="104"/>
      <c r="D96" s="105">
        <v>175</v>
      </c>
      <c r="E96" s="99" t="str">
        <f t="shared" si="2"/>
        <v>Graders</v>
      </c>
      <c r="F96" s="99" t="str">
        <f t="shared" si="3"/>
        <v>Graders0121</v>
      </c>
      <c r="G96" s="106">
        <v>0.20729115239412246</v>
      </c>
      <c r="H96" s="106">
        <v>0.7540228056906911</v>
      </c>
      <c r="I96" s="106">
        <v>1.625768329618614</v>
      </c>
      <c r="J96" s="106">
        <v>0.0013943289976539252</v>
      </c>
      <c r="K96" s="103">
        <v>0.09068441721331313</v>
      </c>
    </row>
    <row r="97" spans="3:11" ht="9.75">
      <c r="C97" s="104"/>
      <c r="D97" s="105">
        <v>250</v>
      </c>
      <c r="E97" s="99" t="str">
        <f t="shared" si="2"/>
        <v>Graders</v>
      </c>
      <c r="F97" s="99" t="str">
        <f t="shared" si="3"/>
        <v>Graders0176</v>
      </c>
      <c r="G97" s="106">
        <v>0.2088391412194139</v>
      </c>
      <c r="H97" s="106">
        <v>0.5807792187625258</v>
      </c>
      <c r="I97" s="106">
        <v>2.148231616520143</v>
      </c>
      <c r="J97" s="106">
        <v>0.0019365694634683197</v>
      </c>
      <c r="K97" s="103">
        <v>0.08026165393323224</v>
      </c>
    </row>
    <row r="98" spans="3:11" ht="9.75">
      <c r="C98" s="104"/>
      <c r="D98" s="105">
        <v>500</v>
      </c>
      <c r="E98" s="99" t="str">
        <f t="shared" si="2"/>
        <v>Graders</v>
      </c>
      <c r="F98" s="99" t="str">
        <f t="shared" si="3"/>
        <v>Graders0251</v>
      </c>
      <c r="G98" s="106">
        <v>0.24871440551152293</v>
      </c>
      <c r="H98" s="106">
        <v>0.9672421910268386</v>
      </c>
      <c r="I98" s="106">
        <v>2.541423089882291</v>
      </c>
      <c r="J98" s="106">
        <v>0.002252463199452893</v>
      </c>
      <c r="K98" s="103">
        <v>0.09604062080888201</v>
      </c>
    </row>
    <row r="99" spans="3:11" ht="9.75">
      <c r="C99" s="104"/>
      <c r="D99" s="105">
        <v>750</v>
      </c>
      <c r="E99" s="99" t="str">
        <f t="shared" si="2"/>
        <v>Graders</v>
      </c>
      <c r="F99" s="99" t="str">
        <f t="shared" si="3"/>
        <v>Graders0501</v>
      </c>
      <c r="G99" s="106">
        <v>0.5319700384280581</v>
      </c>
      <c r="H99" s="106">
        <v>2.037429356552727</v>
      </c>
      <c r="I99" s="106">
        <v>5.514777262045814</v>
      </c>
      <c r="J99" s="106">
        <v>0.004883998531948832</v>
      </c>
      <c r="K99" s="103">
        <v>0.20526853442266244</v>
      </c>
    </row>
    <row r="100" spans="3:11" ht="9.75">
      <c r="C100" s="101" t="s">
        <v>255</v>
      </c>
      <c r="D100" s="107"/>
      <c r="E100" s="99" t="str">
        <f t="shared" si="2"/>
        <v>Graders Composite</v>
      </c>
      <c r="F100" s="99" t="str">
        <f t="shared" si="3"/>
        <v>Graders Composite0000</v>
      </c>
      <c r="G100" s="108">
        <v>0.205539241028727</v>
      </c>
      <c r="H100" s="108">
        <v>0.6712407412271391</v>
      </c>
      <c r="I100" s="108">
        <v>1.719840462649303</v>
      </c>
      <c r="J100" s="108">
        <v>0.001496074093637779</v>
      </c>
      <c r="K100" s="109">
        <v>0.0886303293620057</v>
      </c>
    </row>
    <row r="101" spans="3:11" ht="9.75">
      <c r="C101" s="101" t="s">
        <v>30</v>
      </c>
      <c r="D101" s="102">
        <v>120</v>
      </c>
      <c r="E101" s="99" t="str">
        <f t="shared" si="2"/>
        <v>Off-Highway Tractors</v>
      </c>
      <c r="F101" s="99" t="str">
        <f t="shared" si="3"/>
        <v>Off-Highway Tractors0000</v>
      </c>
      <c r="G101" s="106">
        <v>0.28299155355273214</v>
      </c>
      <c r="H101" s="106">
        <v>0.7723201073029663</v>
      </c>
      <c r="I101" s="106">
        <v>1.6141842290129864</v>
      </c>
      <c r="J101" s="106">
        <v>0.0010995884309182614</v>
      </c>
      <c r="K101" s="103">
        <v>0.14021770317856733</v>
      </c>
    </row>
    <row r="102" spans="3:11" ht="9.75">
      <c r="C102" s="104"/>
      <c r="D102" s="105">
        <v>175</v>
      </c>
      <c r="E102" s="99" t="str">
        <f t="shared" si="2"/>
        <v>Off-Highway Tractors</v>
      </c>
      <c r="F102" s="99" t="str">
        <f t="shared" si="3"/>
        <v>Off-Highway Tractors0121</v>
      </c>
      <c r="G102" s="106">
        <v>0.26407629244899933</v>
      </c>
      <c r="H102" s="106">
        <v>0.8839790699021918</v>
      </c>
      <c r="I102" s="106">
        <v>2.0208693519743166</v>
      </c>
      <c r="J102" s="106">
        <v>0.0014674182796965867</v>
      </c>
      <c r="K102" s="103">
        <v>0.11345441736229459</v>
      </c>
    </row>
    <row r="103" spans="3:11" ht="9.75">
      <c r="C103" s="104"/>
      <c r="D103" s="105">
        <v>250</v>
      </c>
      <c r="E103" s="99" t="str">
        <f t="shared" si="2"/>
        <v>Off-Highway Tractors</v>
      </c>
      <c r="F103" s="99" t="str">
        <f t="shared" si="3"/>
        <v>Off-Highway Tractors0176</v>
      </c>
      <c r="G103" s="106">
        <v>0.2148623998277163</v>
      </c>
      <c r="H103" s="106">
        <v>0.6124758116005565</v>
      </c>
      <c r="I103" s="106">
        <v>1.9515148947410046</v>
      </c>
      <c r="J103" s="106">
        <v>0.0014674181276686372</v>
      </c>
      <c r="K103" s="103">
        <v>0.0852349455961968</v>
      </c>
    </row>
    <row r="104" spans="3:11" ht="9.75">
      <c r="C104" s="104"/>
      <c r="D104" s="105">
        <v>750</v>
      </c>
      <c r="E104" s="99" t="str">
        <f t="shared" si="2"/>
        <v>Off-Highway Tractors</v>
      </c>
      <c r="F104" s="99" t="str">
        <f t="shared" si="3"/>
        <v>Off-Highway Tractors0251</v>
      </c>
      <c r="G104" s="106">
        <v>0.8341465008118333</v>
      </c>
      <c r="H104" s="106">
        <v>4.355151498177316</v>
      </c>
      <c r="I104" s="106">
        <v>7.822344832651253</v>
      </c>
      <c r="J104" s="106">
        <v>0.005712395877401482</v>
      </c>
      <c r="K104" s="103">
        <v>0.326511381203326</v>
      </c>
    </row>
    <row r="105" spans="3:11" ht="9.75">
      <c r="C105" s="104"/>
      <c r="D105" s="105">
        <v>1000</v>
      </c>
      <c r="E105" s="99" t="str">
        <f t="shared" si="2"/>
        <v>Off-Highway Tractors</v>
      </c>
      <c r="F105" s="99" t="str">
        <f t="shared" si="3"/>
        <v>Off-Highway Tractors0751</v>
      </c>
      <c r="G105" s="106">
        <v>1.2771094958422444</v>
      </c>
      <c r="H105" s="106">
        <v>6.736142463914703</v>
      </c>
      <c r="I105" s="106">
        <v>12.57340028799565</v>
      </c>
      <c r="J105" s="106">
        <v>0.008187490186311274</v>
      </c>
      <c r="K105" s="103">
        <v>0.45510900253600106</v>
      </c>
    </row>
    <row r="106" spans="3:11" ht="9.75">
      <c r="C106" s="101" t="s">
        <v>256</v>
      </c>
      <c r="D106" s="107"/>
      <c r="E106" s="99" t="str">
        <f t="shared" si="2"/>
        <v>Off-Highway Tractors Composite</v>
      </c>
      <c r="F106" s="99" t="str">
        <f t="shared" si="3"/>
        <v>Off-Highway Tractors Composite0000</v>
      </c>
      <c r="G106" s="108">
        <v>0.26923879320547583</v>
      </c>
      <c r="H106" s="108">
        <v>0.9269984136352971</v>
      </c>
      <c r="I106" s="108">
        <v>2.274232113443117</v>
      </c>
      <c r="J106" s="108">
        <v>0.0016719368412728818</v>
      </c>
      <c r="K106" s="109">
        <v>0.11067588633682791</v>
      </c>
    </row>
    <row r="107" spans="3:11" ht="9.75">
      <c r="C107" s="101" t="s">
        <v>18</v>
      </c>
      <c r="D107" s="102">
        <v>175</v>
      </c>
      <c r="E107" s="99" t="str">
        <f t="shared" si="2"/>
        <v>Off-Highway Trucks</v>
      </c>
      <c r="F107" s="99" t="str">
        <f t="shared" si="3"/>
        <v>Off-Highway Trucks0000</v>
      </c>
      <c r="G107" s="106">
        <v>0.20934320768391393</v>
      </c>
      <c r="H107" s="106">
        <v>0.7697477506418159</v>
      </c>
      <c r="I107" s="106">
        <v>1.588062112396546</v>
      </c>
      <c r="J107" s="106">
        <v>0.0014074516833067173</v>
      </c>
      <c r="K107" s="103">
        <v>0.09198611401614534</v>
      </c>
    </row>
    <row r="108" spans="3:11" ht="9.75">
      <c r="C108" s="104"/>
      <c r="D108" s="105">
        <v>250</v>
      </c>
      <c r="E108" s="99" t="str">
        <f t="shared" si="2"/>
        <v>Off-Highway Trucks</v>
      </c>
      <c r="F108" s="99" t="str">
        <f t="shared" si="3"/>
        <v>Off-Highway Trucks0176</v>
      </c>
      <c r="G108" s="106">
        <v>0.1933097530366764</v>
      </c>
      <c r="H108" s="106">
        <v>0.5096475330966709</v>
      </c>
      <c r="I108" s="106">
        <v>1.9993289668499965</v>
      </c>
      <c r="J108" s="106">
        <v>0.0018739213113789202</v>
      </c>
      <c r="K108" s="103">
        <v>0.07094604553519364</v>
      </c>
    </row>
    <row r="109" spans="3:11" ht="9.75">
      <c r="C109" s="104"/>
      <c r="D109" s="105">
        <v>500</v>
      </c>
      <c r="E109" s="99" t="str">
        <f t="shared" si="2"/>
        <v>Off-Highway Trucks</v>
      </c>
      <c r="F109" s="99" t="str">
        <f t="shared" si="3"/>
        <v>Off-Highway Trucks0251</v>
      </c>
      <c r="G109" s="106">
        <v>0.2869765544735713</v>
      </c>
      <c r="H109" s="106">
        <v>0.945084291807502</v>
      </c>
      <c r="I109" s="106">
        <v>2.8529968802744876</v>
      </c>
      <c r="J109" s="106">
        <v>0.002673046357307079</v>
      </c>
      <c r="K109" s="103">
        <v>0.10510793456260005</v>
      </c>
    </row>
    <row r="110" spans="3:11" ht="9.75">
      <c r="C110" s="104"/>
      <c r="D110" s="105">
        <v>750</v>
      </c>
      <c r="E110" s="99" t="str">
        <f t="shared" si="2"/>
        <v>Off-Highway Trucks</v>
      </c>
      <c r="F110" s="99" t="str">
        <f t="shared" si="3"/>
        <v>Off-Highway Trucks0501</v>
      </c>
      <c r="G110" s="106">
        <v>0.4688574881646747</v>
      </c>
      <c r="H110" s="106">
        <v>1.5279198810977679</v>
      </c>
      <c r="I110" s="106">
        <v>4.772679143608905</v>
      </c>
      <c r="J110" s="106">
        <v>0.004441558619619788</v>
      </c>
      <c r="K110" s="103">
        <v>0.1730498000495983</v>
      </c>
    </row>
    <row r="111" spans="3:11" ht="9.75">
      <c r="C111" s="104"/>
      <c r="D111" s="105">
        <v>1000</v>
      </c>
      <c r="E111" s="99" t="str">
        <f t="shared" si="2"/>
        <v>Off-Highway Trucks</v>
      </c>
      <c r="F111" s="99" t="str">
        <f t="shared" si="3"/>
        <v>Off-Highway Trucks0751</v>
      </c>
      <c r="G111" s="106">
        <v>0.7527584824468678</v>
      </c>
      <c r="H111" s="106">
        <v>2.6057897355993638</v>
      </c>
      <c r="I111" s="106">
        <v>8.328378858740209</v>
      </c>
      <c r="J111" s="106">
        <v>0.006281427523647659</v>
      </c>
      <c r="K111" s="103">
        <v>0.25690519630449393</v>
      </c>
    </row>
    <row r="112" spans="3:11" ht="9.75">
      <c r="C112" s="101" t="s">
        <v>257</v>
      </c>
      <c r="D112" s="107"/>
      <c r="E112" s="99" t="str">
        <f t="shared" si="2"/>
        <v>Off-Highway Trucks Composite</v>
      </c>
      <c r="F112" s="99" t="str">
        <f t="shared" si="3"/>
        <v>Off-Highway Trucks Composite0000</v>
      </c>
      <c r="G112" s="108">
        <v>0.288118887189074</v>
      </c>
      <c r="H112" s="108">
        <v>0.9132946759979781</v>
      </c>
      <c r="I112" s="108">
        <v>2.914411809910231</v>
      </c>
      <c r="J112" s="108">
        <v>0.0026591573282390155</v>
      </c>
      <c r="K112" s="109">
        <v>0.1055967993478841</v>
      </c>
    </row>
    <row r="113" spans="3:11" ht="9.75">
      <c r="C113" s="101" t="s">
        <v>11</v>
      </c>
      <c r="D113" s="102">
        <v>15</v>
      </c>
      <c r="E113" s="99" t="str">
        <f t="shared" si="2"/>
        <v>Other Construction Equipment</v>
      </c>
      <c r="F113" s="99" t="str">
        <f t="shared" si="3"/>
        <v>Other Construction Equipment0000</v>
      </c>
      <c r="G113" s="106">
        <v>0.012087981529047706</v>
      </c>
      <c r="H113" s="106">
        <v>0.06171470181676851</v>
      </c>
      <c r="I113" s="106">
        <v>0.07702344974054548</v>
      </c>
      <c r="J113" s="106">
        <v>0.00015727912781083353</v>
      </c>
      <c r="K113" s="103">
        <v>0.005555210189776163</v>
      </c>
    </row>
    <row r="114" spans="3:11" ht="9.75">
      <c r="C114" s="104"/>
      <c r="D114" s="105">
        <v>25</v>
      </c>
      <c r="E114" s="99" t="str">
        <f t="shared" si="2"/>
        <v>Other Construction Equipment</v>
      </c>
      <c r="F114" s="99" t="str">
        <f t="shared" si="3"/>
        <v>Other Construction Equipment0016</v>
      </c>
      <c r="G114" s="106">
        <v>0.018325848721047054</v>
      </c>
      <c r="H114" s="106">
        <v>0.0569775440305649</v>
      </c>
      <c r="I114" s="106">
        <v>0.11545038166830274</v>
      </c>
      <c r="J114" s="106">
        <v>0.000167702371891974</v>
      </c>
      <c r="K114" s="103">
        <v>0.007362282222252281</v>
      </c>
    </row>
    <row r="115" spans="3:11" ht="9.75">
      <c r="C115" s="104"/>
      <c r="D115" s="105">
        <v>50</v>
      </c>
      <c r="E115" s="99" t="str">
        <f t="shared" si="2"/>
        <v>Other Construction Equipment</v>
      </c>
      <c r="F115" s="99" t="str">
        <f t="shared" si="3"/>
        <v>Other Construction Equipment0026</v>
      </c>
      <c r="G115" s="106">
        <v>0.1355786715198429</v>
      </c>
      <c r="H115" s="106">
        <v>0.32615740863733866</v>
      </c>
      <c r="I115" s="106">
        <v>0.2941857768188009</v>
      </c>
      <c r="J115" s="106">
        <v>0.000361835108282558</v>
      </c>
      <c r="K115" s="103">
        <v>0.03237171451356131</v>
      </c>
    </row>
    <row r="116" spans="3:11" ht="9.75">
      <c r="C116" s="104"/>
      <c r="D116" s="105">
        <v>120</v>
      </c>
      <c r="E116" s="99" t="str">
        <f t="shared" si="2"/>
        <v>Other Construction Equipment</v>
      </c>
      <c r="F116" s="99" t="str">
        <f t="shared" si="3"/>
        <v>Other Construction Equipment0051</v>
      </c>
      <c r="G116" s="106">
        <v>0.1710636351077758</v>
      </c>
      <c r="H116" s="106">
        <v>0.5607213857211287</v>
      </c>
      <c r="I116" s="106">
        <v>1.0579275281669862</v>
      </c>
      <c r="J116" s="106">
        <v>0.0009485142521554979</v>
      </c>
      <c r="K116" s="103">
        <v>0.08957412011407778</v>
      </c>
    </row>
    <row r="117" spans="3:11" ht="9.75">
      <c r="C117" s="104"/>
      <c r="D117" s="105">
        <v>175</v>
      </c>
      <c r="E117" s="99" t="str">
        <f t="shared" si="2"/>
        <v>Other Construction Equipment</v>
      </c>
      <c r="F117" s="99" t="str">
        <f t="shared" si="3"/>
        <v>Other Construction Equipment0121</v>
      </c>
      <c r="G117" s="106">
        <v>0.14640857928654663</v>
      </c>
      <c r="H117" s="106">
        <v>0.5955209719511662</v>
      </c>
      <c r="I117" s="106">
        <v>1.230951071002838</v>
      </c>
      <c r="J117" s="106">
        <v>0.0011984858142487917</v>
      </c>
      <c r="K117" s="103">
        <v>0.06405504207889172</v>
      </c>
    </row>
    <row r="118" spans="3:11" ht="9.75">
      <c r="C118" s="104"/>
      <c r="D118" s="105">
        <v>500</v>
      </c>
      <c r="E118" s="99" t="str">
        <f t="shared" si="2"/>
        <v>Other Construction Equipment</v>
      </c>
      <c r="F118" s="99" t="str">
        <f t="shared" si="3"/>
        <v>Other Construction Equipment0176</v>
      </c>
      <c r="G118" s="106">
        <v>0.20949358581307584</v>
      </c>
      <c r="H118" s="106">
        <v>0.7692295286733118</v>
      </c>
      <c r="I118" s="106">
        <v>2.4472902693409995</v>
      </c>
      <c r="J118" s="106">
        <v>0.0024954341917908496</v>
      </c>
      <c r="K118" s="103">
        <v>0.08253637586204043</v>
      </c>
    </row>
    <row r="119" spans="3:11" ht="9.75">
      <c r="C119" s="101" t="s">
        <v>258</v>
      </c>
      <c r="D119" s="107"/>
      <c r="E119" s="99" t="str">
        <f t="shared" si="2"/>
        <v>Other Construction Equipment Composite</v>
      </c>
      <c r="F119" s="99" t="str">
        <f t="shared" si="3"/>
        <v>Other Construction Equipment Composite0000</v>
      </c>
      <c r="G119" s="108">
        <v>0.13105263411905047</v>
      </c>
      <c r="H119" s="108">
        <v>0.47490740393744846</v>
      </c>
      <c r="I119" s="108">
        <v>1.24114173608279</v>
      </c>
      <c r="J119" s="108">
        <v>0.0012687372401031718</v>
      </c>
      <c r="K119" s="109">
        <v>0.053900155087792834</v>
      </c>
    </row>
    <row r="120" spans="3:11" ht="9.75">
      <c r="C120" s="101" t="s">
        <v>259</v>
      </c>
      <c r="D120" s="102">
        <v>15</v>
      </c>
      <c r="E120" s="99" t="str">
        <f t="shared" si="2"/>
        <v>Other General Industrial Equipmen</v>
      </c>
      <c r="F120" s="99" t="str">
        <f t="shared" si="3"/>
        <v>Other General Industrial Equipmen0000</v>
      </c>
      <c r="G120" s="106">
        <v>0.006688329121039551</v>
      </c>
      <c r="H120" s="106">
        <v>0.0390502487201293</v>
      </c>
      <c r="I120" s="106">
        <v>0.047017208248017486</v>
      </c>
      <c r="J120" s="106">
        <v>9.951901234914622E-05</v>
      </c>
      <c r="K120" s="103">
        <v>0.0034387027150919068</v>
      </c>
    </row>
    <row r="121" spans="3:11" ht="9.75">
      <c r="C121" s="104"/>
      <c r="D121" s="105">
        <v>25</v>
      </c>
      <c r="E121" s="99" t="str">
        <f t="shared" si="2"/>
        <v>Other General Industrial Equipmen</v>
      </c>
      <c r="F121" s="99" t="str">
        <f t="shared" si="3"/>
        <v>Other General Industrial Equipmen0016</v>
      </c>
      <c r="G121" s="106">
        <v>0.019213150470315393</v>
      </c>
      <c r="H121" s="106">
        <v>0.06320063160229351</v>
      </c>
      <c r="I121" s="106">
        <v>0.12657621469850294</v>
      </c>
      <c r="J121" s="106">
        <v>0.0001947511702109266</v>
      </c>
      <c r="K121" s="103">
        <v>0.008210680698533127</v>
      </c>
    </row>
    <row r="122" spans="3:11" ht="9.75">
      <c r="C122" s="104"/>
      <c r="D122" s="105">
        <v>50</v>
      </c>
      <c r="E122" s="99" t="str">
        <f t="shared" si="2"/>
        <v>Other General Industrial Equipmen</v>
      </c>
      <c r="F122" s="99" t="str">
        <f t="shared" si="3"/>
        <v>Other General Industrial Equipmen0026</v>
      </c>
      <c r="G122" s="106">
        <v>0.14764129026645167</v>
      </c>
      <c r="H122" s="106">
        <v>0.32604578675231044</v>
      </c>
      <c r="I122" s="106">
        <v>0.24988182078413243</v>
      </c>
      <c r="J122" s="106">
        <v>0.00028110311632945653</v>
      </c>
      <c r="K122" s="103">
        <v>0.031686584976100815</v>
      </c>
    </row>
    <row r="123" spans="3:11" ht="9.75">
      <c r="C123" s="104"/>
      <c r="D123" s="105">
        <v>120</v>
      </c>
      <c r="E123" s="99" t="str">
        <f t="shared" si="2"/>
        <v>Other General Industrial Equipmen</v>
      </c>
      <c r="F123" s="99" t="str">
        <f t="shared" si="3"/>
        <v>Other General Industrial Equipmen0051</v>
      </c>
      <c r="G123" s="106">
        <v>0.167067986488749</v>
      </c>
      <c r="H123" s="106">
        <v>0.4755698828173608</v>
      </c>
      <c r="I123" s="106">
        <v>0.9335908225029488</v>
      </c>
      <c r="J123" s="106">
        <v>0.0007277141075090732</v>
      </c>
      <c r="K123" s="103">
        <v>0.08766404350375046</v>
      </c>
    </row>
    <row r="124" spans="3:11" ht="9.75">
      <c r="C124" s="104"/>
      <c r="D124" s="105">
        <v>175</v>
      </c>
      <c r="E124" s="99" t="str">
        <f t="shared" si="2"/>
        <v>Other General Industrial Equipmen</v>
      </c>
      <c r="F124" s="99" t="str">
        <f t="shared" si="3"/>
        <v>Other General Industrial Equipmen0121</v>
      </c>
      <c r="G124" s="106">
        <v>0.1706174673930071</v>
      </c>
      <c r="H124" s="106">
        <v>0.588038303599639</v>
      </c>
      <c r="I124" s="106">
        <v>1.3014070704370584</v>
      </c>
      <c r="J124" s="106">
        <v>0.0010793990096540824</v>
      </c>
      <c r="K124" s="103">
        <v>0.07456195316830184</v>
      </c>
    </row>
    <row r="125" spans="3:11" ht="9.75">
      <c r="C125" s="104"/>
      <c r="D125" s="105">
        <v>250</v>
      </c>
      <c r="E125" s="99" t="str">
        <f t="shared" si="2"/>
        <v>Other General Industrial Equipmen</v>
      </c>
      <c r="F125" s="99" t="str">
        <f t="shared" si="3"/>
        <v>Other General Industrial Equipmen0176</v>
      </c>
      <c r="G125" s="106">
        <v>0.16301381327506625</v>
      </c>
      <c r="H125" s="106">
        <v>0.43659928705363965</v>
      </c>
      <c r="I125" s="106">
        <v>1.7266345093245592</v>
      </c>
      <c r="J125" s="106">
        <v>0.0015255503824733682</v>
      </c>
      <c r="K125" s="103">
        <v>0.061375503347368965</v>
      </c>
    </row>
    <row r="126" spans="3:11" ht="9.75">
      <c r="C126" s="104"/>
      <c r="D126" s="105">
        <v>500</v>
      </c>
      <c r="E126" s="99" t="str">
        <f t="shared" si="2"/>
        <v>Other General Industrial Equipmen</v>
      </c>
      <c r="F126" s="99" t="str">
        <f t="shared" si="3"/>
        <v>Other General Industrial Equipmen0251</v>
      </c>
      <c r="G126" s="106">
        <v>0.28509036217733663</v>
      </c>
      <c r="H126" s="106">
        <v>1.0466849369897901</v>
      </c>
      <c r="I126" s="106">
        <v>3.01225908782698</v>
      </c>
      <c r="J126" s="106">
        <v>0.0026051029506755866</v>
      </c>
      <c r="K126" s="103">
        <v>0.10874611906908152</v>
      </c>
    </row>
    <row r="127" spans="3:11" ht="9.75">
      <c r="C127" s="104"/>
      <c r="D127" s="105">
        <v>750</v>
      </c>
      <c r="E127" s="99" t="str">
        <f t="shared" si="2"/>
        <v>Other General Industrial Equipmen</v>
      </c>
      <c r="F127" s="99" t="str">
        <f t="shared" si="3"/>
        <v>Other General Industrial Equipmen0501</v>
      </c>
      <c r="G127" s="106">
        <v>0.4755410916898812</v>
      </c>
      <c r="H127" s="106">
        <v>1.7251379685462307</v>
      </c>
      <c r="I127" s="106">
        <v>5.087103047172188</v>
      </c>
      <c r="J127" s="106">
        <v>0.004398436441429851</v>
      </c>
      <c r="K127" s="103">
        <v>0.18156159518654338</v>
      </c>
    </row>
    <row r="128" spans="3:11" ht="9.75">
      <c r="C128" s="104"/>
      <c r="D128" s="105">
        <v>1000</v>
      </c>
      <c r="E128" s="99" t="str">
        <f t="shared" si="2"/>
        <v>Other General Industrial Equipmen</v>
      </c>
      <c r="F128" s="99" t="str">
        <f t="shared" si="3"/>
        <v>Other General Industrial Equipmen0751</v>
      </c>
      <c r="G128" s="106">
        <v>0.7280218234050159</v>
      </c>
      <c r="H128" s="106">
        <v>2.7743595276519275</v>
      </c>
      <c r="I128" s="106">
        <v>7.7949092088669545</v>
      </c>
      <c r="J128" s="106">
        <v>0.005626654224084846</v>
      </c>
      <c r="K128" s="103">
        <v>0.24729184998640666</v>
      </c>
    </row>
    <row r="129" spans="3:11" ht="9.75">
      <c r="C129" s="101" t="s">
        <v>260</v>
      </c>
      <c r="D129" s="107"/>
      <c r="E129" s="99" t="str">
        <f t="shared" si="2"/>
        <v>Other General Industrial Equipmen Composite</v>
      </c>
      <c r="F129" s="99" t="str">
        <f t="shared" si="3"/>
        <v>Other General Industrial Equipmen Composite0000</v>
      </c>
      <c r="G129" s="108">
        <v>0.21107007480629647</v>
      </c>
      <c r="H129" s="108">
        <v>0.69873147904887</v>
      </c>
      <c r="I129" s="108">
        <v>1.901150683590099</v>
      </c>
      <c r="J129" s="108">
        <v>0.0016001046617130476</v>
      </c>
      <c r="K129" s="109">
        <v>0.08495626811877921</v>
      </c>
    </row>
    <row r="130" spans="3:11" ht="9.75">
      <c r="C130" s="101" t="s">
        <v>261</v>
      </c>
      <c r="D130" s="102">
        <v>50</v>
      </c>
      <c r="E130" s="99" t="str">
        <f t="shared" si="2"/>
        <v>Other Material Handling Equipment</v>
      </c>
      <c r="F130" s="99" t="str">
        <f t="shared" si="3"/>
        <v>Other Material Handling Equipment0000</v>
      </c>
      <c r="G130" s="106">
        <v>0.20340076470250038</v>
      </c>
      <c r="H130" s="106">
        <v>0.4495143136031564</v>
      </c>
      <c r="I130" s="106">
        <v>0.34729119321525354</v>
      </c>
      <c r="J130" s="106">
        <v>0.00039215025632327214</v>
      </c>
      <c r="K130" s="103">
        <v>0.04374353535695897</v>
      </c>
    </row>
    <row r="131" spans="3:11" ht="9.75">
      <c r="C131" s="104"/>
      <c r="D131" s="105">
        <v>120</v>
      </c>
      <c r="E131" s="99" t="str">
        <f t="shared" si="2"/>
        <v>Other Material Handling Equipment</v>
      </c>
      <c r="F131" s="99" t="str">
        <f t="shared" si="3"/>
        <v>Other Material Handling Equipment0051</v>
      </c>
      <c r="G131" s="106">
        <v>0.162020493083335</v>
      </c>
      <c r="H131" s="106">
        <v>0.46263954728048484</v>
      </c>
      <c r="I131" s="106">
        <v>0.909370636370851</v>
      </c>
      <c r="J131" s="106">
        <v>0.0007116799633836401</v>
      </c>
      <c r="K131" s="103">
        <v>0.08479336319962756</v>
      </c>
    </row>
    <row r="132" spans="3:11" ht="9.75">
      <c r="C132" s="104"/>
      <c r="D132" s="105">
        <v>175</v>
      </c>
      <c r="E132" s="99" t="str">
        <f t="shared" si="2"/>
        <v>Other Material Handling Equipment</v>
      </c>
      <c r="F132" s="99" t="str">
        <f t="shared" si="3"/>
        <v>Other Material Handling Equipment0121</v>
      </c>
      <c r="G132" s="106">
        <v>0.21517267549674488</v>
      </c>
      <c r="H132" s="106">
        <v>0.7443977948269836</v>
      </c>
      <c r="I132" s="106">
        <v>1.6495126132099842</v>
      </c>
      <c r="J132" s="106">
        <v>0.0013735881415946713</v>
      </c>
      <c r="K132" s="103">
        <v>0.09391127926202283</v>
      </c>
    </row>
    <row r="133" spans="3:11" ht="9.75">
      <c r="C133" s="104"/>
      <c r="D133" s="105">
        <v>250</v>
      </c>
      <c r="E133" s="99" t="str">
        <f t="shared" si="2"/>
        <v>Other Material Handling Equipment</v>
      </c>
      <c r="F133" s="99" t="str">
        <f t="shared" si="3"/>
        <v>Other Material Handling Equipment0176</v>
      </c>
      <c r="G133" s="106">
        <v>0.17294878141636436</v>
      </c>
      <c r="H133" s="106">
        <v>0.46538519417693147</v>
      </c>
      <c r="I133" s="106">
        <v>1.8395334016047589</v>
      </c>
      <c r="J133" s="106">
        <v>0.0016316557301301905</v>
      </c>
      <c r="K133" s="103">
        <v>0.06526855867553714</v>
      </c>
    </row>
    <row r="134" spans="3:11" ht="9.75">
      <c r="C134" s="104"/>
      <c r="D134" s="105">
        <v>500</v>
      </c>
      <c r="E134" s="99" t="str">
        <f t="shared" si="2"/>
        <v>Other Material Handling Equipment</v>
      </c>
      <c r="F134" s="99" t="str">
        <f t="shared" si="3"/>
        <v>Other Material Handling Equipment0251</v>
      </c>
      <c r="G134" s="106">
        <v>0.20381449669740873</v>
      </c>
      <c r="H134" s="106">
        <v>0.7541357562144962</v>
      </c>
      <c r="I134" s="106">
        <v>2.168994756666451</v>
      </c>
      <c r="J134" s="106">
        <v>0.0018808682575413172</v>
      </c>
      <c r="K134" s="103">
        <v>0.07806685411981062</v>
      </c>
    </row>
    <row r="135" spans="3:11" ht="9.75">
      <c r="C135" s="104"/>
      <c r="D135" s="105">
        <v>9999</v>
      </c>
      <c r="E135" s="99" t="str">
        <f t="shared" si="2"/>
        <v>Other Material Handling Equipment</v>
      </c>
      <c r="F135" s="99" t="str">
        <f t="shared" si="3"/>
        <v>Other Material Handling Equipment0501</v>
      </c>
      <c r="G135" s="106">
        <v>0.9597198870180427</v>
      </c>
      <c r="H135" s="106">
        <v>3.668916469220309</v>
      </c>
      <c r="I135" s="106">
        <v>10.294106808079132</v>
      </c>
      <c r="J135" s="106">
        <v>0.007276564284063715</v>
      </c>
      <c r="K135" s="103">
        <v>0.32557675467948316</v>
      </c>
    </row>
    <row r="136" spans="3:11" ht="9.75">
      <c r="C136" s="101" t="s">
        <v>262</v>
      </c>
      <c r="D136" s="107"/>
      <c r="E136" s="99" t="str">
        <f t="shared" si="2"/>
        <v>Other Material Handling Equipment Composite</v>
      </c>
      <c r="F136" s="99" t="str">
        <f t="shared" si="3"/>
        <v>Other Material Handling Equipment Composite0000</v>
      </c>
      <c r="G136" s="108">
        <v>0.20375138309988808</v>
      </c>
      <c r="H136" s="108">
        <v>0.6298140329716375</v>
      </c>
      <c r="I136" s="108">
        <v>1.8362435331342402</v>
      </c>
      <c r="J136" s="108">
        <v>0.001543220237317338</v>
      </c>
      <c r="K136" s="109">
        <v>0.081903376058873</v>
      </c>
    </row>
    <row r="137" spans="3:11" ht="9.75">
      <c r="C137" s="101" t="s">
        <v>31</v>
      </c>
      <c r="D137" s="102">
        <v>25</v>
      </c>
      <c r="E137" s="99" t="str">
        <f t="shared" si="2"/>
        <v>Pavers</v>
      </c>
      <c r="F137" s="99" t="str">
        <f t="shared" si="3"/>
        <v>Pavers0000</v>
      </c>
      <c r="G137" s="106">
        <v>0.03679303836409265</v>
      </c>
      <c r="H137" s="106">
        <v>0.0997077277909693</v>
      </c>
      <c r="I137" s="106">
        <v>0.17699990324969064</v>
      </c>
      <c r="J137" s="106">
        <v>0.00023675619395424155</v>
      </c>
      <c r="K137" s="103">
        <v>0.012524035347307986</v>
      </c>
    </row>
    <row r="138" spans="3:11" ht="9.75">
      <c r="C138" s="104"/>
      <c r="D138" s="105">
        <v>50</v>
      </c>
      <c r="E138" s="99" t="str">
        <f t="shared" si="2"/>
        <v>Pavers</v>
      </c>
      <c r="F138" s="99" t="str">
        <f t="shared" si="3"/>
        <v>Pavers0026</v>
      </c>
      <c r="G138" s="106">
        <v>0.1880677180658754</v>
      </c>
      <c r="H138" s="106">
        <v>0.41308376853887024</v>
      </c>
      <c r="I138" s="106">
        <v>0.3234219388037606</v>
      </c>
      <c r="J138" s="106">
        <v>0.000361835078934085</v>
      </c>
      <c r="K138" s="103">
        <v>0.04006290429926071</v>
      </c>
    </row>
    <row r="139" spans="3:11" ht="9.75">
      <c r="C139" s="104"/>
      <c r="D139" s="105">
        <v>120</v>
      </c>
      <c r="E139" s="99" t="str">
        <f aca="true" t="shared" si="4" ref="E139:E202">IF(NOT(ISBLANK(C139)),C139,E138)</f>
        <v>Pavers</v>
      </c>
      <c r="F139" s="99" t="str">
        <f aca="true" t="shared" si="5" ref="F139:F202">E139&amp;TEXT(IF(NOT(ISBLANK(C139)),0,D138+1),"0000")</f>
        <v>Pavers0051</v>
      </c>
      <c r="G139" s="106">
        <v>0.19209034696659066</v>
      </c>
      <c r="H139" s="106">
        <v>0.5429464944459652</v>
      </c>
      <c r="I139" s="106">
        <v>1.1171966231097699</v>
      </c>
      <c r="J139" s="106">
        <v>0.0008117093395462432</v>
      </c>
      <c r="K139" s="103">
        <v>0.09582447805684256</v>
      </c>
    </row>
    <row r="140" spans="3:11" ht="9.75">
      <c r="C140" s="104"/>
      <c r="D140" s="105">
        <v>175</v>
      </c>
      <c r="E140" s="99" t="str">
        <f t="shared" si="4"/>
        <v>Pavers</v>
      </c>
      <c r="F140" s="99" t="str">
        <f t="shared" si="5"/>
        <v>Pavers0121</v>
      </c>
      <c r="G140" s="106">
        <v>0.23630433743424267</v>
      </c>
      <c r="H140" s="106">
        <v>0.8213765749739318</v>
      </c>
      <c r="I140" s="106">
        <v>1.8558745919409905</v>
      </c>
      <c r="J140" s="106">
        <v>0.001443431920857221</v>
      </c>
      <c r="K140" s="103">
        <v>0.10151404864875703</v>
      </c>
    </row>
    <row r="141" spans="3:11" ht="9.75">
      <c r="C141" s="104"/>
      <c r="D141" s="105">
        <v>250</v>
      </c>
      <c r="E141" s="99" t="str">
        <f t="shared" si="4"/>
        <v>Pavers</v>
      </c>
      <c r="F141" s="99" t="str">
        <f t="shared" si="5"/>
        <v>Pavers0176</v>
      </c>
      <c r="G141" s="106">
        <v>0.2843597174040107</v>
      </c>
      <c r="H141" s="106">
        <v>0.8186371958200929</v>
      </c>
      <c r="I141" s="106">
        <v>2.7050170534245117</v>
      </c>
      <c r="J141" s="106">
        <v>0.0021870177469655245</v>
      </c>
      <c r="K141" s="103">
        <v>0.11279519975753714</v>
      </c>
    </row>
    <row r="142" spans="3:11" ht="9.75">
      <c r="C142" s="104"/>
      <c r="D142" s="105">
        <v>500</v>
      </c>
      <c r="E142" s="99" t="str">
        <f t="shared" si="4"/>
        <v>Pavers</v>
      </c>
      <c r="F142" s="99" t="str">
        <f t="shared" si="5"/>
        <v>Pavers0251</v>
      </c>
      <c r="G142" s="106">
        <v>0.3027971252947398</v>
      </c>
      <c r="H142" s="106">
        <v>1.494319991339646</v>
      </c>
      <c r="I142" s="106">
        <v>2.939667780439736</v>
      </c>
      <c r="J142" s="106">
        <v>0.002289389328600635</v>
      </c>
      <c r="K142" s="103">
        <v>0.11940316687517748</v>
      </c>
    </row>
    <row r="143" spans="3:11" ht="9.75">
      <c r="C143" s="101" t="s">
        <v>263</v>
      </c>
      <c r="D143" s="107"/>
      <c r="E143" s="99" t="str">
        <f t="shared" si="4"/>
        <v>Pavers Composite</v>
      </c>
      <c r="F143" s="99" t="str">
        <f t="shared" si="5"/>
        <v>Pavers Composite0000</v>
      </c>
      <c r="G143" s="108">
        <v>0.20623023812947458</v>
      </c>
      <c r="H143" s="108">
        <v>0.599983777244034</v>
      </c>
      <c r="I143" s="108">
        <v>1.1291064913238567</v>
      </c>
      <c r="J143" s="108">
        <v>0.000894955567104409</v>
      </c>
      <c r="K143" s="109">
        <v>0.07993981933507885</v>
      </c>
    </row>
    <row r="144" spans="3:11" ht="9.75">
      <c r="C144" s="101" t="s">
        <v>32</v>
      </c>
      <c r="D144" s="102">
        <v>25</v>
      </c>
      <c r="E144" s="99" t="str">
        <f t="shared" si="4"/>
        <v>Paving Equipment</v>
      </c>
      <c r="F144" s="99" t="str">
        <f t="shared" si="5"/>
        <v>Paving Equipment0000</v>
      </c>
      <c r="G144" s="106">
        <v>0.017508660674599264</v>
      </c>
      <c r="H144" s="106">
        <v>0.05443678975387034</v>
      </c>
      <c r="I144" s="106">
        <v>0.11030219778018426</v>
      </c>
      <c r="J144" s="106">
        <v>0.0001602241313231077</v>
      </c>
      <c r="K144" s="103">
        <v>0.007033983185644747</v>
      </c>
    </row>
    <row r="145" spans="3:11" ht="9.75">
      <c r="C145" s="104"/>
      <c r="D145" s="105">
        <v>50</v>
      </c>
      <c r="E145" s="99" t="str">
        <f t="shared" si="4"/>
        <v>Paving Equipment</v>
      </c>
      <c r="F145" s="99" t="str">
        <f t="shared" si="5"/>
        <v>Paving Equipment0026</v>
      </c>
      <c r="G145" s="106">
        <v>0.15933030864016803</v>
      </c>
      <c r="H145" s="106">
        <v>0.3498080202777525</v>
      </c>
      <c r="I145" s="106">
        <v>0.275912618608489</v>
      </c>
      <c r="J145" s="106">
        <v>0.00030931064703866725</v>
      </c>
      <c r="K145" s="103">
        <v>0.0339830374299021</v>
      </c>
    </row>
    <row r="146" spans="3:11" ht="9.75">
      <c r="C146" s="104"/>
      <c r="D146" s="105">
        <v>120</v>
      </c>
      <c r="E146" s="99" t="str">
        <f t="shared" si="4"/>
        <v>Paving Equipment</v>
      </c>
      <c r="F146" s="99" t="str">
        <f t="shared" si="5"/>
        <v>Paving Equipment0051</v>
      </c>
      <c r="G146" s="106">
        <v>0.15012792577969936</v>
      </c>
      <c r="H146" s="106">
        <v>0.4247503272971753</v>
      </c>
      <c r="I146" s="106">
        <v>0.8752808770587739</v>
      </c>
      <c r="J146" s="106">
        <v>0.0006393055752808231</v>
      </c>
      <c r="K146" s="103">
        <v>0.07476351312807358</v>
      </c>
    </row>
    <row r="147" spans="3:11" ht="9.75">
      <c r="C147" s="104"/>
      <c r="D147" s="105">
        <v>175</v>
      </c>
      <c r="E147" s="99" t="str">
        <f t="shared" si="4"/>
        <v>Paving Equipment</v>
      </c>
      <c r="F147" s="99" t="str">
        <f t="shared" si="5"/>
        <v>Paving Equipment0121</v>
      </c>
      <c r="G147" s="106">
        <v>0.1842424106046123</v>
      </c>
      <c r="H147" s="106">
        <v>0.6412631449733288</v>
      </c>
      <c r="I147" s="106">
        <v>1.4542203120427826</v>
      </c>
      <c r="J147" s="106">
        <v>0.001136684719606626</v>
      </c>
      <c r="K147" s="103">
        <v>0.0789337888440238</v>
      </c>
    </row>
    <row r="148" spans="3:11" ht="9.75">
      <c r="C148" s="104"/>
      <c r="D148" s="105">
        <v>250</v>
      </c>
      <c r="E148" s="99" t="str">
        <f t="shared" si="4"/>
        <v>Paving Equipment</v>
      </c>
      <c r="F148" s="99" t="str">
        <f t="shared" si="5"/>
        <v>Paving Equipment0176</v>
      </c>
      <c r="G148" s="106">
        <v>0.17740600681918242</v>
      </c>
      <c r="H148" s="106">
        <v>0.5123995118510501</v>
      </c>
      <c r="I148" s="106">
        <v>1.693500548219367</v>
      </c>
      <c r="J148" s="106">
        <v>0.0013759864998003617</v>
      </c>
      <c r="K148" s="103">
        <v>0.07043120911740255</v>
      </c>
    </row>
    <row r="149" spans="3:11" ht="9.75">
      <c r="C149" s="101" t="s">
        <v>264</v>
      </c>
      <c r="D149" s="107"/>
      <c r="E149" s="99" t="str">
        <f t="shared" si="4"/>
        <v>Paving Equipment Composite</v>
      </c>
      <c r="F149" s="99" t="str">
        <f t="shared" si="5"/>
        <v>Paving Equipment Composite0000</v>
      </c>
      <c r="G149" s="108">
        <v>0.1555712817967071</v>
      </c>
      <c r="H149" s="108">
        <v>0.4693461375418757</v>
      </c>
      <c r="I149" s="108">
        <v>1.0332699115527237</v>
      </c>
      <c r="J149" s="108">
        <v>0.0007931421247499696</v>
      </c>
      <c r="K149" s="109">
        <v>0.07080907331912015</v>
      </c>
    </row>
    <row r="150" spans="3:11" ht="9.75">
      <c r="C150" s="101" t="s">
        <v>15</v>
      </c>
      <c r="D150" s="102">
        <v>15</v>
      </c>
      <c r="E150" s="99" t="str">
        <f t="shared" si="4"/>
        <v>Plate Compactors</v>
      </c>
      <c r="F150" s="99" t="str">
        <f t="shared" si="5"/>
        <v>Plate Compactors0000</v>
      </c>
      <c r="G150" s="106">
        <v>0.005375077500905976</v>
      </c>
      <c r="H150" s="106">
        <v>0.026339773646231645</v>
      </c>
      <c r="I150" s="106">
        <v>0.03511227957708677</v>
      </c>
      <c r="J150" s="106">
        <v>6.71265769602764E-05</v>
      </c>
      <c r="K150" s="103">
        <v>0.002470392110255069</v>
      </c>
    </row>
    <row r="151" spans="3:11" ht="9.75">
      <c r="C151" s="101" t="s">
        <v>265</v>
      </c>
      <c r="D151" s="107"/>
      <c r="E151" s="99" t="str">
        <f t="shared" si="4"/>
        <v>Plate Compactors Composite</v>
      </c>
      <c r="F151" s="99" t="str">
        <f t="shared" si="5"/>
        <v>Plate Compactors Composite0000</v>
      </c>
      <c r="G151" s="108">
        <v>0.005375077500905976</v>
      </c>
      <c r="H151" s="108">
        <v>0.026339773646231645</v>
      </c>
      <c r="I151" s="108">
        <v>0.03511227957708677</v>
      </c>
      <c r="J151" s="108">
        <v>6.71265769602764E-05</v>
      </c>
      <c r="K151" s="109">
        <v>0.002470392110255069</v>
      </c>
    </row>
    <row r="152" spans="3:11" ht="9.75">
      <c r="C152" s="101" t="s">
        <v>266</v>
      </c>
      <c r="D152" s="102">
        <v>15</v>
      </c>
      <c r="E152" s="99" t="str">
        <f t="shared" si="4"/>
        <v>Pressure Washers</v>
      </c>
      <c r="F152" s="99" t="str">
        <f t="shared" si="5"/>
        <v>Pressure Washers0000</v>
      </c>
      <c r="G152" s="106">
        <v>0.0094897431844563</v>
      </c>
      <c r="H152" s="106">
        <v>0.03646646092959673</v>
      </c>
      <c r="I152" s="106">
        <v>0.06119793790703694</v>
      </c>
      <c r="J152" s="106">
        <v>7.610281675163893E-05</v>
      </c>
      <c r="K152" s="103">
        <v>0.003900444642461147</v>
      </c>
    </row>
    <row r="153" spans="3:11" ht="9.75">
      <c r="C153" s="104"/>
      <c r="D153" s="105">
        <v>25</v>
      </c>
      <c r="E153" s="99" t="str">
        <f t="shared" si="4"/>
        <v>Pressure Washers</v>
      </c>
      <c r="F153" s="99" t="str">
        <f t="shared" si="5"/>
        <v>Pressure Washers0016</v>
      </c>
      <c r="G153" s="106">
        <v>0.014158434151391803</v>
      </c>
      <c r="H153" s="106">
        <v>0.04621354308912398</v>
      </c>
      <c r="I153" s="106">
        <v>0.0728961050668508</v>
      </c>
      <c r="J153" s="106">
        <v>9.069293940414985E-05</v>
      </c>
      <c r="K153" s="103">
        <v>0.004999790752150901</v>
      </c>
    </row>
    <row r="154" spans="3:11" ht="9.75">
      <c r="C154" s="104"/>
      <c r="D154" s="105">
        <v>50</v>
      </c>
      <c r="E154" s="99" t="str">
        <f t="shared" si="4"/>
        <v>Pressure Washers</v>
      </c>
      <c r="F154" s="99" t="str">
        <f t="shared" si="5"/>
        <v>Pressure Washers0026</v>
      </c>
      <c r="G154" s="106">
        <v>0.04912810850594306</v>
      </c>
      <c r="H154" s="106">
        <v>0.12228734771655411</v>
      </c>
      <c r="I154" s="106">
        <v>0.14491464077894436</v>
      </c>
      <c r="J154" s="106">
        <v>0.00018480829487523142</v>
      </c>
      <c r="K154" s="103">
        <v>0.013068864867876001</v>
      </c>
    </row>
    <row r="155" spans="3:11" ht="9.75">
      <c r="C155" s="104"/>
      <c r="D155" s="105">
        <v>120</v>
      </c>
      <c r="E155" s="99" t="str">
        <f t="shared" si="4"/>
        <v>Pressure Washers</v>
      </c>
      <c r="F155" s="99" t="str">
        <f t="shared" si="5"/>
        <v>Pressure Washers0051</v>
      </c>
      <c r="G155" s="106">
        <v>0.04626644202364601</v>
      </c>
      <c r="H155" s="106">
        <v>0.15286957126092146</v>
      </c>
      <c r="I155" s="106">
        <v>0.30553457312418014</v>
      </c>
      <c r="J155" s="106">
        <v>0.0002824360585814886</v>
      </c>
      <c r="K155" s="103">
        <v>0.021628288624229143</v>
      </c>
    </row>
    <row r="156" spans="3:11" ht="9.75">
      <c r="C156" s="101" t="s">
        <v>267</v>
      </c>
      <c r="D156" s="107"/>
      <c r="E156" s="99" t="str">
        <f t="shared" si="4"/>
        <v>Pressure Washers Composite</v>
      </c>
      <c r="F156" s="99" t="str">
        <f t="shared" si="5"/>
        <v>Pressure Washers Composite0000</v>
      </c>
      <c r="G156" s="108">
        <v>0.02349493723333085</v>
      </c>
      <c r="H156" s="108">
        <v>0.07046355452893727</v>
      </c>
      <c r="I156" s="108">
        <v>0.10785787062679518</v>
      </c>
      <c r="J156" s="108">
        <v>0.00012539798733821264</v>
      </c>
      <c r="K156" s="109">
        <v>0.008074770309095371</v>
      </c>
    </row>
    <row r="157" spans="3:11" ht="9.75">
      <c r="C157" s="101" t="s">
        <v>268</v>
      </c>
      <c r="D157" s="102">
        <v>15</v>
      </c>
      <c r="E157" s="99" t="str">
        <f t="shared" si="4"/>
        <v>Pumps</v>
      </c>
      <c r="F157" s="99" t="str">
        <f t="shared" si="5"/>
        <v>Pumps0000</v>
      </c>
      <c r="G157" s="106">
        <v>0.016781268242277027</v>
      </c>
      <c r="H157" s="106">
        <v>0.055354206070504765</v>
      </c>
      <c r="I157" s="106">
        <v>0.09540859849833544</v>
      </c>
      <c r="J157" s="106">
        <v>0.00011552015514083729</v>
      </c>
      <c r="K157" s="103">
        <v>0.007323749498660393</v>
      </c>
    </row>
    <row r="158" spans="3:11" ht="9.75">
      <c r="C158" s="104"/>
      <c r="D158" s="105">
        <v>25</v>
      </c>
      <c r="E158" s="99" t="str">
        <f t="shared" si="4"/>
        <v>Pumps</v>
      </c>
      <c r="F158" s="99" t="str">
        <f t="shared" si="5"/>
        <v>Pumps0016</v>
      </c>
      <c r="G158" s="106">
        <v>0.05070542071735924</v>
      </c>
      <c r="H158" s="106">
        <v>0.12599268767786218</v>
      </c>
      <c r="I158" s="106">
        <v>0.19873776629676207</v>
      </c>
      <c r="J158" s="106">
        <v>0.0002472576049759791</v>
      </c>
      <c r="K158" s="103">
        <v>0.015258404585269524</v>
      </c>
    </row>
    <row r="159" spans="3:11" ht="9.75">
      <c r="C159" s="104"/>
      <c r="D159" s="105">
        <v>50</v>
      </c>
      <c r="E159" s="99" t="str">
        <f t="shared" si="4"/>
        <v>Pumps</v>
      </c>
      <c r="F159" s="99" t="str">
        <f t="shared" si="5"/>
        <v>Pumps0026</v>
      </c>
      <c r="G159" s="106">
        <v>0.15413193402573758</v>
      </c>
      <c r="H159" s="106">
        <v>0.36211814900110195</v>
      </c>
      <c r="I159" s="106">
        <v>0.36193165314948117</v>
      </c>
      <c r="J159" s="106">
        <v>0.00044386400147980643</v>
      </c>
      <c r="K159" s="103">
        <v>0.03711743472281062</v>
      </c>
    </row>
    <row r="160" spans="3:11" ht="9.75">
      <c r="C160" s="104"/>
      <c r="D160" s="105">
        <v>120</v>
      </c>
      <c r="E160" s="99" t="str">
        <f t="shared" si="4"/>
        <v>Pumps</v>
      </c>
      <c r="F160" s="99" t="str">
        <f t="shared" si="5"/>
        <v>Pumps0051</v>
      </c>
      <c r="G160" s="106">
        <v>0.1685376529930633</v>
      </c>
      <c r="H160" s="106">
        <v>0.526487614645366</v>
      </c>
      <c r="I160" s="106">
        <v>1.0487985789871714</v>
      </c>
      <c r="J160" s="106">
        <v>0.0009143867715041415</v>
      </c>
      <c r="K160" s="103">
        <v>0.08221039829339184</v>
      </c>
    </row>
    <row r="161" spans="3:11" ht="9.75">
      <c r="C161" s="104"/>
      <c r="D161" s="105">
        <v>175</v>
      </c>
      <c r="E161" s="99" t="str">
        <f t="shared" si="4"/>
        <v>Pumps</v>
      </c>
      <c r="F161" s="99" t="str">
        <f t="shared" si="5"/>
        <v>Pumps0121</v>
      </c>
      <c r="G161" s="106">
        <v>0.19766929047256113</v>
      </c>
      <c r="H161" s="106">
        <v>0.7583982848299106</v>
      </c>
      <c r="I161" s="106">
        <v>1.6961310645432746</v>
      </c>
      <c r="J161" s="106">
        <v>0.0015766283222222498</v>
      </c>
      <c r="K161" s="103">
        <v>0.08156488784882082</v>
      </c>
    </row>
    <row r="162" spans="3:11" ht="9.75">
      <c r="C162" s="104"/>
      <c r="D162" s="105">
        <v>250</v>
      </c>
      <c r="E162" s="99" t="str">
        <f t="shared" si="4"/>
        <v>Pumps</v>
      </c>
      <c r="F162" s="99" t="str">
        <f t="shared" si="5"/>
        <v>Pumps0176</v>
      </c>
      <c r="G162" s="106">
        <v>0.1941214441585636</v>
      </c>
      <c r="H162" s="106">
        <v>0.577051280846712</v>
      </c>
      <c r="I162" s="106">
        <v>2.292605236390766</v>
      </c>
      <c r="J162" s="106">
        <v>0.002265750009779841</v>
      </c>
      <c r="K162" s="103">
        <v>0.07274650598925668</v>
      </c>
    </row>
    <row r="163" spans="3:11" ht="9.75">
      <c r="C163" s="104"/>
      <c r="D163" s="105">
        <v>500</v>
      </c>
      <c r="E163" s="99" t="str">
        <f t="shared" si="4"/>
        <v>Pumps</v>
      </c>
      <c r="F163" s="99" t="str">
        <f t="shared" si="5"/>
        <v>Pumps0251</v>
      </c>
      <c r="G163" s="106">
        <v>0.2982011291318063</v>
      </c>
      <c r="H163" s="106">
        <v>1.202366379749032</v>
      </c>
      <c r="I163" s="106">
        <v>3.5991326783515647</v>
      </c>
      <c r="J163" s="106">
        <v>0.0033882958820510263</v>
      </c>
      <c r="K163" s="103">
        <v>0.11493859579532838</v>
      </c>
    </row>
    <row r="164" spans="3:11" ht="9.75">
      <c r="C164" s="104"/>
      <c r="D164" s="105">
        <v>750</v>
      </c>
      <c r="E164" s="99" t="str">
        <f t="shared" si="4"/>
        <v>Pumps</v>
      </c>
      <c r="F164" s="99" t="str">
        <f t="shared" si="5"/>
        <v>Pumps0501</v>
      </c>
      <c r="G164" s="106">
        <v>0.5068472615741806</v>
      </c>
      <c r="H164" s="106">
        <v>1.9877819678203577</v>
      </c>
      <c r="I164" s="106">
        <v>6.090226323834553</v>
      </c>
      <c r="J164" s="106">
        <v>0.005738240527066329</v>
      </c>
      <c r="K164" s="103">
        <v>0.19228649170824683</v>
      </c>
    </row>
    <row r="165" spans="3:11" ht="9.75">
      <c r="C165" s="104"/>
      <c r="D165" s="105">
        <v>9999</v>
      </c>
      <c r="E165" s="99" t="str">
        <f t="shared" si="4"/>
        <v>Pumps</v>
      </c>
      <c r="F165" s="99" t="str">
        <f t="shared" si="5"/>
        <v>Pumps0751</v>
      </c>
      <c r="G165" s="106">
        <v>1.5682138621128596</v>
      </c>
      <c r="H165" s="106">
        <v>5.919666465016214</v>
      </c>
      <c r="I165" s="106">
        <v>17.31042823576073</v>
      </c>
      <c r="J165" s="106">
        <v>0.013622496935672159</v>
      </c>
      <c r="K165" s="103">
        <v>0.5440745107403044</v>
      </c>
    </row>
    <row r="166" spans="3:11" ht="9.75">
      <c r="C166" s="101" t="s">
        <v>269</v>
      </c>
      <c r="D166" s="107"/>
      <c r="E166" s="99" t="str">
        <f t="shared" si="4"/>
        <v>Pumps Composite</v>
      </c>
      <c r="F166" s="99" t="str">
        <f t="shared" si="5"/>
        <v>Pumps Composite0000</v>
      </c>
      <c r="G166" s="108">
        <v>0.10900910743641204</v>
      </c>
      <c r="H166" s="108">
        <v>0.32431431444780623</v>
      </c>
      <c r="I166" s="108">
        <v>0.622374027333905</v>
      </c>
      <c r="J166" s="108">
        <v>0.0005904566737993382</v>
      </c>
      <c r="K166" s="109">
        <v>0.04387940985083055</v>
      </c>
    </row>
    <row r="167" spans="3:11" ht="9.75">
      <c r="C167" s="101" t="s">
        <v>16</v>
      </c>
      <c r="D167" s="102">
        <v>15</v>
      </c>
      <c r="E167" s="99" t="str">
        <f t="shared" si="4"/>
        <v>Rollers</v>
      </c>
      <c r="F167" s="99" t="str">
        <f t="shared" si="5"/>
        <v>Rollers0000</v>
      </c>
      <c r="G167" s="106">
        <v>0.00755874044445837</v>
      </c>
      <c r="H167" s="106">
        <v>0.03859083999029555</v>
      </c>
      <c r="I167" s="106">
        <v>0.04816356369444565</v>
      </c>
      <c r="J167" s="106">
        <v>9.834824017816212E-05</v>
      </c>
      <c r="K167" s="103">
        <v>0.003473730661420304</v>
      </c>
    </row>
    <row r="168" spans="3:11" ht="9.75">
      <c r="C168" s="104"/>
      <c r="D168" s="105">
        <v>25</v>
      </c>
      <c r="E168" s="99" t="str">
        <f t="shared" si="4"/>
        <v>Rollers</v>
      </c>
      <c r="F168" s="99" t="str">
        <f t="shared" si="5"/>
        <v>Rollers0016</v>
      </c>
      <c r="G168" s="106">
        <v>0.018499715493151492</v>
      </c>
      <c r="H168" s="106">
        <v>0.05751811486436117</v>
      </c>
      <c r="I168" s="106">
        <v>0.11654571718771287</v>
      </c>
      <c r="J168" s="106">
        <v>0.00016929347368398957</v>
      </c>
      <c r="K168" s="103">
        <v>0.007432132413164724</v>
      </c>
    </row>
    <row r="169" spans="3:11" ht="9.75">
      <c r="C169" s="104"/>
      <c r="D169" s="105">
        <v>50</v>
      </c>
      <c r="E169" s="99" t="str">
        <f t="shared" si="4"/>
        <v>Rollers</v>
      </c>
      <c r="F169" s="99" t="str">
        <f t="shared" si="5"/>
        <v>Rollers0026</v>
      </c>
      <c r="G169" s="106">
        <v>0.15202390690178305</v>
      </c>
      <c r="H169" s="106">
        <v>0.3436110627440239</v>
      </c>
      <c r="I169" s="106">
        <v>0.2884446667836554</v>
      </c>
      <c r="J169" s="106">
        <v>0.0003358971795814789</v>
      </c>
      <c r="K169" s="103">
        <v>0.03376188660282768</v>
      </c>
    </row>
    <row r="170" spans="3:11" ht="9.75">
      <c r="C170" s="104"/>
      <c r="D170" s="105">
        <v>120</v>
      </c>
      <c r="E170" s="99" t="str">
        <f t="shared" si="4"/>
        <v>Rollers</v>
      </c>
      <c r="F170" s="99" t="str">
        <f t="shared" si="5"/>
        <v>Rollers0051</v>
      </c>
      <c r="G170" s="106">
        <v>0.14502138515499238</v>
      </c>
      <c r="H170" s="106">
        <v>0.4326325340774462</v>
      </c>
      <c r="I170" s="106">
        <v>0.8649721862460704</v>
      </c>
      <c r="J170" s="106">
        <v>0.0006919683300198489</v>
      </c>
      <c r="K170" s="103">
        <v>0.0734357527012934</v>
      </c>
    </row>
    <row r="171" spans="3:11" ht="9.75">
      <c r="C171" s="104"/>
      <c r="D171" s="105">
        <v>175</v>
      </c>
      <c r="E171" s="99" t="str">
        <f t="shared" si="4"/>
        <v>Rollers</v>
      </c>
      <c r="F171" s="99" t="str">
        <f t="shared" si="5"/>
        <v>Rollers0121</v>
      </c>
      <c r="G171" s="106">
        <v>0.17484146267845335</v>
      </c>
      <c r="H171" s="106">
        <v>0.6398498048282993</v>
      </c>
      <c r="I171" s="106">
        <v>1.4194428642468668</v>
      </c>
      <c r="J171" s="106">
        <v>0.001216828650821854</v>
      </c>
      <c r="K171" s="103">
        <v>0.07476466866184701</v>
      </c>
    </row>
    <row r="172" spans="3:11" ht="9.75">
      <c r="C172" s="104"/>
      <c r="D172" s="105">
        <v>250</v>
      </c>
      <c r="E172" s="99" t="str">
        <f t="shared" si="4"/>
        <v>Rollers</v>
      </c>
      <c r="F172" s="99" t="str">
        <f t="shared" si="5"/>
        <v>Rollers0176</v>
      </c>
      <c r="G172" s="106">
        <v>0.18672637424200733</v>
      </c>
      <c r="H172" s="106">
        <v>0.5391052928967003</v>
      </c>
      <c r="I172" s="106">
        <v>1.919375690869465</v>
      </c>
      <c r="J172" s="106">
        <v>0.0017225233960100352</v>
      </c>
      <c r="K172" s="103">
        <v>0.07294181524032631</v>
      </c>
    </row>
    <row r="173" spans="3:11" ht="9.75">
      <c r="C173" s="104"/>
      <c r="D173" s="105">
        <v>500</v>
      </c>
      <c r="E173" s="99" t="str">
        <f t="shared" si="4"/>
        <v>Rollers</v>
      </c>
      <c r="F173" s="99" t="str">
        <f t="shared" si="5"/>
        <v>Rollers0251</v>
      </c>
      <c r="G173" s="106">
        <v>0.23745955973573632</v>
      </c>
      <c r="H173" s="106">
        <v>1.0016148878099393</v>
      </c>
      <c r="I173" s="106">
        <v>2.4748670965689437</v>
      </c>
      <c r="J173" s="106">
        <v>0.002150547534244401</v>
      </c>
      <c r="K173" s="103">
        <v>0.09329898568493891</v>
      </c>
    </row>
    <row r="174" spans="3:11" ht="9.75">
      <c r="C174" s="101" t="s">
        <v>270</v>
      </c>
      <c r="D174" s="107"/>
      <c r="E174" s="99" t="str">
        <f t="shared" si="4"/>
        <v>Rollers Composite</v>
      </c>
      <c r="F174" s="99" t="str">
        <f t="shared" si="5"/>
        <v>Rollers Composite0000</v>
      </c>
      <c r="G174" s="108">
        <v>0.1409823319353536</v>
      </c>
      <c r="H174" s="108">
        <v>0.44189162581779917</v>
      </c>
      <c r="I174" s="108">
        <v>0.9073413185547913</v>
      </c>
      <c r="J174" s="108">
        <v>0.0007697333730389982</v>
      </c>
      <c r="K174" s="109">
        <v>0.06287527799437655</v>
      </c>
    </row>
    <row r="175" spans="3:11" ht="9.75">
      <c r="C175" s="101" t="s">
        <v>33</v>
      </c>
      <c r="D175" s="102">
        <v>50</v>
      </c>
      <c r="E175" s="99" t="str">
        <f t="shared" si="4"/>
        <v>Rough Terrain Forklifts</v>
      </c>
      <c r="F175" s="99" t="str">
        <f t="shared" si="5"/>
        <v>Rough Terrain Forklifts0000</v>
      </c>
      <c r="G175" s="106">
        <v>0.20185536609453889</v>
      </c>
      <c r="H175" s="106">
        <v>0.4634569929433017</v>
      </c>
      <c r="I175" s="106">
        <v>0.37456759888600777</v>
      </c>
      <c r="J175" s="106">
        <v>0.0004377038623759843</v>
      </c>
      <c r="K175" s="103">
        <v>0.045167263780728786</v>
      </c>
    </row>
    <row r="176" spans="3:11" ht="9.75">
      <c r="C176" s="104"/>
      <c r="D176" s="105">
        <v>120</v>
      </c>
      <c r="E176" s="99" t="str">
        <f t="shared" si="4"/>
        <v>Rough Terrain Forklifts</v>
      </c>
      <c r="F176" s="99" t="str">
        <f t="shared" si="5"/>
        <v>Rough Terrain Forklifts0051</v>
      </c>
      <c r="G176" s="106">
        <v>0.15083391815284358</v>
      </c>
      <c r="H176" s="106">
        <v>0.4598166930836783</v>
      </c>
      <c r="I176" s="106">
        <v>0.8818692938958645</v>
      </c>
      <c r="J176" s="106">
        <v>0.0007325684037852439</v>
      </c>
      <c r="K176" s="103">
        <v>0.07978331644333991</v>
      </c>
    </row>
    <row r="177" spans="3:11" ht="9.75">
      <c r="C177" s="104"/>
      <c r="D177" s="105">
        <v>175</v>
      </c>
      <c r="E177" s="99" t="str">
        <f t="shared" si="4"/>
        <v>Rough Terrain Forklifts</v>
      </c>
      <c r="F177" s="99" t="str">
        <f t="shared" si="5"/>
        <v>Rough Terrain Forklifts0121</v>
      </c>
      <c r="G177" s="106">
        <v>0.1981323498439037</v>
      </c>
      <c r="H177" s="106">
        <v>0.7389657339255415</v>
      </c>
      <c r="I177" s="106">
        <v>1.5699415777474555</v>
      </c>
      <c r="J177" s="106">
        <v>0.0014053356917982155</v>
      </c>
      <c r="K177" s="103">
        <v>0.08705112616839931</v>
      </c>
    </row>
    <row r="178" spans="3:11" ht="9.75">
      <c r="C178" s="104"/>
      <c r="D178" s="105">
        <v>250</v>
      </c>
      <c r="E178" s="99" t="str">
        <f t="shared" si="4"/>
        <v>Rough Terrain Forklifts</v>
      </c>
      <c r="F178" s="99" t="str">
        <f t="shared" si="5"/>
        <v>Rough Terrain Forklifts0176</v>
      </c>
      <c r="G178" s="106">
        <v>0.18799596826589612</v>
      </c>
      <c r="H178" s="106">
        <v>0.5203027373055455</v>
      </c>
      <c r="I178" s="106">
        <v>2.0303123941048895</v>
      </c>
      <c r="J178" s="106">
        <v>0.0019217535744484534</v>
      </c>
      <c r="K178" s="103">
        <v>0.07156204312268895</v>
      </c>
    </row>
    <row r="179" spans="3:11" ht="9.75">
      <c r="C179" s="104"/>
      <c r="D179" s="105">
        <v>500</v>
      </c>
      <c r="E179" s="99" t="str">
        <f t="shared" si="4"/>
        <v>Rough Terrain Forklifts</v>
      </c>
      <c r="F179" s="99" t="str">
        <f t="shared" si="5"/>
        <v>Rough Terrain Forklifts0251</v>
      </c>
      <c r="G179" s="106">
        <v>0.25184124414976217</v>
      </c>
      <c r="H179" s="106">
        <v>0.8995418300248043</v>
      </c>
      <c r="I179" s="106">
        <v>2.692006416432459</v>
      </c>
      <c r="J179" s="106">
        <v>0.002518328111824508</v>
      </c>
      <c r="K179" s="103">
        <v>0.09728425784380525</v>
      </c>
    </row>
    <row r="180" spans="3:11" ht="9.75">
      <c r="C180" s="101" t="s">
        <v>271</v>
      </c>
      <c r="D180" s="107"/>
      <c r="E180" s="99" t="str">
        <f t="shared" si="4"/>
        <v>Rough Terrain Forklifts Composite</v>
      </c>
      <c r="F180" s="99" t="str">
        <f t="shared" si="5"/>
        <v>Rough Terrain Forklifts Composite0000</v>
      </c>
      <c r="G180" s="108">
        <v>0.15760931172943188</v>
      </c>
      <c r="H180" s="108">
        <v>0.49284151354469335</v>
      </c>
      <c r="I180" s="108">
        <v>0.9630815786020188</v>
      </c>
      <c r="J180" s="108">
        <v>0.0008160650160605259</v>
      </c>
      <c r="K180" s="109">
        <v>0.07998297803105348</v>
      </c>
    </row>
    <row r="181" spans="3:11" ht="9.75">
      <c r="C181" s="101" t="s">
        <v>34</v>
      </c>
      <c r="D181" s="102">
        <v>175</v>
      </c>
      <c r="E181" s="99" t="str">
        <f t="shared" si="4"/>
        <v>Rubber Tired Dozers</v>
      </c>
      <c r="F181" s="99" t="str">
        <f t="shared" si="5"/>
        <v>Rubber Tired Dozers0000</v>
      </c>
      <c r="G181" s="106">
        <v>0.27118638766723474</v>
      </c>
      <c r="H181" s="106">
        <v>0.8963818386161708</v>
      </c>
      <c r="I181" s="106">
        <v>2.0450238152411586</v>
      </c>
      <c r="J181" s="106">
        <v>0.0014568362086486504</v>
      </c>
      <c r="K181" s="103">
        <v>0.11636835997258287</v>
      </c>
    </row>
    <row r="182" spans="3:11" ht="9.75">
      <c r="C182" s="104"/>
      <c r="D182" s="105">
        <v>250</v>
      </c>
      <c r="E182" s="99" t="str">
        <f t="shared" si="4"/>
        <v>Rubber Tired Dozers</v>
      </c>
      <c r="F182" s="99" t="str">
        <f t="shared" si="5"/>
        <v>Rubber Tired Dozers0176</v>
      </c>
      <c r="G182" s="106">
        <v>0.3138788277545716</v>
      </c>
      <c r="H182" s="106">
        <v>0.8842736486280695</v>
      </c>
      <c r="I182" s="106">
        <v>2.800379769201778</v>
      </c>
      <c r="J182" s="106">
        <v>0.0020645444154714296</v>
      </c>
      <c r="K182" s="103">
        <v>0.12363864578715453</v>
      </c>
    </row>
    <row r="183" spans="3:11" ht="9.75">
      <c r="C183" s="104"/>
      <c r="D183" s="105">
        <v>500</v>
      </c>
      <c r="E183" s="99" t="str">
        <f t="shared" si="4"/>
        <v>Rubber Tired Dozers</v>
      </c>
      <c r="F183" s="99" t="str">
        <f t="shared" si="5"/>
        <v>Rubber Tired Dozers0251</v>
      </c>
      <c r="G183" s="106">
        <v>0.4044558474681788</v>
      </c>
      <c r="H183" s="106">
        <v>2.1196805446063474</v>
      </c>
      <c r="I183" s="106">
        <v>3.6630563777050416</v>
      </c>
      <c r="J183" s="106">
        <v>0.002599810131806837</v>
      </c>
      <c r="K183" s="103">
        <v>0.156291505128379</v>
      </c>
    </row>
    <row r="184" spans="3:11" ht="9.75">
      <c r="C184" s="104"/>
      <c r="D184" s="105">
        <v>750</v>
      </c>
      <c r="E184" s="99" t="str">
        <f t="shared" si="4"/>
        <v>Rubber Tired Dozers</v>
      </c>
      <c r="F184" s="99" t="str">
        <f t="shared" si="5"/>
        <v>Rubber Tired Dozers0501</v>
      </c>
      <c r="G184" s="106">
        <v>0.6093675812727466</v>
      </c>
      <c r="H184" s="106">
        <v>3.171031961730916</v>
      </c>
      <c r="I184" s="106">
        <v>5.592646558617614</v>
      </c>
      <c r="J184" s="106">
        <v>0.004009709619870466</v>
      </c>
      <c r="K184" s="103">
        <v>0.23610022247118828</v>
      </c>
    </row>
    <row r="185" spans="3:11" ht="9.75">
      <c r="C185" s="104"/>
      <c r="D185" s="105">
        <v>1000</v>
      </c>
      <c r="E185" s="99" t="str">
        <f t="shared" si="4"/>
        <v>Rubber Tired Dozers</v>
      </c>
      <c r="F185" s="99" t="str">
        <f t="shared" si="5"/>
        <v>Rubber Tired Dozers0751</v>
      </c>
      <c r="G185" s="106">
        <v>0.954302617600076</v>
      </c>
      <c r="H185" s="106">
        <v>5.060999222313621</v>
      </c>
      <c r="I185" s="106">
        <v>9.295896236149266</v>
      </c>
      <c r="J185" s="106">
        <v>0.005951328675222627</v>
      </c>
      <c r="K185" s="103">
        <v>0.3416816321452299</v>
      </c>
    </row>
    <row r="186" spans="3:11" ht="9.75">
      <c r="C186" s="101" t="s">
        <v>272</v>
      </c>
      <c r="D186" s="107"/>
      <c r="E186" s="99" t="str">
        <f t="shared" si="4"/>
        <v>Rubber Tired Dozers Composite</v>
      </c>
      <c r="F186" s="99" t="str">
        <f t="shared" si="5"/>
        <v>Rubber Tired Dozers Composite0000</v>
      </c>
      <c r="G186" s="108">
        <v>0.37887069081678804</v>
      </c>
      <c r="H186" s="108">
        <v>1.6949943641622895</v>
      </c>
      <c r="I186" s="108">
        <v>3.4142979136905587</v>
      </c>
      <c r="J186" s="108">
        <v>0.00245173951296508</v>
      </c>
      <c r="K186" s="109">
        <v>0.14740031158164257</v>
      </c>
    </row>
    <row r="187" spans="3:11" ht="9.75">
      <c r="C187" s="101" t="s">
        <v>12</v>
      </c>
      <c r="D187" s="102">
        <v>25</v>
      </c>
      <c r="E187" s="99" t="str">
        <f t="shared" si="4"/>
        <v>Rubber Tired Loaders</v>
      </c>
      <c r="F187" s="99" t="str">
        <f t="shared" si="5"/>
        <v>Rubber Tired Loaders0000</v>
      </c>
      <c r="G187" s="106">
        <v>0.02207614010364999</v>
      </c>
      <c r="H187" s="106">
        <v>0.0708073914992601</v>
      </c>
      <c r="I187" s="106">
        <v>0.1440037148691881</v>
      </c>
      <c r="J187" s="106">
        <v>0.00021479909192323132</v>
      </c>
      <c r="K187" s="103">
        <v>0.009181705605605757</v>
      </c>
    </row>
    <row r="188" spans="3:11" ht="9.75">
      <c r="C188" s="104"/>
      <c r="D188" s="105">
        <v>50</v>
      </c>
      <c r="E188" s="99" t="str">
        <f t="shared" si="4"/>
        <v>Rubber Tired Loaders</v>
      </c>
      <c r="F188" s="99" t="str">
        <f t="shared" si="5"/>
        <v>Rubber Tired Loaders0026</v>
      </c>
      <c r="G188" s="106">
        <v>0.19376498518536533</v>
      </c>
      <c r="H188" s="106">
        <v>0.4399036919588897</v>
      </c>
      <c r="I188" s="106">
        <v>0.3494505723633033</v>
      </c>
      <c r="J188" s="106">
        <v>0.0004026875631417146</v>
      </c>
      <c r="K188" s="103">
        <v>0.042746571061084156</v>
      </c>
    </row>
    <row r="189" spans="3:11" ht="9.75">
      <c r="C189" s="104"/>
      <c r="D189" s="105">
        <v>120</v>
      </c>
      <c r="E189" s="99" t="str">
        <f t="shared" si="4"/>
        <v>Rubber Tired Loaders</v>
      </c>
      <c r="F189" s="99" t="str">
        <f t="shared" si="5"/>
        <v>Rubber Tired Loaders0051</v>
      </c>
      <c r="G189" s="106">
        <v>0.14801653567690434</v>
      </c>
      <c r="H189" s="106">
        <v>0.4418997839321735</v>
      </c>
      <c r="I189" s="106">
        <v>0.8600930610937642</v>
      </c>
      <c r="J189" s="106">
        <v>0.0006910856551593155</v>
      </c>
      <c r="K189" s="103">
        <v>0.0775140433237757</v>
      </c>
    </row>
    <row r="190" spans="3:11" ht="9.75">
      <c r="C190" s="104"/>
      <c r="D190" s="105">
        <v>175</v>
      </c>
      <c r="E190" s="99" t="str">
        <f t="shared" si="4"/>
        <v>Rubber Tired Loaders</v>
      </c>
      <c r="F190" s="99" t="str">
        <f t="shared" si="5"/>
        <v>Rubber Tired Loaders0121</v>
      </c>
      <c r="G190" s="106">
        <v>0.17594500463758003</v>
      </c>
      <c r="H190" s="106">
        <v>0.6425089458537838</v>
      </c>
      <c r="I190" s="106">
        <v>1.384927599678421</v>
      </c>
      <c r="J190" s="106">
        <v>0.0011962282019979415</v>
      </c>
      <c r="K190" s="103">
        <v>0.07688365904239662</v>
      </c>
    </row>
    <row r="191" spans="3:11" ht="9.75">
      <c r="C191" s="104"/>
      <c r="D191" s="105">
        <v>250</v>
      </c>
      <c r="E191" s="99" t="str">
        <f t="shared" si="4"/>
        <v>Rubber Tired Loaders</v>
      </c>
      <c r="F191" s="99" t="str">
        <f t="shared" si="5"/>
        <v>Rubber Tired Loaders0176</v>
      </c>
      <c r="G191" s="106">
        <v>0.1780935687299336</v>
      </c>
      <c r="H191" s="106">
        <v>0.4959521081267948</v>
      </c>
      <c r="I191" s="106">
        <v>1.8452355523861952</v>
      </c>
      <c r="J191" s="106">
        <v>0.0016762431804081856</v>
      </c>
      <c r="K191" s="103">
        <v>0.06836769504564727</v>
      </c>
    </row>
    <row r="192" spans="3:11" ht="9.75">
      <c r="C192" s="104"/>
      <c r="D192" s="105">
        <v>500</v>
      </c>
      <c r="E192" s="99" t="str">
        <f t="shared" si="4"/>
        <v>Rubber Tired Loaders</v>
      </c>
      <c r="F192" s="99" t="str">
        <f t="shared" si="5"/>
        <v>Rubber Tired Loaders0251</v>
      </c>
      <c r="G192" s="106">
        <v>0.2528346331854402</v>
      </c>
      <c r="H192" s="106">
        <v>0.9705561828069749</v>
      </c>
      <c r="I192" s="106">
        <v>2.6039293526868104</v>
      </c>
      <c r="J192" s="106">
        <v>0.0023263149558056737</v>
      </c>
      <c r="K192" s="103">
        <v>0.09769326428019011</v>
      </c>
    </row>
    <row r="193" spans="3:11" ht="9.75">
      <c r="C193" s="104"/>
      <c r="D193" s="105">
        <v>750</v>
      </c>
      <c r="E193" s="99" t="str">
        <f t="shared" si="4"/>
        <v>Rubber Tired Loaders</v>
      </c>
      <c r="F193" s="99" t="str">
        <f t="shared" si="5"/>
        <v>Rubber Tired Loaders0501</v>
      </c>
      <c r="G193" s="106">
        <v>0.5239734337173426</v>
      </c>
      <c r="H193" s="106">
        <v>1.9793302924865435</v>
      </c>
      <c r="I193" s="106">
        <v>5.471122341420792</v>
      </c>
      <c r="J193" s="106">
        <v>0.004881854063394583</v>
      </c>
      <c r="K193" s="103">
        <v>0.20216354845074536</v>
      </c>
    </row>
    <row r="194" spans="3:11" ht="9.75">
      <c r="C194" s="104"/>
      <c r="D194" s="105">
        <v>1000</v>
      </c>
      <c r="E194" s="99" t="str">
        <f t="shared" si="4"/>
        <v>Rubber Tired Loaders</v>
      </c>
      <c r="F194" s="99" t="str">
        <f t="shared" si="5"/>
        <v>Rubber Tired Loaders0751</v>
      </c>
      <c r="G194" s="106">
        <v>0.7316883099232098</v>
      </c>
      <c r="H194" s="106">
        <v>2.8295028371179045</v>
      </c>
      <c r="I194" s="106">
        <v>8.007319596860484</v>
      </c>
      <c r="J194" s="106">
        <v>0.005971251673643977</v>
      </c>
      <c r="K194" s="103">
        <v>0.2487196626527373</v>
      </c>
    </row>
    <row r="195" spans="3:11" ht="9.75">
      <c r="C195" s="101" t="s">
        <v>273</v>
      </c>
      <c r="D195" s="107"/>
      <c r="E195" s="99" t="str">
        <f t="shared" si="4"/>
        <v>Rubber Tired Loaders Composite</v>
      </c>
      <c r="F195" s="99" t="str">
        <f t="shared" si="5"/>
        <v>Rubber Tired Loaders Composite0000</v>
      </c>
      <c r="G195" s="108">
        <v>0.17300761127685554</v>
      </c>
      <c r="H195" s="108">
        <v>0.5552217880982454</v>
      </c>
      <c r="I195" s="108">
        <v>1.3821145445697882</v>
      </c>
      <c r="J195" s="108">
        <v>0.0012006516184688964</v>
      </c>
      <c r="K195" s="109">
        <v>0.07680566551219754</v>
      </c>
    </row>
    <row r="196" spans="3:11" ht="9.75">
      <c r="C196" s="101" t="s">
        <v>35</v>
      </c>
      <c r="D196" s="102">
        <v>120</v>
      </c>
      <c r="E196" s="99" t="str">
        <f t="shared" si="4"/>
        <v>Scrapers</v>
      </c>
      <c r="F196" s="99" t="str">
        <f t="shared" si="5"/>
        <v>Scrapers0000</v>
      </c>
      <c r="G196" s="106">
        <v>0.2643001566423352</v>
      </c>
      <c r="H196" s="106">
        <v>0.7452548201475181</v>
      </c>
      <c r="I196" s="106">
        <v>1.513309740920624</v>
      </c>
      <c r="J196" s="106">
        <v>0.0011015007277794012</v>
      </c>
      <c r="K196" s="103">
        <v>0.1342282562848179</v>
      </c>
    </row>
    <row r="197" spans="3:11" ht="9.75">
      <c r="C197" s="104"/>
      <c r="D197" s="105">
        <v>175</v>
      </c>
      <c r="E197" s="99" t="str">
        <f t="shared" si="4"/>
        <v>Scrapers</v>
      </c>
      <c r="F197" s="99" t="str">
        <f t="shared" si="5"/>
        <v>Scrapers0121</v>
      </c>
      <c r="G197" s="106">
        <v>0.2767956473299146</v>
      </c>
      <c r="H197" s="106">
        <v>0.9565421992864986</v>
      </c>
      <c r="I197" s="106">
        <v>2.1368348434950355</v>
      </c>
      <c r="J197" s="106">
        <v>0.0016660848860956192</v>
      </c>
      <c r="K197" s="103">
        <v>0.11988765589696382</v>
      </c>
    </row>
    <row r="198" spans="3:11" ht="9.75">
      <c r="C198" s="104"/>
      <c r="D198" s="105">
        <v>250</v>
      </c>
      <c r="E198" s="99" t="str">
        <f t="shared" si="4"/>
        <v>Scrapers</v>
      </c>
      <c r="F198" s="99" t="str">
        <f t="shared" si="5"/>
        <v>Scrapers0176</v>
      </c>
      <c r="G198" s="106">
        <v>0.30459833657347524</v>
      </c>
      <c r="H198" s="106">
        <v>0.8606196440325093</v>
      </c>
      <c r="I198" s="106">
        <v>2.9011419076467555</v>
      </c>
      <c r="J198" s="106">
        <v>0.0023568995122164593</v>
      </c>
      <c r="K198" s="103">
        <v>0.11946048267609888</v>
      </c>
    </row>
    <row r="199" spans="3:11" ht="9.75">
      <c r="C199" s="104"/>
      <c r="D199" s="105">
        <v>500</v>
      </c>
      <c r="E199" s="99" t="str">
        <f t="shared" si="4"/>
        <v>Scrapers</v>
      </c>
      <c r="F199" s="99" t="str">
        <f t="shared" si="5"/>
        <v>Scrapers0251</v>
      </c>
      <c r="G199" s="106">
        <v>0.416782603460038</v>
      </c>
      <c r="H199" s="106">
        <v>1.948484089696933</v>
      </c>
      <c r="I199" s="106">
        <v>4.004604828071567</v>
      </c>
      <c r="J199" s="106">
        <v>0.0031549255998737018</v>
      </c>
      <c r="K199" s="103">
        <v>0.1622234676605298</v>
      </c>
    </row>
    <row r="200" spans="3:11" ht="9.75">
      <c r="C200" s="104"/>
      <c r="D200" s="105">
        <v>750</v>
      </c>
      <c r="E200" s="99" t="str">
        <f t="shared" si="4"/>
        <v>Scrapers</v>
      </c>
      <c r="F200" s="99" t="str">
        <f t="shared" si="5"/>
        <v>Scrapers0501</v>
      </c>
      <c r="G200" s="106">
        <v>0.7238584235089623</v>
      </c>
      <c r="H200" s="106">
        <v>3.3467924317742224</v>
      </c>
      <c r="I200" s="106">
        <v>7.044242811697078</v>
      </c>
      <c r="J200" s="106">
        <v>0.005583155011746421</v>
      </c>
      <c r="K200" s="103">
        <v>0.281794433160131</v>
      </c>
    </row>
    <row r="201" spans="3:11" ht="9.75">
      <c r="C201" s="101" t="s">
        <v>274</v>
      </c>
      <c r="D201" s="107"/>
      <c r="E201" s="99" t="str">
        <f t="shared" si="4"/>
        <v>Scrapers Composite</v>
      </c>
      <c r="F201" s="99" t="str">
        <f t="shared" si="5"/>
        <v>Scrapers Composite0000</v>
      </c>
      <c r="G201" s="108">
        <v>0.36773037390762287</v>
      </c>
      <c r="H201" s="108">
        <v>1.5249116826882478</v>
      </c>
      <c r="I201" s="108">
        <v>3.399137994210393</v>
      </c>
      <c r="J201" s="108">
        <v>0.002687241251457211</v>
      </c>
      <c r="K201" s="109">
        <v>0.14651941504517063</v>
      </c>
    </row>
    <row r="202" spans="3:11" ht="9.75">
      <c r="C202" s="101" t="s">
        <v>36</v>
      </c>
      <c r="D202" s="102">
        <v>15</v>
      </c>
      <c r="E202" s="99" t="str">
        <f t="shared" si="4"/>
        <v>Signal Boards</v>
      </c>
      <c r="F202" s="99" t="str">
        <f t="shared" si="5"/>
        <v>Signal Boards0000</v>
      </c>
      <c r="G202" s="106">
        <v>0.007217637441872336</v>
      </c>
      <c r="H202" s="106">
        <v>0.03767200182242869</v>
      </c>
      <c r="I202" s="106">
        <v>0.045346272636747585</v>
      </c>
      <c r="J202" s="106">
        <v>9.600661270972213E-05</v>
      </c>
      <c r="K202" s="103">
        <v>0.003316825661506184</v>
      </c>
    </row>
    <row r="203" spans="3:11" ht="9.75">
      <c r="C203" s="104"/>
      <c r="D203" s="105">
        <v>50</v>
      </c>
      <c r="E203" s="99" t="str">
        <f aca="true" t="shared" si="6" ref="E203:E250">IF(NOT(ISBLANK(C203)),C203,E202)</f>
        <v>Signal Boards</v>
      </c>
      <c r="F203" s="99" t="str">
        <f aca="true" t="shared" si="7" ref="F203:F250">E203&amp;TEXT(IF(NOT(ISBLANK(C203)),0,D202+1),"0000")</f>
        <v>Signal Boards0016</v>
      </c>
      <c r="G203" s="106">
        <v>0.17400543297303975</v>
      </c>
      <c r="H203" s="106">
        <v>0.4062276153033539</v>
      </c>
      <c r="I203" s="106">
        <v>0.38429471493392414</v>
      </c>
      <c r="J203" s="106">
        <v>0.0004678568613129012</v>
      </c>
      <c r="K203" s="103">
        <v>0.04105335335038763</v>
      </c>
    </row>
    <row r="204" spans="3:11" ht="9.75">
      <c r="C204" s="104"/>
      <c r="D204" s="105">
        <v>120</v>
      </c>
      <c r="E204" s="99" t="str">
        <f t="shared" si="6"/>
        <v>Signal Boards</v>
      </c>
      <c r="F204" s="99" t="str">
        <f t="shared" si="7"/>
        <v>Signal Boards0051</v>
      </c>
      <c r="G204" s="106">
        <v>0.17723308280980526</v>
      </c>
      <c r="H204" s="106">
        <v>0.5522625108266487</v>
      </c>
      <c r="I204" s="106">
        <v>1.0877968008496548</v>
      </c>
      <c r="J204" s="106">
        <v>0.0009408648304945899</v>
      </c>
      <c r="K204" s="103">
        <v>0.0883938462918269</v>
      </c>
    </row>
    <row r="205" spans="3:11" ht="9.75">
      <c r="C205" s="104"/>
      <c r="D205" s="105">
        <v>175</v>
      </c>
      <c r="E205" s="99" t="str">
        <f t="shared" si="6"/>
        <v>Signal Boards</v>
      </c>
      <c r="F205" s="99" t="str">
        <f t="shared" si="7"/>
        <v>Signal Boards0121</v>
      </c>
      <c r="G205" s="106">
        <v>0.22267735276257863</v>
      </c>
      <c r="H205" s="106">
        <v>0.8539569591352479</v>
      </c>
      <c r="I205" s="106">
        <v>1.878707687772007</v>
      </c>
      <c r="J205" s="106">
        <v>0.0017388907463152636</v>
      </c>
      <c r="K205" s="103">
        <v>0.09385047975864498</v>
      </c>
    </row>
    <row r="206" spans="3:11" ht="9.75">
      <c r="C206" s="104"/>
      <c r="D206" s="105">
        <v>250</v>
      </c>
      <c r="E206" s="99" t="str">
        <f t="shared" si="6"/>
        <v>Signal Boards</v>
      </c>
      <c r="F206" s="99" t="str">
        <f t="shared" si="7"/>
        <v>Signal Boards0176</v>
      </c>
      <c r="G206" s="106">
        <v>0.25037780143705624</v>
      </c>
      <c r="H206" s="106">
        <v>0.7317184012533604</v>
      </c>
      <c r="I206" s="106">
        <v>2.9188556852849246</v>
      </c>
      <c r="J206" s="106">
        <v>0.0028724716350535654</v>
      </c>
      <c r="K206" s="103">
        <v>0.09510386657141676</v>
      </c>
    </row>
    <row r="207" spans="3:11" ht="9.75">
      <c r="C207" s="101" t="s">
        <v>275</v>
      </c>
      <c r="D207" s="107"/>
      <c r="E207" s="99" t="str">
        <f t="shared" si="6"/>
        <v>Signal Boards Composite</v>
      </c>
      <c r="F207" s="99" t="str">
        <f t="shared" si="7"/>
        <v>Signal Boards Composite0000</v>
      </c>
      <c r="G207" s="108">
        <v>0.025368037303721336</v>
      </c>
      <c r="H207" s="108">
        <v>0.09722697830756882</v>
      </c>
      <c r="I207" s="108">
        <v>0.18063028852406982</v>
      </c>
      <c r="J207" s="108">
        <v>0.0002141517548811535</v>
      </c>
      <c r="K207" s="109">
        <v>0.011484264052816103</v>
      </c>
    </row>
    <row r="208" spans="3:11" ht="9.75">
      <c r="C208" s="101" t="s">
        <v>13</v>
      </c>
      <c r="D208" s="102">
        <v>25</v>
      </c>
      <c r="E208" s="99" t="str">
        <f t="shared" si="6"/>
        <v>Skid Steer Loaders</v>
      </c>
      <c r="F208" s="99" t="str">
        <f t="shared" si="7"/>
        <v>Skid Steer Loaders0000</v>
      </c>
      <c r="G208" s="106">
        <v>0.03151413957748718</v>
      </c>
      <c r="H208" s="106">
        <v>0.08138477322237724</v>
      </c>
      <c r="I208" s="106">
        <v>0.13577513885520345</v>
      </c>
      <c r="J208" s="106">
        <v>0.0001750214216595063</v>
      </c>
      <c r="K208" s="103">
        <v>0.010027565525231113</v>
      </c>
    </row>
    <row r="209" spans="3:11" ht="9.75">
      <c r="C209" s="104"/>
      <c r="D209" s="105">
        <v>50</v>
      </c>
      <c r="E209" s="99" t="str">
        <f t="shared" si="6"/>
        <v>Skid Steer Loaders</v>
      </c>
      <c r="F209" s="99" t="str">
        <f t="shared" si="7"/>
        <v>Skid Steer Loaders0026</v>
      </c>
      <c r="G209" s="106">
        <v>0.11264048030922107</v>
      </c>
      <c r="H209" s="106">
        <v>0.2841884258084812</v>
      </c>
      <c r="I209" s="106">
        <v>0.2605633031239045</v>
      </c>
      <c r="J209" s="106">
        <v>0.00032989894725379663</v>
      </c>
      <c r="K209" s="103">
        <v>0.02819949606452795</v>
      </c>
    </row>
    <row r="210" spans="3:11" ht="9.75">
      <c r="C210" s="104"/>
      <c r="D210" s="105">
        <v>120</v>
      </c>
      <c r="E210" s="99" t="str">
        <f t="shared" si="6"/>
        <v>Skid Steer Loaders</v>
      </c>
      <c r="F210" s="99" t="str">
        <f t="shared" si="7"/>
        <v>Skid Steer Loaders0051</v>
      </c>
      <c r="G210" s="106">
        <v>0.08398758823420711</v>
      </c>
      <c r="H210" s="106">
        <v>0.29230368440266175</v>
      </c>
      <c r="I210" s="106">
        <v>0.5255754993944438</v>
      </c>
      <c r="J210" s="106">
        <v>0.0005016182327030993</v>
      </c>
      <c r="K210" s="103">
        <v>0.045506540740784564</v>
      </c>
    </row>
    <row r="211" spans="3:11" ht="9.75">
      <c r="C211" s="101" t="s">
        <v>276</v>
      </c>
      <c r="D211" s="107"/>
      <c r="E211" s="99" t="str">
        <f t="shared" si="6"/>
        <v>Skid Steer Loaders Composite</v>
      </c>
      <c r="F211" s="99" t="str">
        <f t="shared" si="7"/>
        <v>Skid Steer Loaders Composite0000</v>
      </c>
      <c r="G211" s="108">
        <v>0.09809904010509378</v>
      </c>
      <c r="H211" s="108">
        <v>0.27345026223138674</v>
      </c>
      <c r="I211" s="108">
        <v>0.337473127021355</v>
      </c>
      <c r="J211" s="108">
        <v>0.00037486347020073346</v>
      </c>
      <c r="K211" s="109">
        <v>0.0325627246319908</v>
      </c>
    </row>
    <row r="212" spans="3:11" ht="9.75">
      <c r="C212" s="101" t="s">
        <v>37</v>
      </c>
      <c r="D212" s="102">
        <v>50</v>
      </c>
      <c r="E212" s="99" t="str">
        <f t="shared" si="6"/>
        <v>Surfacing Equipment</v>
      </c>
      <c r="F212" s="99" t="str">
        <f t="shared" si="7"/>
        <v>Surfacing Equipment0000</v>
      </c>
      <c r="G212" s="106">
        <v>0.07081032815360433</v>
      </c>
      <c r="H212" s="106">
        <v>0.16437533338480148</v>
      </c>
      <c r="I212" s="106">
        <v>0.15190233548560575</v>
      </c>
      <c r="J212" s="106">
        <v>0.00018237658178845592</v>
      </c>
      <c r="K212" s="103">
        <v>0.016460608571639435</v>
      </c>
    </row>
    <row r="213" spans="3:11" ht="9.75">
      <c r="C213" s="104"/>
      <c r="D213" s="105">
        <v>120</v>
      </c>
      <c r="E213" s="99" t="str">
        <f t="shared" si="6"/>
        <v>Surfacing Equipment</v>
      </c>
      <c r="F213" s="99" t="str">
        <f t="shared" si="7"/>
        <v>Surfacing Equipment0051</v>
      </c>
      <c r="G213" s="106">
        <v>0.14548752977643933</v>
      </c>
      <c r="H213" s="106">
        <v>0.44960954066430603</v>
      </c>
      <c r="I213" s="106">
        <v>0.9016879004333219</v>
      </c>
      <c r="J213" s="106">
        <v>0.0007480141010938378</v>
      </c>
      <c r="K213" s="103">
        <v>0.07178428656420904</v>
      </c>
    </row>
    <row r="214" spans="3:11" ht="9.75">
      <c r="C214" s="104"/>
      <c r="D214" s="105">
        <v>175</v>
      </c>
      <c r="E214" s="99" t="str">
        <f t="shared" si="6"/>
        <v>Surfacing Equipment</v>
      </c>
      <c r="F214" s="99" t="str">
        <f t="shared" si="7"/>
        <v>Surfacing Equipment0121</v>
      </c>
      <c r="G214" s="106">
        <v>0.12812052028806237</v>
      </c>
      <c r="H214" s="106">
        <v>0.48956142496017174</v>
      </c>
      <c r="I214" s="106">
        <v>1.0831884780161225</v>
      </c>
      <c r="J214" s="106">
        <v>0.0009651098597992439</v>
      </c>
      <c r="K214" s="103">
        <v>0.053896872993987786</v>
      </c>
    </row>
    <row r="215" spans="3:11" ht="9.75">
      <c r="C215" s="104"/>
      <c r="D215" s="105">
        <v>250</v>
      </c>
      <c r="E215" s="99" t="str">
        <f t="shared" si="6"/>
        <v>Surfacing Equipment</v>
      </c>
      <c r="F215" s="99" t="str">
        <f t="shared" si="7"/>
        <v>Surfacing Equipment0176</v>
      </c>
      <c r="G215" s="106">
        <v>0.15208884059771963</v>
      </c>
      <c r="H215" s="106">
        <v>0.45632132041440987</v>
      </c>
      <c r="I215" s="106">
        <v>1.6281987707277152</v>
      </c>
      <c r="J215" s="106">
        <v>0.001517507845358965</v>
      </c>
      <c r="K215" s="103">
        <v>0.05892854868698474</v>
      </c>
    </row>
    <row r="216" spans="3:11" ht="9.75">
      <c r="C216" s="104"/>
      <c r="D216" s="105">
        <v>500</v>
      </c>
      <c r="E216" s="99" t="str">
        <f t="shared" si="6"/>
        <v>Surfacing Equipment</v>
      </c>
      <c r="F216" s="99" t="str">
        <f t="shared" si="7"/>
        <v>Surfacing Equipment0251</v>
      </c>
      <c r="G216" s="106">
        <v>0.22266012958288348</v>
      </c>
      <c r="H216" s="106">
        <v>0.9888636806628266</v>
      </c>
      <c r="I216" s="106">
        <v>2.4264653926686215</v>
      </c>
      <c r="J216" s="106">
        <v>0.002171226106432983</v>
      </c>
      <c r="K216" s="103">
        <v>0.08732536976823649</v>
      </c>
    </row>
    <row r="217" spans="3:11" ht="9.75">
      <c r="C217" s="104"/>
      <c r="D217" s="105">
        <v>750</v>
      </c>
      <c r="E217" s="99" t="str">
        <f t="shared" si="6"/>
        <v>Surfacing Equipment</v>
      </c>
      <c r="F217" s="99" t="str">
        <f t="shared" si="7"/>
        <v>Surfacing Equipment0501</v>
      </c>
      <c r="G217" s="106">
        <v>0.3557855910234033</v>
      </c>
      <c r="H217" s="106">
        <v>1.5436911896596872</v>
      </c>
      <c r="I217" s="106">
        <v>3.8879015975059326</v>
      </c>
      <c r="J217" s="106">
        <v>0.0034894717801864715</v>
      </c>
      <c r="K217" s="103">
        <v>0.137932862562192</v>
      </c>
    </row>
    <row r="218" spans="3:11" ht="9.75">
      <c r="C218" s="101" t="s">
        <v>277</v>
      </c>
      <c r="D218" s="107"/>
      <c r="E218" s="99" t="str">
        <f t="shared" si="6"/>
        <v>Surfacing Equipment Composite</v>
      </c>
      <c r="F218" s="99" t="str">
        <f t="shared" si="7"/>
        <v>Surfacing Equipment Composite0000</v>
      </c>
      <c r="G218" s="108">
        <v>0.18639469389302016</v>
      </c>
      <c r="H218" s="108">
        <v>0.765381906370996</v>
      </c>
      <c r="I218" s="108">
        <v>1.8497905286790455</v>
      </c>
      <c r="J218" s="108">
        <v>0.0016676580568250696</v>
      </c>
      <c r="K218" s="109">
        <v>0.07118945956498857</v>
      </c>
    </row>
    <row r="219" spans="3:11" ht="9.75">
      <c r="C219" s="101" t="s">
        <v>278</v>
      </c>
      <c r="D219" s="102">
        <v>15</v>
      </c>
      <c r="E219" s="99" t="str">
        <f t="shared" si="6"/>
        <v>Sweepers/Scrubbers</v>
      </c>
      <c r="F219" s="99" t="str">
        <f t="shared" si="7"/>
        <v>Sweepers/Scrubbers0000</v>
      </c>
      <c r="G219" s="106">
        <v>0.012484884724865758</v>
      </c>
      <c r="H219" s="106">
        <v>0.07289380722375989</v>
      </c>
      <c r="I219" s="106">
        <v>0.0877654834331578</v>
      </c>
      <c r="J219" s="106">
        <v>0.00018576893480267738</v>
      </c>
      <c r="K219" s="103">
        <v>0.006418911649321127</v>
      </c>
    </row>
    <row r="220" spans="3:11" ht="9.75">
      <c r="C220" s="104"/>
      <c r="D220" s="105">
        <v>25</v>
      </c>
      <c r="E220" s="99" t="str">
        <f t="shared" si="6"/>
        <v>Sweepers/Scrubbers</v>
      </c>
      <c r="F220" s="99" t="str">
        <f t="shared" si="7"/>
        <v>Sweepers/Scrubbers0016</v>
      </c>
      <c r="G220" s="106">
        <v>0.025077800260174518</v>
      </c>
      <c r="H220" s="106">
        <v>0.08213396613858319</v>
      </c>
      <c r="I220" s="106">
        <v>0.16731467707710082</v>
      </c>
      <c r="J220" s="106">
        <v>0.0002488486577011462</v>
      </c>
      <c r="K220" s="103">
        <v>0.010570144219004275</v>
      </c>
    </row>
    <row r="221" spans="3:11" ht="9.75">
      <c r="C221" s="104"/>
      <c r="D221" s="105">
        <v>50</v>
      </c>
      <c r="E221" s="99" t="str">
        <f t="shared" si="6"/>
        <v>Sweepers/Scrubbers</v>
      </c>
      <c r="F221" s="99" t="str">
        <f t="shared" si="7"/>
        <v>Sweepers/Scrubbers0026</v>
      </c>
      <c r="G221" s="106">
        <v>0.1973097051520473</v>
      </c>
      <c r="H221" s="106">
        <v>0.44270537146591404</v>
      </c>
      <c r="I221" s="106">
        <v>0.35220396152643174</v>
      </c>
      <c r="J221" s="106">
        <v>0.0004078750457227106</v>
      </c>
      <c r="K221" s="103">
        <v>0.04338461277990495</v>
      </c>
    </row>
    <row r="222" spans="3:11" ht="9.75">
      <c r="C222" s="104"/>
      <c r="D222" s="105">
        <v>120</v>
      </c>
      <c r="E222" s="99" t="str">
        <f t="shared" si="6"/>
        <v>Sweepers/Scrubbers</v>
      </c>
      <c r="F222" s="99" t="str">
        <f t="shared" si="7"/>
        <v>Sweepers/Scrubbers0051</v>
      </c>
      <c r="G222" s="106">
        <v>0.1885121898165894</v>
      </c>
      <c r="H222" s="106">
        <v>0.5539675902822444</v>
      </c>
      <c r="I222" s="106">
        <v>1.0600370549778533</v>
      </c>
      <c r="J222" s="106">
        <v>0.0008802592365799565</v>
      </c>
      <c r="K222" s="103">
        <v>0.10034801857240144</v>
      </c>
    </row>
    <row r="223" spans="3:11" ht="9.75">
      <c r="C223" s="104"/>
      <c r="D223" s="105">
        <v>175</v>
      </c>
      <c r="E223" s="99" t="str">
        <f t="shared" si="6"/>
        <v>Sweepers/Scrubbers</v>
      </c>
      <c r="F223" s="99" t="str">
        <f t="shared" si="7"/>
        <v>Sweepers/Scrubbers0121</v>
      </c>
      <c r="G223" s="106">
        <v>0.229691184233368</v>
      </c>
      <c r="H223" s="106">
        <v>0.8158125862007529</v>
      </c>
      <c r="I223" s="106">
        <v>1.767475281521989</v>
      </c>
      <c r="J223" s="106">
        <v>0.0015639296415961219</v>
      </c>
      <c r="K223" s="103">
        <v>0.10097444894972653</v>
      </c>
    </row>
    <row r="224" spans="3:11" ht="9.75">
      <c r="C224" s="104"/>
      <c r="D224" s="105">
        <v>250</v>
      </c>
      <c r="E224" s="99" t="str">
        <f t="shared" si="6"/>
        <v>Sweepers/Scrubbers</v>
      </c>
      <c r="F224" s="99" t="str">
        <f t="shared" si="7"/>
        <v>Sweepers/Scrubbers0176</v>
      </c>
      <c r="G224" s="106">
        <v>0.16597578728336776</v>
      </c>
      <c r="H224" s="106">
        <v>0.4343237284073511</v>
      </c>
      <c r="I224" s="106">
        <v>1.912695215131148</v>
      </c>
      <c r="J224" s="106">
        <v>0.0018229850291898442</v>
      </c>
      <c r="K224" s="103">
        <v>0.061103648151147966</v>
      </c>
    </row>
    <row r="225" spans="3:11" ht="9.75">
      <c r="C225" s="101" t="s">
        <v>279</v>
      </c>
      <c r="D225" s="107"/>
      <c r="E225" s="99" t="str">
        <f t="shared" si="6"/>
        <v>Sweepers/Scrubbers Composite</v>
      </c>
      <c r="F225" s="99" t="str">
        <f t="shared" si="7"/>
        <v>Sweepers/Scrubbers Composite0000</v>
      </c>
      <c r="G225" s="108">
        <v>0.19634250912769555</v>
      </c>
      <c r="H225" s="108">
        <v>0.5671989037583985</v>
      </c>
      <c r="I225" s="108">
        <v>1.0277370357443096</v>
      </c>
      <c r="J225" s="108">
        <v>0.0009156146550567179</v>
      </c>
      <c r="K225" s="109">
        <v>0.08189568106410192</v>
      </c>
    </row>
    <row r="226" spans="3:11" ht="9.75">
      <c r="C226" s="101" t="s">
        <v>7</v>
      </c>
      <c r="D226" s="102">
        <v>25</v>
      </c>
      <c r="E226" s="99" t="str">
        <f t="shared" si="6"/>
        <v>Tractors/Loaders/Backhoes</v>
      </c>
      <c r="F226" s="99" t="str">
        <f t="shared" si="7"/>
        <v>Tractors/Loaders/Backhoes0000</v>
      </c>
      <c r="G226" s="106">
        <v>0.02537188908053545</v>
      </c>
      <c r="H226" s="106">
        <v>0.07414926308816577</v>
      </c>
      <c r="I226" s="106">
        <v>0.14427125948640374</v>
      </c>
      <c r="J226" s="106">
        <v>0.00020127469662844873</v>
      </c>
      <c r="K226" s="103">
        <v>0.009478517928430548</v>
      </c>
    </row>
    <row r="227" spans="3:11" ht="9.75">
      <c r="C227" s="104"/>
      <c r="D227" s="105">
        <v>50</v>
      </c>
      <c r="E227" s="99" t="str">
        <f t="shared" si="6"/>
        <v>Tractors/Loaders/Backhoes</v>
      </c>
      <c r="F227" s="99" t="str">
        <f t="shared" si="7"/>
        <v>Tractors/Loaders/Backhoes0026</v>
      </c>
      <c r="G227" s="106">
        <v>0.16840540781334434</v>
      </c>
      <c r="H227" s="106">
        <v>0.3984709428500649</v>
      </c>
      <c r="I227" s="106">
        <v>0.32856083741023745</v>
      </c>
      <c r="J227" s="106">
        <v>0.0003923123316720833</v>
      </c>
      <c r="K227" s="103">
        <v>0.03887061202163768</v>
      </c>
    </row>
    <row r="228" spans="3:11" ht="9.75">
      <c r="C228" s="104"/>
      <c r="D228" s="105">
        <v>120</v>
      </c>
      <c r="E228" s="99" t="str">
        <f t="shared" si="6"/>
        <v>Tractors/Loaders/Backhoes</v>
      </c>
      <c r="F228" s="99" t="str">
        <f t="shared" si="7"/>
        <v>Tractors/Loaders/Backhoes0051</v>
      </c>
      <c r="G228" s="106">
        <v>0.11789846155883012</v>
      </c>
      <c r="H228" s="106">
        <v>0.3747998109263352</v>
      </c>
      <c r="I228" s="106">
        <v>0.6979432017902252</v>
      </c>
      <c r="J228" s="106">
        <v>0.0006067963189681883</v>
      </c>
      <c r="K228" s="103">
        <v>0.06347939984437417</v>
      </c>
    </row>
    <row r="229" spans="3:11" ht="9.75">
      <c r="C229" s="104"/>
      <c r="D229" s="105">
        <v>175</v>
      </c>
      <c r="E229" s="99" t="str">
        <f t="shared" si="6"/>
        <v>Tractors/Loaders/Backhoes</v>
      </c>
      <c r="F229" s="99" t="str">
        <f t="shared" si="7"/>
        <v>Tractors/Loaders/Backhoes0121</v>
      </c>
      <c r="G229" s="106">
        <v>0.151298656419927</v>
      </c>
      <c r="H229" s="106">
        <v>0.5917985072009383</v>
      </c>
      <c r="I229" s="106">
        <v>1.2085273475067038</v>
      </c>
      <c r="J229" s="106">
        <v>0.001140776527902377</v>
      </c>
      <c r="K229" s="103">
        <v>0.06722853041379247</v>
      </c>
    </row>
    <row r="230" spans="3:11" ht="9.75">
      <c r="C230" s="104"/>
      <c r="D230" s="105">
        <v>250</v>
      </c>
      <c r="E230" s="99" t="str">
        <f t="shared" si="6"/>
        <v>Tractors/Loaders/Backhoes</v>
      </c>
      <c r="F230" s="99" t="str">
        <f t="shared" si="7"/>
        <v>Tractors/Loaders/Backhoes0176</v>
      </c>
      <c r="G230" s="106">
        <v>0.1713714750498958</v>
      </c>
      <c r="H230" s="106">
        <v>0.47155311675620243</v>
      </c>
      <c r="I230" s="106">
        <v>1.9310216726421183</v>
      </c>
      <c r="J230" s="106">
        <v>0.0019323361320063384</v>
      </c>
      <c r="K230" s="103">
        <v>0.06427689177945863</v>
      </c>
    </row>
    <row r="231" spans="3:11" ht="9.75">
      <c r="C231" s="104"/>
      <c r="D231" s="105">
        <v>500</v>
      </c>
      <c r="E231" s="99" t="str">
        <f t="shared" si="6"/>
        <v>Tractors/Loaders/Backhoes</v>
      </c>
      <c r="F231" s="99" t="str">
        <f t="shared" si="7"/>
        <v>Tractors/Loaders/Backhoes0251</v>
      </c>
      <c r="G231" s="106">
        <v>0.3073649942724668</v>
      </c>
      <c r="H231" s="106">
        <v>1.0278094988344464</v>
      </c>
      <c r="I231" s="106">
        <v>3.377171511891004</v>
      </c>
      <c r="J231" s="106">
        <v>0.003880191076635751</v>
      </c>
      <c r="K231" s="103">
        <v>0.11766452303131943</v>
      </c>
    </row>
    <row r="232" spans="3:11" ht="9.75">
      <c r="C232" s="104"/>
      <c r="D232" s="105">
        <v>750</v>
      </c>
      <c r="E232" s="99" t="str">
        <f t="shared" si="6"/>
        <v>Tractors/Loaders/Backhoes</v>
      </c>
      <c r="F232" s="99" t="str">
        <f t="shared" si="7"/>
        <v>Tractors/Loaders/Backhoes0501</v>
      </c>
      <c r="G232" s="106">
        <v>0.4688783360275639</v>
      </c>
      <c r="H232" s="106">
        <v>1.5370574837973991</v>
      </c>
      <c r="I232" s="106">
        <v>5.237281837084071</v>
      </c>
      <c r="J232" s="106">
        <v>0.005820289477870404</v>
      </c>
      <c r="K232" s="103">
        <v>0.1793444132682774</v>
      </c>
    </row>
    <row r="233" spans="3:11" ht="9.75">
      <c r="C233" s="101" t="s">
        <v>280</v>
      </c>
      <c r="D233" s="107"/>
      <c r="E233" s="99" t="str">
        <f t="shared" si="6"/>
        <v>Tractors/Loaders/Backhoes Composite</v>
      </c>
      <c r="F233" s="99" t="str">
        <f t="shared" si="7"/>
        <v>Tractors/Loaders/Backhoes Composite0000</v>
      </c>
      <c r="G233" s="108">
        <v>0.13069643943637665</v>
      </c>
      <c r="H233" s="108">
        <v>0.41420022398042666</v>
      </c>
      <c r="I233" s="108">
        <v>0.8303380452699797</v>
      </c>
      <c r="J233" s="108">
        <v>0.0007751430725283306</v>
      </c>
      <c r="K233" s="109">
        <v>0.0639256928464041</v>
      </c>
    </row>
    <row r="234" spans="3:11" ht="9.75">
      <c r="C234" s="101" t="s">
        <v>38</v>
      </c>
      <c r="D234" s="102">
        <v>15</v>
      </c>
      <c r="E234" s="99" t="str">
        <f t="shared" si="6"/>
        <v>Trenchers</v>
      </c>
      <c r="F234" s="99" t="str">
        <f t="shared" si="7"/>
        <v>Trenchers0000</v>
      </c>
      <c r="G234" s="106">
        <v>0.009902248069002051</v>
      </c>
      <c r="H234" s="106">
        <v>0.05168417095628626</v>
      </c>
      <c r="I234" s="106">
        <v>0.06221290032694436</v>
      </c>
      <c r="J234" s="106">
        <v>0.0001317164327743705</v>
      </c>
      <c r="K234" s="103">
        <v>0.004550524922677886</v>
      </c>
    </row>
    <row r="235" spans="3:11" ht="9.75">
      <c r="C235" s="104"/>
      <c r="D235" s="105">
        <v>25</v>
      </c>
      <c r="E235" s="99" t="str">
        <f t="shared" si="6"/>
        <v>Trenchers</v>
      </c>
      <c r="F235" s="99" t="str">
        <f t="shared" si="7"/>
        <v>Trenchers0016</v>
      </c>
      <c r="G235" s="106">
        <v>0.04292582334559181</v>
      </c>
      <c r="H235" s="106">
        <v>0.13768105947862827</v>
      </c>
      <c r="I235" s="106">
        <v>0.2800072285430664</v>
      </c>
      <c r="J235" s="106">
        <v>0.0004176648943915155</v>
      </c>
      <c r="K235" s="103">
        <v>0.01785331384268124</v>
      </c>
    </row>
    <row r="236" spans="3:11" ht="9.75">
      <c r="C236" s="104"/>
      <c r="D236" s="105">
        <v>50</v>
      </c>
      <c r="E236" s="99" t="str">
        <f t="shared" si="6"/>
        <v>Trenchers</v>
      </c>
      <c r="F236" s="99" t="str">
        <f t="shared" si="7"/>
        <v>Trenchers0026</v>
      </c>
      <c r="G236" s="106">
        <v>0.210955202223595</v>
      </c>
      <c r="H236" s="106">
        <v>0.4651240088395302</v>
      </c>
      <c r="I236" s="106">
        <v>0.37640167010700304</v>
      </c>
      <c r="J236" s="106">
        <v>0.0004255454966192181</v>
      </c>
      <c r="K236" s="103">
        <v>0.045379642197310006</v>
      </c>
    </row>
    <row r="237" spans="3:11" ht="9.75">
      <c r="C237" s="104"/>
      <c r="D237" s="105">
        <v>120</v>
      </c>
      <c r="E237" s="99" t="str">
        <f t="shared" si="6"/>
        <v>Trenchers</v>
      </c>
      <c r="F237" s="99" t="str">
        <f t="shared" si="7"/>
        <v>Trenchers0051</v>
      </c>
      <c r="G237" s="106">
        <v>0.17672219715740337</v>
      </c>
      <c r="H237" s="106">
        <v>0.5030405409607455</v>
      </c>
      <c r="I237" s="106">
        <v>1.0426910221680588</v>
      </c>
      <c r="J237" s="106">
        <v>0.00076125338791947</v>
      </c>
      <c r="K237" s="103">
        <v>0.08682788917602124</v>
      </c>
    </row>
    <row r="238" spans="3:11" ht="9.75">
      <c r="C238" s="104"/>
      <c r="D238" s="105">
        <v>175</v>
      </c>
      <c r="E238" s="99" t="str">
        <f t="shared" si="6"/>
        <v>Trenchers</v>
      </c>
      <c r="F238" s="99" t="str">
        <f t="shared" si="7"/>
        <v>Trenchers0121</v>
      </c>
      <c r="G238" s="106">
        <v>0.26021439297623694</v>
      </c>
      <c r="H238" s="106">
        <v>0.9129308632817016</v>
      </c>
      <c r="I238" s="106">
        <v>2.0726186170946694</v>
      </c>
      <c r="J238" s="106">
        <v>0.0016190984530748674</v>
      </c>
      <c r="K238" s="103">
        <v>0.11087597376958754</v>
      </c>
    </row>
    <row r="239" spans="3:11" ht="9.75">
      <c r="C239" s="104"/>
      <c r="D239" s="105">
        <v>250</v>
      </c>
      <c r="E239" s="99" t="str">
        <f t="shared" si="6"/>
        <v>Trenchers</v>
      </c>
      <c r="F239" s="99" t="str">
        <f t="shared" si="7"/>
        <v>Trenchers0176</v>
      </c>
      <c r="G239" s="106">
        <v>0.32457294239510637</v>
      </c>
      <c r="H239" s="106">
        <v>0.9471462944788845</v>
      </c>
      <c r="I239" s="106">
        <v>3.0937929620707116</v>
      </c>
      <c r="J239" s="106">
        <v>0.0025080165707475305</v>
      </c>
      <c r="K239" s="103">
        <v>0.129283739836414</v>
      </c>
    </row>
    <row r="240" spans="3:11" ht="9.75">
      <c r="C240" s="104"/>
      <c r="D240" s="105">
        <v>500</v>
      </c>
      <c r="E240" s="99" t="str">
        <f t="shared" si="6"/>
        <v>Trenchers</v>
      </c>
      <c r="F240" s="99" t="str">
        <f t="shared" si="7"/>
        <v>Trenchers0251</v>
      </c>
      <c r="G240" s="106">
        <v>0.40181638563244554</v>
      </c>
      <c r="H240" s="106">
        <v>2.0679460666604106</v>
      </c>
      <c r="I240" s="106">
        <v>3.9323199333220358</v>
      </c>
      <c r="J240" s="106">
        <v>0.003055594912958587</v>
      </c>
      <c r="K240" s="103">
        <v>0.15909168616479336</v>
      </c>
    </row>
    <row r="241" spans="3:11" ht="9.75">
      <c r="C241" s="104"/>
      <c r="D241" s="105">
        <v>750</v>
      </c>
      <c r="E241" s="99" t="str">
        <f t="shared" si="6"/>
        <v>Trenchers</v>
      </c>
      <c r="F241" s="99" t="str">
        <f t="shared" si="7"/>
        <v>Trenchers0501</v>
      </c>
      <c r="G241" s="106">
        <v>0.7639697186191509</v>
      </c>
      <c r="H241" s="106">
        <v>3.8743771161483562</v>
      </c>
      <c r="I241" s="106">
        <v>7.525386815413459</v>
      </c>
      <c r="J241" s="106">
        <v>0.0059008950600942115</v>
      </c>
      <c r="K241" s="103">
        <v>0.3007726894764944</v>
      </c>
    </row>
    <row r="242" spans="3:11" ht="9.75">
      <c r="C242" s="101" t="s">
        <v>281</v>
      </c>
      <c r="D242" s="107"/>
      <c r="E242" s="99" t="str">
        <f t="shared" si="6"/>
        <v>Trenchers Composite</v>
      </c>
      <c r="F242" s="99" t="str">
        <f t="shared" si="7"/>
        <v>Trenchers Composite0000</v>
      </c>
      <c r="G242" s="108">
        <v>0.19420572407482245</v>
      </c>
      <c r="H242" s="108">
        <v>0.5171374665132245</v>
      </c>
      <c r="I242" s="108">
        <v>0.8577627518585218</v>
      </c>
      <c r="J242" s="108">
        <v>0.0006961342256353141</v>
      </c>
      <c r="K242" s="109">
        <v>0.07144019391996562</v>
      </c>
    </row>
    <row r="243" spans="3:11" ht="9.75">
      <c r="C243" s="101" t="s">
        <v>17</v>
      </c>
      <c r="D243" s="102">
        <v>15</v>
      </c>
      <c r="E243" s="99" t="str">
        <f t="shared" si="6"/>
        <v>Welders</v>
      </c>
      <c r="F243" s="99" t="str">
        <f t="shared" si="7"/>
        <v>Welders0000</v>
      </c>
      <c r="G243" s="106">
        <v>0.014031630916954016</v>
      </c>
      <c r="H243" s="106">
        <v>0.04628434080422441</v>
      </c>
      <c r="I243" s="106">
        <v>0.07977578374366691</v>
      </c>
      <c r="J243" s="106">
        <v>9.659205023508824E-05</v>
      </c>
      <c r="K243" s="103">
        <v>0.006123742676348078</v>
      </c>
    </row>
    <row r="244" spans="3:11" ht="9.75">
      <c r="C244" s="104"/>
      <c r="D244" s="105">
        <v>25</v>
      </c>
      <c r="E244" s="99" t="str">
        <f t="shared" si="6"/>
        <v>Welders</v>
      </c>
      <c r="F244" s="99" t="str">
        <f t="shared" si="7"/>
        <v>Welders0016</v>
      </c>
      <c r="G244" s="106">
        <v>0.02936606664178972</v>
      </c>
      <c r="H244" s="106">
        <v>0.07296871496939542</v>
      </c>
      <c r="I244" s="106">
        <v>0.11509907866357767</v>
      </c>
      <c r="J244" s="106">
        <v>0.00014319935364248056</v>
      </c>
      <c r="K244" s="103">
        <v>0.008836913075208161</v>
      </c>
    </row>
    <row r="245" spans="3:11" ht="9.75">
      <c r="C245" s="104"/>
      <c r="D245" s="105">
        <v>50</v>
      </c>
      <c r="E245" s="99" t="str">
        <f t="shared" si="6"/>
        <v>Welders</v>
      </c>
      <c r="F245" s="99" t="str">
        <f t="shared" si="7"/>
        <v>Welders0026</v>
      </c>
      <c r="G245" s="106">
        <v>0.13921821719309274</v>
      </c>
      <c r="H245" s="106">
        <v>0.3169333320319164</v>
      </c>
      <c r="I245" s="106">
        <v>0.2824510000548262</v>
      </c>
      <c r="J245" s="106">
        <v>0.00033557297655662324</v>
      </c>
      <c r="K245" s="103">
        <v>0.03168163202330049</v>
      </c>
    </row>
    <row r="246" spans="3:11" ht="9.75">
      <c r="C246" s="104"/>
      <c r="D246" s="105">
        <v>120</v>
      </c>
      <c r="E246" s="99" t="str">
        <f t="shared" si="6"/>
        <v>Welders</v>
      </c>
      <c r="F246" s="99" t="str">
        <f t="shared" si="7"/>
        <v>Welders0051</v>
      </c>
      <c r="G246" s="106">
        <v>0.09309166339655053</v>
      </c>
      <c r="H246" s="106">
        <v>0.2798494392940233</v>
      </c>
      <c r="I246" s="106">
        <v>0.5555642594767211</v>
      </c>
      <c r="J246" s="106">
        <v>0.000463371705732058</v>
      </c>
      <c r="K246" s="103">
        <v>0.04676717136777774</v>
      </c>
    </row>
    <row r="247" spans="3:11" ht="9.75">
      <c r="C247" s="104"/>
      <c r="D247" s="105">
        <v>175</v>
      </c>
      <c r="E247" s="99" t="str">
        <f t="shared" si="6"/>
        <v>Welders</v>
      </c>
      <c r="F247" s="99" t="str">
        <f t="shared" si="7"/>
        <v>Welders0121</v>
      </c>
      <c r="G247" s="106">
        <v>0.1516397761870009</v>
      </c>
      <c r="H247" s="106">
        <v>0.5569972755177469</v>
      </c>
      <c r="I247" s="106">
        <v>1.243234959104805</v>
      </c>
      <c r="J247" s="106">
        <v>0.001104796602589867</v>
      </c>
      <c r="K247" s="103">
        <v>0.06418126932001515</v>
      </c>
    </row>
    <row r="248" spans="3:11" ht="9.75">
      <c r="C248" s="104"/>
      <c r="D248" s="105">
        <v>250</v>
      </c>
      <c r="E248" s="99" t="str">
        <f t="shared" si="6"/>
        <v>Welders</v>
      </c>
      <c r="F248" s="99" t="str">
        <f t="shared" si="7"/>
        <v>Welders0176</v>
      </c>
      <c r="G248" s="106">
        <v>0.12635620770594336</v>
      </c>
      <c r="H248" s="106">
        <v>0.3603008846222608</v>
      </c>
      <c r="I248" s="106">
        <v>1.4179526449703201</v>
      </c>
      <c r="J248" s="106">
        <v>0.0013397243061443668</v>
      </c>
      <c r="K248" s="103">
        <v>0.04809459278286099</v>
      </c>
    </row>
    <row r="249" spans="3:11" ht="9.75">
      <c r="C249" s="104"/>
      <c r="D249" s="105">
        <v>500</v>
      </c>
      <c r="E249" s="99" t="str">
        <f t="shared" si="6"/>
        <v>Welders</v>
      </c>
      <c r="F249" s="99" t="str">
        <f t="shared" si="7"/>
        <v>Welders0251</v>
      </c>
      <c r="G249" s="106">
        <v>0.15821100317488943</v>
      </c>
      <c r="H249" s="106">
        <v>0.6315724284337912</v>
      </c>
      <c r="I249" s="106">
        <v>1.80854482364502</v>
      </c>
      <c r="J249" s="106">
        <v>0.0016450366115446377</v>
      </c>
      <c r="K249" s="103">
        <v>0.061488962493957335</v>
      </c>
    </row>
    <row r="250" spans="3:11" ht="10.5" thickBot="1">
      <c r="C250" s="110" t="s">
        <v>282</v>
      </c>
      <c r="D250" s="111"/>
      <c r="E250" s="99" t="str">
        <f t="shared" si="6"/>
        <v>Welders Composite</v>
      </c>
      <c r="F250" s="99" t="str">
        <f t="shared" si="7"/>
        <v>Welders Composite0000</v>
      </c>
      <c r="G250" s="112">
        <v>0.09173001922592769</v>
      </c>
      <c r="H250" s="112">
        <v>0.23364413135000944</v>
      </c>
      <c r="I250" s="112">
        <v>0.3191138463372086</v>
      </c>
      <c r="J250" s="112">
        <v>0.0003174644350319475</v>
      </c>
      <c r="K250" s="113">
        <v>0.029687846487084155</v>
      </c>
    </row>
    <row r="251" spans="3:6" ht="9.75">
      <c r="C251" s="114"/>
      <c r="D251" s="115"/>
      <c r="E251" s="99"/>
      <c r="F251" s="99"/>
    </row>
    <row r="252" ht="9.75">
      <c r="A252" s="94" t="s">
        <v>283</v>
      </c>
    </row>
    <row r="254" ht="11.25">
      <c r="A254" s="13" t="s">
        <v>169</v>
      </c>
    </row>
    <row r="255" ht="9.75">
      <c r="A255" s="14" t="s">
        <v>39</v>
      </c>
    </row>
    <row r="256" ht="9.75">
      <c r="A256" s="14" t="s">
        <v>40</v>
      </c>
    </row>
    <row r="257" ht="9.75">
      <c r="A257" s="14" t="s">
        <v>287</v>
      </c>
    </row>
  </sheetData>
  <sheetProtection/>
  <mergeCells count="2">
    <mergeCell ref="C6:K6"/>
    <mergeCell ref="C5:K5"/>
  </mergeCells>
  <printOptions/>
  <pageMargins left="0.75" right="0.75" top="1" bottom="1" header="0.5" footer="0.5"/>
  <pageSetup fitToHeight="99" horizontalDpi="600" verticalDpi="600" orientation="portrait" r:id="rId1"/>
  <headerFooter alignWithMargins="0">
    <oddFooter>&amp;CC.1-&amp;P&amp;RSCE Mira Loma Peaker Project</oddFooter>
  </headerFooter>
  <rowBreaks count="5" manualBreakCount="5">
    <brk id="51" max="255" man="1"/>
    <brk id="100" max="255" man="1"/>
    <brk id="151" max="255" man="1"/>
    <brk id="201" max="255" man="1"/>
    <brk id="2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38.421875" style="0" customWidth="1"/>
    <col min="2" max="6" width="11.7109375" style="0" customWidth="1"/>
    <col min="7" max="7" width="12.421875" style="0" bestFit="1" customWidth="1"/>
  </cols>
  <sheetData>
    <row r="1" ht="12.75" hidden="1">
      <c r="A1">
        <v>7</v>
      </c>
    </row>
    <row r="2" spans="1:10" ht="12.75">
      <c r="A2" s="133" t="s">
        <v>313</v>
      </c>
      <c r="B2" s="133"/>
      <c r="C2" s="133"/>
      <c r="D2" s="133"/>
      <c r="E2" s="48"/>
      <c r="F2" s="48"/>
      <c r="G2" s="48"/>
      <c r="H2" s="48"/>
      <c r="I2" s="48"/>
      <c r="J2" s="48"/>
    </row>
    <row r="3" spans="1:4" ht="12.75">
      <c r="A3" s="134" t="s">
        <v>170</v>
      </c>
      <c r="B3" s="134"/>
      <c r="C3" s="134"/>
      <c r="D3" s="134"/>
    </row>
    <row r="4" spans="1:4" ht="25.5" customHeight="1">
      <c r="A4" s="149" t="s">
        <v>48</v>
      </c>
      <c r="B4" s="150"/>
      <c r="C4" s="149" t="s">
        <v>49</v>
      </c>
      <c r="D4" s="150"/>
    </row>
    <row r="5" spans="1:4" ht="12.75">
      <c r="A5" s="5" t="s">
        <v>20</v>
      </c>
      <c r="B5" s="22">
        <v>0.01282</v>
      </c>
      <c r="C5" s="5" t="s">
        <v>20</v>
      </c>
      <c r="D5" s="23">
        <v>0.005520326011330881</v>
      </c>
    </row>
    <row r="6" spans="1:4" ht="12.75">
      <c r="A6" s="5" t="s">
        <v>21</v>
      </c>
      <c r="B6" s="22">
        <v>0.001361</v>
      </c>
      <c r="C6" s="5" t="s">
        <v>21</v>
      </c>
      <c r="D6" s="23">
        <v>0.035634628764536325</v>
      </c>
    </row>
    <row r="7" spans="1:4" ht="12.75">
      <c r="A7" s="5" t="s">
        <v>24</v>
      </c>
      <c r="B7" s="22">
        <v>0.001383</v>
      </c>
      <c r="C7" s="5" t="s">
        <v>24</v>
      </c>
      <c r="D7" s="23">
        <v>0.0012265182387436637</v>
      </c>
    </row>
    <row r="8" spans="1:4" ht="12.75">
      <c r="A8" s="5" t="s">
        <v>23</v>
      </c>
      <c r="B8" s="22">
        <v>9E-06</v>
      </c>
      <c r="C8" s="5" t="s">
        <v>23</v>
      </c>
      <c r="D8" s="23">
        <v>4.5721101282178714E-05</v>
      </c>
    </row>
    <row r="9" spans="1:4" ht="12.75">
      <c r="A9" s="5" t="s">
        <v>22</v>
      </c>
      <c r="B9" s="22">
        <v>7.994837978627972E-05</v>
      </c>
      <c r="C9" s="5" t="s">
        <v>22</v>
      </c>
      <c r="D9" s="23">
        <v>0.0006440711658880828</v>
      </c>
    </row>
    <row r="10" ht="12.75">
      <c r="A10" s="24" t="s">
        <v>50</v>
      </c>
    </row>
    <row r="11" ht="12.75">
      <c r="A11" s="24" t="s">
        <v>51</v>
      </c>
    </row>
    <row r="13" ht="12.75">
      <c r="A13" s="24" t="s">
        <v>52</v>
      </c>
    </row>
    <row r="14" ht="12.75">
      <c r="A14" s="24" t="s">
        <v>53</v>
      </c>
    </row>
    <row r="15" ht="12.75">
      <c r="A15" s="24" t="s">
        <v>54</v>
      </c>
    </row>
    <row r="16" spans="1:5" ht="12.75">
      <c r="A16" s="25" t="s">
        <v>55</v>
      </c>
      <c r="B16" s="7"/>
      <c r="C16" s="7"/>
      <c r="D16" s="7"/>
      <c r="E16" s="7"/>
    </row>
    <row r="17" spans="1:5" ht="12.75">
      <c r="A17" s="25" t="s">
        <v>56</v>
      </c>
      <c r="B17" s="7"/>
      <c r="C17" s="7"/>
      <c r="D17" s="7"/>
      <c r="E17" s="7"/>
    </row>
    <row r="18" spans="1:5" ht="12.75">
      <c r="A18" s="25" t="s">
        <v>57</v>
      </c>
      <c r="B18" s="7"/>
      <c r="C18" s="7"/>
      <c r="D18" s="7"/>
      <c r="E18" s="7"/>
    </row>
    <row r="19" spans="1:5" s="27" customFormat="1" ht="12.75">
      <c r="A19" s="26"/>
      <c r="B19" s="26"/>
      <c r="C19" s="26"/>
      <c r="D19" s="26"/>
      <c r="E19" s="26"/>
    </row>
    <row r="20" spans="1:7" s="27" customFormat="1" ht="12.75">
      <c r="A20" s="132" t="s">
        <v>45</v>
      </c>
      <c r="B20" s="132" t="s">
        <v>58</v>
      </c>
      <c r="C20" s="132"/>
      <c r="D20" s="132"/>
      <c r="E20" s="132"/>
      <c r="F20" s="132"/>
      <c r="G20" s="132"/>
    </row>
    <row r="21" spans="1:7" s="27" customFormat="1" ht="28.5">
      <c r="A21" s="135"/>
      <c r="B21" s="1" t="s">
        <v>59</v>
      </c>
      <c r="C21" s="1" t="s">
        <v>60</v>
      </c>
      <c r="D21" s="1" t="s">
        <v>70</v>
      </c>
      <c r="E21" s="28" t="s">
        <v>71</v>
      </c>
      <c r="F21" s="28" t="s">
        <v>61</v>
      </c>
      <c r="G21" s="28" t="s">
        <v>176</v>
      </c>
    </row>
    <row r="22" spans="1:7" s="27" customFormat="1" ht="12.75">
      <c r="A22" s="3" t="s">
        <v>46</v>
      </c>
      <c r="B22" s="29">
        <f>$B$5</f>
        <v>0.01282</v>
      </c>
      <c r="C22" s="29">
        <f>$B$7</f>
        <v>0.001383</v>
      </c>
      <c r="D22" s="29">
        <f>$B$6</f>
        <v>0.001361</v>
      </c>
      <c r="E22" s="30">
        <f>$B$8</f>
        <v>9E-06</v>
      </c>
      <c r="F22" s="30">
        <f>$B$9</f>
        <v>7.994837978627972E-05</v>
      </c>
      <c r="G22" s="30">
        <f>F22*$B$30</f>
        <v>7.355250940337735E-05</v>
      </c>
    </row>
    <row r="23" spans="1:7" s="27" customFormat="1" ht="12.75">
      <c r="A23" s="3" t="s">
        <v>299</v>
      </c>
      <c r="B23" s="29">
        <f>$D$5</f>
        <v>0.005520326011330881</v>
      </c>
      <c r="C23" s="29">
        <f>$D$7</f>
        <v>0.0012265182387436637</v>
      </c>
      <c r="D23" s="29">
        <f>$D$6</f>
        <v>0.035634628764536325</v>
      </c>
      <c r="E23" s="30">
        <f>$D$8</f>
        <v>4.5721101282178714E-05</v>
      </c>
      <c r="F23" s="30">
        <f>$D$9</f>
        <v>0.0006440711658880828</v>
      </c>
      <c r="G23" s="30">
        <f>F23*$B$31</f>
        <v>0.0005976980419441408</v>
      </c>
    </row>
    <row r="24" spans="1:7" s="27" customFormat="1" ht="12.75">
      <c r="A24" s="3" t="s">
        <v>148</v>
      </c>
      <c r="B24" s="29">
        <f>$D$5</f>
        <v>0.005520326011330881</v>
      </c>
      <c r="C24" s="29">
        <f>$D$7</f>
        <v>0.0012265182387436637</v>
      </c>
      <c r="D24" s="29">
        <f>$D$6</f>
        <v>0.035634628764536325</v>
      </c>
      <c r="E24" s="30">
        <f>$D$8</f>
        <v>4.5721101282178714E-05</v>
      </c>
      <c r="F24" s="30">
        <f>$D$9</f>
        <v>0.0006440711658880828</v>
      </c>
      <c r="G24" s="30">
        <f>F24*$B$31</f>
        <v>0.0005976980419441408</v>
      </c>
    </row>
    <row r="25" spans="1:7" s="27" customFormat="1" ht="12.75">
      <c r="A25" s="3" t="s">
        <v>149</v>
      </c>
      <c r="B25" s="29">
        <f>$D$5</f>
        <v>0.005520326011330881</v>
      </c>
      <c r="C25" s="29">
        <f>$D$7</f>
        <v>0.0012265182387436637</v>
      </c>
      <c r="D25" s="29">
        <f>$D$6</f>
        <v>0.035634628764536325</v>
      </c>
      <c r="E25" s="30">
        <f>$D$8</f>
        <v>4.5721101282178714E-05</v>
      </c>
      <c r="F25" s="30">
        <f>$D$9</f>
        <v>0.0006440711658880828</v>
      </c>
      <c r="G25" s="30">
        <f>F25*$B$31</f>
        <v>0.0005976980419441408</v>
      </c>
    </row>
    <row r="26" spans="1:7" s="27" customFormat="1" ht="12.75">
      <c r="A26" s="3" t="s">
        <v>150</v>
      </c>
      <c r="B26" s="29">
        <f>$D$5</f>
        <v>0.005520326011330881</v>
      </c>
      <c r="C26" s="29">
        <f>$D$7</f>
        <v>0.0012265182387436637</v>
      </c>
      <c r="D26" s="29">
        <f>$D$6</f>
        <v>0.035634628764536325</v>
      </c>
      <c r="E26" s="30">
        <f>$D$8</f>
        <v>4.5721101282178714E-05</v>
      </c>
      <c r="F26" s="30">
        <f>$D$9</f>
        <v>0.0006440711658880828</v>
      </c>
      <c r="G26" s="30">
        <f>F26*$B$31</f>
        <v>0.0005976980419441408</v>
      </c>
    </row>
    <row r="27" spans="1:7" s="27" customFormat="1" ht="12.75">
      <c r="A27" s="3" t="s">
        <v>47</v>
      </c>
      <c r="B27" s="29">
        <f>$B$5</f>
        <v>0.01282</v>
      </c>
      <c r="C27" s="29">
        <f>$B$7</f>
        <v>0.001383</v>
      </c>
      <c r="D27" s="29">
        <f>$B$6</f>
        <v>0.001361</v>
      </c>
      <c r="E27" s="30">
        <f>$B$8</f>
        <v>9E-06</v>
      </c>
      <c r="F27" s="30">
        <f>$B$9</f>
        <v>7.994837978627972E-05</v>
      </c>
      <c r="G27" s="30">
        <f>F27*$B$30</f>
        <v>7.355250940337735E-05</v>
      </c>
    </row>
    <row r="28" spans="1:6" s="27" customFormat="1" ht="12.75">
      <c r="A28" s="7"/>
      <c r="B28" s="31"/>
      <c r="C28" s="31"/>
      <c r="D28" s="31"/>
      <c r="E28" s="31"/>
      <c r="F28" s="31"/>
    </row>
    <row r="29" spans="1:6" s="27" customFormat="1" ht="12.75">
      <c r="A29" s="10" t="s">
        <v>177</v>
      </c>
      <c r="B29" s="58"/>
      <c r="C29"/>
      <c r="D29" s="31"/>
      <c r="E29" s="31"/>
      <c r="F29" s="31"/>
    </row>
    <row r="30" spans="1:6" s="27" customFormat="1" ht="12.75">
      <c r="A30" s="69" t="s">
        <v>175</v>
      </c>
      <c r="B30" s="80">
        <v>0.92</v>
      </c>
      <c r="C30" s="79" t="s">
        <v>211</v>
      </c>
      <c r="D30" s="31"/>
      <c r="E30" s="31"/>
      <c r="F30" s="31"/>
    </row>
    <row r="31" spans="1:6" s="27" customFormat="1" ht="12.75">
      <c r="A31" s="69" t="s">
        <v>178</v>
      </c>
      <c r="B31" s="81">
        <v>0.928</v>
      </c>
      <c r="C31" s="25" t="s">
        <v>212</v>
      </c>
      <c r="D31" s="31"/>
      <c r="E31" s="31"/>
      <c r="F31" s="31"/>
    </row>
    <row r="32" spans="1:6" s="27" customFormat="1" ht="12.75">
      <c r="A32" s="7"/>
      <c r="B32" s="31"/>
      <c r="C32" s="31"/>
      <c r="D32" s="31"/>
      <c r="E32" s="31"/>
      <c r="F32" s="31"/>
    </row>
    <row r="33" spans="1:6" s="27" customFormat="1" ht="12.75">
      <c r="A33" s="7" t="s">
        <v>62</v>
      </c>
      <c r="B33" s="31"/>
      <c r="C33" s="31"/>
      <c r="D33" s="31"/>
      <c r="E33" s="31"/>
      <c r="F33" s="31"/>
    </row>
    <row r="34" spans="1:5" s="27" customFormat="1" ht="12.75">
      <c r="A34" s="26"/>
      <c r="B34" s="26"/>
      <c r="C34" s="26"/>
      <c r="D34" s="26"/>
      <c r="E34" s="26"/>
    </row>
    <row r="35" spans="1:10" ht="12.75">
      <c r="A35" s="133" t="s">
        <v>314</v>
      </c>
      <c r="B35" s="133"/>
      <c r="C35" s="133"/>
      <c r="D35" s="133"/>
      <c r="E35" s="133"/>
      <c r="F35" s="48"/>
      <c r="G35" s="48"/>
      <c r="H35" s="48"/>
      <c r="I35" s="48"/>
      <c r="J35" s="48"/>
    </row>
    <row r="36" spans="1:5" ht="12.75">
      <c r="A36" s="133" t="s">
        <v>63</v>
      </c>
      <c r="B36" s="133"/>
      <c r="C36" s="133"/>
      <c r="D36" s="133"/>
      <c r="E36" s="133"/>
    </row>
    <row r="37" spans="1:6" ht="68.25">
      <c r="A37" s="11" t="s">
        <v>45</v>
      </c>
      <c r="B37" s="1" t="s">
        <v>72</v>
      </c>
      <c r="C37" s="11" t="s">
        <v>64</v>
      </c>
      <c r="D37" s="1" t="s">
        <v>73</v>
      </c>
      <c r="E37" s="1" t="s">
        <v>179</v>
      </c>
      <c r="F37" s="1" t="s">
        <v>190</v>
      </c>
    </row>
    <row r="38" spans="1:6" ht="12.75">
      <c r="A38" s="3" t="s">
        <v>46</v>
      </c>
      <c r="B38" s="5">
        <v>2.7</v>
      </c>
      <c r="C38" s="5" t="s">
        <v>65</v>
      </c>
      <c r="D38" s="5">
        <v>0.24</v>
      </c>
      <c r="E38" s="23">
        <f aca="true" t="shared" si="0" ref="E38:E43">7.26*(D38/2)^0.65*(B38/3)^1.5/453.6</f>
        <v>0.003444253821211262</v>
      </c>
      <c r="F38" s="23">
        <f aca="true" t="shared" si="1" ref="F38:F43">E38*$B$51</f>
        <v>0.0005820788957847033</v>
      </c>
    </row>
    <row r="39" spans="1:6" ht="12.75">
      <c r="A39" s="3" t="s">
        <v>299</v>
      </c>
      <c r="B39" s="5">
        <v>30</v>
      </c>
      <c r="C39" s="5" t="s">
        <v>65</v>
      </c>
      <c r="D39" s="5">
        <v>0.24</v>
      </c>
      <c r="E39" s="23">
        <f t="shared" si="0"/>
        <v>0.12756495634115791</v>
      </c>
      <c r="F39" s="23">
        <f t="shared" si="1"/>
        <v>0.021558477621655688</v>
      </c>
    </row>
    <row r="40" spans="1:6" ht="12.75">
      <c r="A40" s="3" t="s">
        <v>148</v>
      </c>
      <c r="B40" s="5">
        <v>2.7</v>
      </c>
      <c r="C40" s="5" t="s">
        <v>66</v>
      </c>
      <c r="D40" s="5">
        <v>0.037</v>
      </c>
      <c r="E40" s="23">
        <f t="shared" si="0"/>
        <v>0.0010216190026505838</v>
      </c>
      <c r="F40" s="23">
        <f t="shared" si="1"/>
        <v>0.00017265361144794868</v>
      </c>
    </row>
    <row r="41" spans="1:6" ht="12.75">
      <c r="A41" s="3" t="s">
        <v>149</v>
      </c>
      <c r="B41" s="5">
        <v>2.7</v>
      </c>
      <c r="C41" s="5" t="s">
        <v>66</v>
      </c>
      <c r="D41" s="5">
        <v>0.037</v>
      </c>
      <c r="E41" s="23">
        <f t="shared" si="0"/>
        <v>0.0010216190026505838</v>
      </c>
      <c r="F41" s="23">
        <f t="shared" si="1"/>
        <v>0.00017265361144794868</v>
      </c>
    </row>
    <row r="42" spans="1:6" ht="12.75">
      <c r="A42" s="3" t="s">
        <v>150</v>
      </c>
      <c r="B42" s="5">
        <v>2.7</v>
      </c>
      <c r="C42" s="5" t="s">
        <v>66</v>
      </c>
      <c r="D42" s="5">
        <v>0.037</v>
      </c>
      <c r="E42" s="23">
        <f t="shared" si="0"/>
        <v>0.0010216190026505838</v>
      </c>
      <c r="F42" s="23">
        <f t="shared" si="1"/>
        <v>0.00017265361144794868</v>
      </c>
    </row>
    <row r="43" spans="1:6" ht="12.75">
      <c r="A43" s="3" t="s">
        <v>47</v>
      </c>
      <c r="B43" s="5">
        <v>2.7</v>
      </c>
      <c r="C43" s="5" t="s">
        <v>66</v>
      </c>
      <c r="D43" s="5">
        <v>0.037</v>
      </c>
      <c r="E43" s="23">
        <f t="shared" si="0"/>
        <v>0.0010216190026505838</v>
      </c>
      <c r="F43" s="23">
        <f t="shared" si="1"/>
        <v>0.00017265361144794868</v>
      </c>
    </row>
    <row r="45" ht="12.75">
      <c r="A45" s="10" t="s">
        <v>195</v>
      </c>
    </row>
    <row r="46" ht="12.75">
      <c r="A46" s="24" t="s">
        <v>67</v>
      </c>
    </row>
    <row r="47" ht="12.75">
      <c r="A47" s="10" t="s">
        <v>68</v>
      </c>
    </row>
    <row r="48" ht="12.75">
      <c r="A48" s="10" t="s">
        <v>74</v>
      </c>
    </row>
    <row r="49" ht="12.75">
      <c r="A49" s="24" t="s">
        <v>69</v>
      </c>
    </row>
    <row r="50" spans="1:2" ht="12.75">
      <c r="A50" s="10" t="s">
        <v>180</v>
      </c>
      <c r="B50" s="58"/>
    </row>
    <row r="51" spans="1:3" ht="12.75">
      <c r="A51" s="69" t="s">
        <v>181</v>
      </c>
      <c r="B51" s="80">
        <v>0.169</v>
      </c>
      <c r="C51" s="79" t="s">
        <v>211</v>
      </c>
    </row>
    <row r="52" spans="1:3" ht="12.75">
      <c r="A52" s="79"/>
      <c r="B52" s="31"/>
      <c r="C52" s="25" t="s">
        <v>212</v>
      </c>
    </row>
    <row r="53" ht="12.75">
      <c r="A53" s="25"/>
    </row>
    <row r="54" ht="12.75">
      <c r="A54" s="7" t="s">
        <v>62</v>
      </c>
    </row>
  </sheetData>
  <sheetProtection/>
  <mergeCells count="8">
    <mergeCell ref="A35:E35"/>
    <mergeCell ref="A36:E36"/>
    <mergeCell ref="A20:A21"/>
    <mergeCell ref="B20:G20"/>
    <mergeCell ref="A2:D2"/>
    <mergeCell ref="A3:D3"/>
    <mergeCell ref="A4:B4"/>
    <mergeCell ref="C4:D4"/>
  </mergeCells>
  <printOptions horizontalCentered="1"/>
  <pageMargins left="0.75" right="0.75" top="1" bottom="1" header="0.5" footer="0.5"/>
  <pageSetup fitToHeight="99" horizontalDpi="600" verticalDpi="600" orientation="landscape" scale="89" r:id="rId1"/>
  <headerFooter alignWithMargins="0">
    <oddFooter>&amp;CC.1-&amp;P&amp;RSCE Mira Loma Peaker Project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40.7109375" style="0" customWidth="1"/>
    <col min="3" max="3" width="12.421875" style="0" bestFit="1" customWidth="1"/>
  </cols>
  <sheetData>
    <row r="1" ht="12.75" hidden="1">
      <c r="A1">
        <v>8</v>
      </c>
    </row>
    <row r="2" spans="1:10" ht="12.75">
      <c r="A2" s="133" t="s">
        <v>315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133" t="s">
        <v>80</v>
      </c>
      <c r="B3" s="133"/>
      <c r="C3" s="133"/>
      <c r="D3" s="133"/>
      <c r="E3" s="133"/>
      <c r="F3" s="133"/>
      <c r="G3" s="133"/>
      <c r="H3" s="133"/>
      <c r="I3" s="133"/>
      <c r="J3" s="133"/>
    </row>
    <row r="5" ht="12.75">
      <c r="C5" s="36"/>
    </row>
    <row r="6" ht="12.75">
      <c r="A6" s="37" t="s">
        <v>81</v>
      </c>
    </row>
    <row r="8" ht="15">
      <c r="A8" t="s">
        <v>107</v>
      </c>
    </row>
    <row r="9" ht="12.75">
      <c r="A9" t="s">
        <v>82</v>
      </c>
    </row>
    <row r="11" spans="1:10" ht="12.75">
      <c r="A11" s="11" t="s">
        <v>83</v>
      </c>
      <c r="B11" s="11" t="s">
        <v>84</v>
      </c>
      <c r="C11" s="20" t="s">
        <v>85</v>
      </c>
      <c r="D11" s="38"/>
      <c r="E11" s="38"/>
      <c r="F11" s="38"/>
      <c r="G11" s="38"/>
      <c r="H11" s="38"/>
      <c r="I11" s="38"/>
      <c r="J11" s="12"/>
    </row>
    <row r="12" spans="1:10" ht="12.75">
      <c r="A12" s="5" t="s">
        <v>86</v>
      </c>
      <c r="B12" s="5">
        <v>12</v>
      </c>
      <c r="C12" s="154" t="s">
        <v>87</v>
      </c>
      <c r="D12" s="155"/>
      <c r="E12" s="155"/>
      <c r="F12" s="155"/>
      <c r="G12" s="155"/>
      <c r="H12" s="155"/>
      <c r="I12" s="155"/>
      <c r="J12" s="156"/>
    </row>
    <row r="13" spans="1:10" ht="25.5" customHeight="1">
      <c r="A13" s="5" t="s">
        <v>88</v>
      </c>
      <c r="B13" s="5">
        <v>15</v>
      </c>
      <c r="C13" s="157" t="s">
        <v>89</v>
      </c>
      <c r="D13" s="158"/>
      <c r="E13" s="158"/>
      <c r="F13" s="158"/>
      <c r="G13" s="158"/>
      <c r="H13" s="158"/>
      <c r="I13" s="158"/>
      <c r="J13" s="159"/>
    </row>
    <row r="14" spans="1:10" ht="12.75">
      <c r="A14" s="5" t="s">
        <v>90</v>
      </c>
      <c r="B14" s="5">
        <v>4</v>
      </c>
      <c r="C14" s="154" t="s">
        <v>91</v>
      </c>
      <c r="D14" s="155"/>
      <c r="E14" s="155"/>
      <c r="F14" s="155"/>
      <c r="G14" s="155"/>
      <c r="H14" s="155"/>
      <c r="I14" s="155"/>
      <c r="J14" s="156"/>
    </row>
    <row r="15" spans="1:10" ht="12.75">
      <c r="A15" s="5" t="s">
        <v>92</v>
      </c>
      <c r="B15" s="39">
        <v>1.215</v>
      </c>
      <c r="C15" s="154" t="s">
        <v>93</v>
      </c>
      <c r="D15" s="155"/>
      <c r="E15" s="155"/>
      <c r="F15" s="155"/>
      <c r="G15" s="155"/>
      <c r="H15" s="155"/>
      <c r="I15" s="155"/>
      <c r="J15" s="156"/>
    </row>
    <row r="17" spans="1:4" ht="12.75">
      <c r="A17" t="s">
        <v>182</v>
      </c>
      <c r="C17" s="40">
        <f>0.0011*(B12/5)^1.3/(B13/2)^1.4*B14*B15</f>
        <v>0.0009936142238043068</v>
      </c>
      <c r="D17" t="s">
        <v>94</v>
      </c>
    </row>
    <row r="18" spans="1:3" ht="12.75">
      <c r="A18" t="s">
        <v>95</v>
      </c>
      <c r="C18" s="40"/>
    </row>
    <row r="19" spans="1:3" ht="12.75">
      <c r="A19" t="s">
        <v>96</v>
      </c>
      <c r="C19" s="41">
        <v>0.5</v>
      </c>
    </row>
    <row r="20" spans="1:4" ht="12.75">
      <c r="A20" t="s">
        <v>183</v>
      </c>
      <c r="C20" s="40">
        <f>C17*(1-C19)</f>
        <v>0.0004968071119021534</v>
      </c>
      <c r="D20" t="str">
        <f>D17</f>
        <v>lb/cu. yd</v>
      </c>
    </row>
    <row r="21" spans="1:4" ht="15">
      <c r="A21" t="s">
        <v>185</v>
      </c>
      <c r="C21" s="40">
        <f>C20*B23</f>
        <v>0.00010432949349945221</v>
      </c>
      <c r="D21" t="str">
        <f>D17</f>
        <v>lb/cu. yd</v>
      </c>
    </row>
    <row r="22" spans="1:6" ht="15">
      <c r="A22" s="72" t="s">
        <v>186</v>
      </c>
      <c r="B22" s="73"/>
      <c r="C22" s="27"/>
      <c r="D22" s="27"/>
      <c r="E22" s="27"/>
      <c r="F22" s="27"/>
    </row>
    <row r="23" spans="1:6" ht="12.75">
      <c r="A23" s="74" t="s">
        <v>184</v>
      </c>
      <c r="B23" s="75">
        <v>0.21</v>
      </c>
      <c r="C23" s="77" t="s">
        <v>211</v>
      </c>
      <c r="D23" s="27"/>
      <c r="E23" s="27"/>
      <c r="F23" s="27"/>
    </row>
    <row r="24" spans="1:6" ht="12.75">
      <c r="A24" s="26"/>
      <c r="B24" s="31"/>
      <c r="C24" s="26" t="s">
        <v>212</v>
      </c>
      <c r="D24" s="27"/>
      <c r="E24" s="27"/>
      <c r="F24" s="27"/>
    </row>
    <row r="25" spans="1:3" ht="12.75">
      <c r="A25" s="70"/>
      <c r="B25" s="31"/>
      <c r="C25" s="31"/>
    </row>
    <row r="26" ht="12.75">
      <c r="A26" t="s">
        <v>97</v>
      </c>
    </row>
    <row r="28" ht="12.75">
      <c r="A28" s="37" t="s">
        <v>98</v>
      </c>
    </row>
    <row r="30" ht="12.75">
      <c r="A30" t="s">
        <v>99</v>
      </c>
    </row>
    <row r="31" ht="12.75">
      <c r="A31" t="s">
        <v>100</v>
      </c>
    </row>
    <row r="32" ht="12.75">
      <c r="A32" t="s">
        <v>101</v>
      </c>
    </row>
    <row r="35" spans="1:10" ht="12.75">
      <c r="A35" s="11" t="s">
        <v>83</v>
      </c>
      <c r="B35" s="11" t="s">
        <v>84</v>
      </c>
      <c r="C35" s="151" t="s">
        <v>85</v>
      </c>
      <c r="D35" s="152"/>
      <c r="E35" s="152"/>
      <c r="F35" s="152"/>
      <c r="G35" s="152"/>
      <c r="H35" s="152"/>
      <c r="I35" s="152"/>
      <c r="J35" s="153"/>
    </row>
    <row r="36" spans="1:10" ht="12.75">
      <c r="A36" s="5" t="s">
        <v>102</v>
      </c>
      <c r="B36" s="5">
        <v>7.5</v>
      </c>
      <c r="C36" s="154" t="s">
        <v>103</v>
      </c>
      <c r="D36" s="155"/>
      <c r="E36" s="155"/>
      <c r="F36" s="155"/>
      <c r="G36" s="155"/>
      <c r="H36" s="155"/>
      <c r="I36" s="155"/>
      <c r="J36" s="156"/>
    </row>
    <row r="37" spans="1:10" ht="12.75">
      <c r="A37" s="5" t="s">
        <v>104</v>
      </c>
      <c r="B37" s="5">
        <v>100</v>
      </c>
      <c r="C37" s="154" t="s">
        <v>91</v>
      </c>
      <c r="D37" s="155"/>
      <c r="E37" s="155"/>
      <c r="F37" s="155"/>
      <c r="G37" s="155"/>
      <c r="H37" s="155"/>
      <c r="I37" s="155"/>
      <c r="J37" s="156"/>
    </row>
    <row r="39" spans="1:4" ht="12.75">
      <c r="A39" t="s">
        <v>182</v>
      </c>
      <c r="C39" s="42">
        <f>0.85*B36/1.5*365/235*B37/15</f>
        <v>44.00709219858156</v>
      </c>
      <c r="D39" t="s">
        <v>105</v>
      </c>
    </row>
    <row r="40" spans="1:3" ht="12.75">
      <c r="A40" t="s">
        <v>95</v>
      </c>
      <c r="C40" s="41">
        <v>0.5</v>
      </c>
    </row>
    <row r="41" spans="1:4" ht="12.75">
      <c r="A41" t="s">
        <v>183</v>
      </c>
      <c r="C41" s="42">
        <f>C39*(1-C40)</f>
        <v>22.00354609929078</v>
      </c>
      <c r="D41" t="str">
        <f>D39</f>
        <v>lb/day-acre</v>
      </c>
    </row>
    <row r="42" spans="1:4" ht="15">
      <c r="A42" t="s">
        <v>187</v>
      </c>
      <c r="C42" s="42">
        <f>C41*B44</f>
        <v>4.620744680851064</v>
      </c>
      <c r="D42" t="str">
        <f>D39</f>
        <v>lb/day-acre</v>
      </c>
    </row>
    <row r="43" spans="1:3" ht="15">
      <c r="A43" s="72" t="s">
        <v>189</v>
      </c>
      <c r="C43" s="42"/>
    </row>
    <row r="44" spans="1:3" s="78" customFormat="1" ht="12.75">
      <c r="A44" s="74" t="s">
        <v>188</v>
      </c>
      <c r="B44" s="75">
        <v>0.21</v>
      </c>
      <c r="C44" s="77" t="s">
        <v>211</v>
      </c>
    </row>
    <row r="45" spans="1:3" ht="12.75">
      <c r="A45" s="26"/>
      <c r="C45" s="26" t="s">
        <v>212</v>
      </c>
    </row>
    <row r="47" ht="12.75">
      <c r="A47" t="s">
        <v>106</v>
      </c>
    </row>
  </sheetData>
  <sheetProtection/>
  <mergeCells count="9">
    <mergeCell ref="A2:J2"/>
    <mergeCell ref="A3:J3"/>
    <mergeCell ref="C35:J35"/>
    <mergeCell ref="C36:J36"/>
    <mergeCell ref="C37:J37"/>
    <mergeCell ref="C12:J12"/>
    <mergeCell ref="C14:J14"/>
    <mergeCell ref="C15:J15"/>
    <mergeCell ref="C13:J13"/>
  </mergeCells>
  <printOptions horizontalCentered="1"/>
  <pageMargins left="0.75" right="0.75" top="1" bottom="1" header="0.5" footer="0.5"/>
  <pageSetup fitToHeight="1" fitToWidth="1" horizontalDpi="300" verticalDpi="300" orientation="landscape" scale="78" r:id="rId1"/>
  <headerFooter alignWithMargins="0">
    <oddFooter>&amp;CC.1-&amp;P&amp;RSCE Mira Loma Peaker Project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2">
      <selection activeCell="B6" sqref="B6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316</v>
      </c>
    </row>
    <row r="2" spans="1:14" ht="12.75">
      <c r="A2" s="133" t="s">
        <v>323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48"/>
      <c r="N2" s="48"/>
    </row>
    <row r="3" spans="1:14" ht="12.75">
      <c r="A3" s="134" t="s">
        <v>318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3"/>
      <c r="N3" s="33"/>
    </row>
    <row r="4" spans="1:14" ht="12.75">
      <c r="A4" s="132" t="s">
        <v>174</v>
      </c>
      <c r="B4" s="132" t="s">
        <v>41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"/>
      <c r="N4" s="7"/>
    </row>
    <row r="5" spans="1:12" ht="12.75">
      <c r="A5" s="135"/>
      <c r="B5" s="60">
        <v>39139</v>
      </c>
      <c r="C5" s="60">
        <v>39153</v>
      </c>
      <c r="D5" s="60">
        <v>39167</v>
      </c>
      <c r="E5" s="60">
        <v>39181</v>
      </c>
      <c r="F5" s="60">
        <v>39195</v>
      </c>
      <c r="G5" s="60">
        <v>39209</v>
      </c>
      <c r="H5" s="60">
        <v>39223</v>
      </c>
      <c r="I5" s="60">
        <v>39237</v>
      </c>
      <c r="J5" s="60">
        <v>39251</v>
      </c>
      <c r="K5" s="60">
        <v>39265</v>
      </c>
      <c r="L5" s="60">
        <v>39279</v>
      </c>
    </row>
    <row r="6" spans="1:12" ht="12.75">
      <c r="A6" s="127" t="s">
        <v>319</v>
      </c>
      <c r="B6" s="35">
        <v>47.89903091631328</v>
      </c>
      <c r="C6" s="35">
        <v>58.999670919790745</v>
      </c>
      <c r="D6" s="35">
        <v>79.28009545199649</v>
      </c>
      <c r="E6" s="35">
        <v>86.38954515793634</v>
      </c>
      <c r="F6" s="35">
        <v>94.83577349839052</v>
      </c>
      <c r="G6" s="35">
        <v>40.58315060725508</v>
      </c>
      <c r="H6" s="35">
        <v>26.7384569130379</v>
      </c>
      <c r="I6" s="35">
        <v>23.076932067876488</v>
      </c>
      <c r="J6" s="35">
        <v>19.487332067876487</v>
      </c>
      <c r="K6" s="35">
        <v>2.1153</v>
      </c>
      <c r="L6" s="35">
        <v>0</v>
      </c>
    </row>
    <row r="7" spans="1:12" ht="12.75">
      <c r="A7" s="15" t="s">
        <v>320</v>
      </c>
      <c r="B7" s="35">
        <v>50.905470881944034</v>
      </c>
      <c r="C7" s="35">
        <v>62.0061108854215</v>
      </c>
      <c r="D7" s="35">
        <v>82.28653541762725</v>
      </c>
      <c r="E7" s="35">
        <v>89.39598512356707</v>
      </c>
      <c r="F7" s="35">
        <v>97.84221346402128</v>
      </c>
      <c r="G7" s="35">
        <v>91.48862148919912</v>
      </c>
      <c r="H7" s="35">
        <v>77.64392779498193</v>
      </c>
      <c r="I7" s="35">
        <v>23.076932067876488</v>
      </c>
      <c r="J7" s="35">
        <v>19.487332067876487</v>
      </c>
      <c r="K7" s="35">
        <v>2.1153</v>
      </c>
      <c r="L7" s="35">
        <v>0</v>
      </c>
    </row>
    <row r="8" spans="1:12" ht="12.75">
      <c r="A8" s="15" t="s">
        <v>321</v>
      </c>
      <c r="B8" s="35">
        <v>54.309030916313276</v>
      </c>
      <c r="C8" s="35">
        <v>65.40967091979074</v>
      </c>
      <c r="D8" s="35">
        <v>85.6900954519965</v>
      </c>
      <c r="E8" s="35">
        <v>92.79954515793634</v>
      </c>
      <c r="F8" s="35">
        <v>46.936742582077244</v>
      </c>
      <c r="G8" s="35">
        <v>40.58315060725508</v>
      </c>
      <c r="H8" s="35">
        <v>26.7384569130379</v>
      </c>
      <c r="I8" s="35">
        <v>23.076932067876488</v>
      </c>
      <c r="J8" s="35">
        <v>19.487332067876487</v>
      </c>
      <c r="K8" s="35">
        <v>2.1153</v>
      </c>
      <c r="L8" s="35">
        <v>0</v>
      </c>
    </row>
    <row r="9" spans="1:12" ht="12.75">
      <c r="A9" s="15" t="s">
        <v>322</v>
      </c>
      <c r="B9" s="35">
        <v>65.40967091979074</v>
      </c>
      <c r="C9" s="35">
        <v>85.6900954519965</v>
      </c>
      <c r="D9" s="35">
        <v>92.79954515793634</v>
      </c>
      <c r="E9" s="35">
        <v>101.24577349839052</v>
      </c>
      <c r="F9" s="35">
        <v>40.58315060725508</v>
      </c>
      <c r="G9" s="35">
        <v>26.7384569130379</v>
      </c>
      <c r="H9" s="35">
        <v>23.076932067876488</v>
      </c>
      <c r="I9" s="35">
        <v>19.487332067876487</v>
      </c>
      <c r="J9" s="35">
        <v>2.1153</v>
      </c>
      <c r="K9" s="35">
        <v>0</v>
      </c>
      <c r="L9" s="35">
        <v>0</v>
      </c>
    </row>
    <row r="10" spans="1:12" ht="12.75">
      <c r="A10" s="34" t="s">
        <v>42</v>
      </c>
      <c r="B10" s="18">
        <v>218.52320363436132</v>
      </c>
      <c r="C10" s="18">
        <v>272.1055481769995</v>
      </c>
      <c r="D10" s="18">
        <v>340.0562714795566</v>
      </c>
      <c r="E10" s="18">
        <v>369.83084893783024</v>
      </c>
      <c r="F10" s="18">
        <v>280.19788015174413</v>
      </c>
      <c r="G10" s="18">
        <v>199.39337961674718</v>
      </c>
      <c r="H10" s="18">
        <v>154.19777368893423</v>
      </c>
      <c r="I10" s="18">
        <v>88.71812827150595</v>
      </c>
      <c r="J10" s="18">
        <v>60.57729620362946</v>
      </c>
      <c r="K10" s="18">
        <v>6.3459</v>
      </c>
      <c r="L10" s="18">
        <v>0</v>
      </c>
    </row>
    <row r="11" spans="1:12" ht="12.75">
      <c r="A11" s="66" t="s">
        <v>163</v>
      </c>
      <c r="B11" s="67">
        <v>550</v>
      </c>
      <c r="C11" s="67">
        <v>550</v>
      </c>
      <c r="D11" s="67">
        <v>550</v>
      </c>
      <c r="E11" s="67">
        <v>550</v>
      </c>
      <c r="F11" s="67">
        <v>550</v>
      </c>
      <c r="G11" s="67">
        <v>550</v>
      </c>
      <c r="H11" s="67">
        <v>550</v>
      </c>
      <c r="I11" s="67">
        <v>550</v>
      </c>
      <c r="J11" s="67">
        <v>550</v>
      </c>
      <c r="K11" s="67">
        <v>550</v>
      </c>
      <c r="L11" s="67">
        <v>550</v>
      </c>
    </row>
    <row r="12" spans="1:12" ht="12.75">
      <c r="A12" s="34" t="s">
        <v>164</v>
      </c>
      <c r="B12" s="68" t="s">
        <v>209</v>
      </c>
      <c r="C12" s="68" t="s">
        <v>209</v>
      </c>
      <c r="D12" s="68" t="s">
        <v>209</v>
      </c>
      <c r="E12" s="68" t="s">
        <v>209</v>
      </c>
      <c r="F12" s="68" t="s">
        <v>209</v>
      </c>
      <c r="G12" s="68" t="s">
        <v>209</v>
      </c>
      <c r="H12" s="68" t="s">
        <v>209</v>
      </c>
      <c r="I12" s="68" t="s">
        <v>209</v>
      </c>
      <c r="J12" s="68" t="s">
        <v>209</v>
      </c>
      <c r="K12" s="68" t="s">
        <v>209</v>
      </c>
      <c r="L12" s="68" t="s">
        <v>209</v>
      </c>
    </row>
    <row r="14" spans="1:12" ht="12.75">
      <c r="A14" s="133" t="s">
        <v>326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12.75">
      <c r="A15" s="134" t="s">
        <v>324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12.75">
      <c r="A16" s="132" t="s">
        <v>174</v>
      </c>
      <c r="B16" s="132" t="s">
        <v>41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ht="12.75">
      <c r="A17" s="135"/>
      <c r="B17" s="60">
        <v>39139</v>
      </c>
      <c r="C17" s="60">
        <v>39153</v>
      </c>
      <c r="D17" s="60">
        <v>39167</v>
      </c>
      <c r="E17" s="60">
        <v>39181</v>
      </c>
      <c r="F17" s="60">
        <v>39195</v>
      </c>
      <c r="G17" s="60">
        <v>39209</v>
      </c>
      <c r="H17" s="60">
        <v>39223</v>
      </c>
      <c r="I17" s="60">
        <v>39237</v>
      </c>
      <c r="J17" s="60">
        <v>39251</v>
      </c>
      <c r="K17" s="60">
        <v>39265</v>
      </c>
      <c r="L17" s="60">
        <v>39279</v>
      </c>
    </row>
    <row r="18" spans="1:12" ht="12.75">
      <c r="A18" s="127" t="s">
        <v>319</v>
      </c>
      <c r="B18" s="35">
        <v>12.98055975771121</v>
      </c>
      <c r="C18" s="35">
        <v>16.528527173823917</v>
      </c>
      <c r="D18" s="35">
        <v>21.164033377534704</v>
      </c>
      <c r="E18" s="35">
        <v>23.11852763454556</v>
      </c>
      <c r="F18" s="35">
        <v>25.007634785767987</v>
      </c>
      <c r="G18" s="35">
        <v>10.238108530324883</v>
      </c>
      <c r="H18" s="35">
        <v>7.014659692703807</v>
      </c>
      <c r="I18" s="35">
        <v>5.395723261039819</v>
      </c>
      <c r="J18" s="35">
        <v>13.40848326103982</v>
      </c>
      <c r="K18" s="35">
        <v>0.22819499999999998</v>
      </c>
      <c r="L18" s="35">
        <v>0</v>
      </c>
    </row>
    <row r="19" spans="1:12" ht="12.75">
      <c r="A19" s="15" t="s">
        <v>320</v>
      </c>
      <c r="B19" s="35">
        <v>13.705257004310864</v>
      </c>
      <c r="C19" s="35">
        <v>17.25322442042357</v>
      </c>
      <c r="D19" s="35">
        <v>21.888730624134357</v>
      </c>
      <c r="E19" s="35">
        <v>23.843224881145215</v>
      </c>
      <c r="F19" s="35">
        <v>25.777442225205103</v>
      </c>
      <c r="G19" s="35">
        <v>23.94336553463575</v>
      </c>
      <c r="H19" s="35">
        <v>20.71991669701467</v>
      </c>
      <c r="I19" s="35">
        <v>5.395723261039819</v>
      </c>
      <c r="J19" s="35">
        <v>13.40848326103982</v>
      </c>
      <c r="K19" s="35">
        <v>0.22819499999999998</v>
      </c>
      <c r="L19" s="35">
        <v>0</v>
      </c>
    </row>
    <row r="20" spans="1:12" ht="12.75">
      <c r="A20" s="15" t="s">
        <v>321</v>
      </c>
      <c r="B20" s="35">
        <v>13.67205975771121</v>
      </c>
      <c r="C20" s="35">
        <v>17.220027173823915</v>
      </c>
      <c r="D20" s="35">
        <v>21.8555333775347</v>
      </c>
      <c r="E20" s="35">
        <v>23.81002763454556</v>
      </c>
      <c r="F20" s="35">
        <v>12.07218522089424</v>
      </c>
      <c r="G20" s="35">
        <v>10.238108530324883</v>
      </c>
      <c r="H20" s="35">
        <v>7.014659692703807</v>
      </c>
      <c r="I20" s="35">
        <v>5.395723261039819</v>
      </c>
      <c r="J20" s="35">
        <v>13.40848326103982</v>
      </c>
      <c r="K20" s="35">
        <v>0.22819499999999998</v>
      </c>
      <c r="L20" s="35">
        <v>0</v>
      </c>
    </row>
    <row r="21" spans="1:12" ht="12.75">
      <c r="A21" s="15" t="s">
        <v>322</v>
      </c>
      <c r="B21" s="35">
        <v>17.220027173823915</v>
      </c>
      <c r="C21" s="35">
        <v>22.650423184697235</v>
      </c>
      <c r="D21" s="35">
        <v>23.764917441708096</v>
      </c>
      <c r="E21" s="35">
        <v>25.699134785767985</v>
      </c>
      <c r="F21" s="35">
        <v>10.238108530324883</v>
      </c>
      <c r="G21" s="35">
        <v>7.014659692703807</v>
      </c>
      <c r="H21" s="35">
        <v>5.395723261039819</v>
      </c>
      <c r="I21" s="35">
        <v>5.008483261039819</v>
      </c>
      <c r="J21" s="35">
        <v>8.628195</v>
      </c>
      <c r="K21" s="35">
        <v>0</v>
      </c>
      <c r="L21" s="35">
        <v>0</v>
      </c>
    </row>
    <row r="22" spans="1:12" ht="12.75">
      <c r="A22" s="34" t="s">
        <v>42</v>
      </c>
      <c r="B22" s="18">
        <v>57.5779036935572</v>
      </c>
      <c r="C22" s="18">
        <v>73.65220195276864</v>
      </c>
      <c r="D22" s="18">
        <v>88.67321482091185</v>
      </c>
      <c r="E22" s="18">
        <v>96.47091493600432</v>
      </c>
      <c r="F22" s="18">
        <v>73.09537076219222</v>
      </c>
      <c r="G22" s="18">
        <v>51.43424228798933</v>
      </c>
      <c r="H22" s="18">
        <v>40.144959343462105</v>
      </c>
      <c r="I22" s="18">
        <v>21.19565304415928</v>
      </c>
      <c r="J22" s="18">
        <v>48.85364478311946</v>
      </c>
      <c r="K22" s="18">
        <v>0.684585</v>
      </c>
      <c r="L22" s="18">
        <v>0</v>
      </c>
    </row>
    <row r="23" spans="1:12" ht="12.75">
      <c r="A23" s="66" t="s">
        <v>163</v>
      </c>
      <c r="B23" s="67">
        <v>75</v>
      </c>
      <c r="C23" s="67">
        <v>75</v>
      </c>
      <c r="D23" s="67">
        <v>75</v>
      </c>
      <c r="E23" s="67">
        <v>75</v>
      </c>
      <c r="F23" s="67">
        <v>75</v>
      </c>
      <c r="G23" s="67">
        <v>75</v>
      </c>
      <c r="H23" s="67">
        <v>75</v>
      </c>
      <c r="I23" s="67">
        <v>75</v>
      </c>
      <c r="J23" s="67">
        <v>75</v>
      </c>
      <c r="K23" s="67">
        <v>75</v>
      </c>
      <c r="L23" s="67">
        <v>75</v>
      </c>
    </row>
    <row r="24" spans="1:12" ht="12.75">
      <c r="A24" s="34" t="s">
        <v>164</v>
      </c>
      <c r="B24" s="68" t="s">
        <v>209</v>
      </c>
      <c r="C24" s="68" t="s">
        <v>209</v>
      </c>
      <c r="D24" s="68" t="s">
        <v>210</v>
      </c>
      <c r="E24" s="68" t="s">
        <v>210</v>
      </c>
      <c r="F24" s="68" t="s">
        <v>209</v>
      </c>
      <c r="G24" s="68" t="s">
        <v>209</v>
      </c>
      <c r="H24" s="68" t="s">
        <v>209</v>
      </c>
      <c r="I24" s="68" t="s">
        <v>209</v>
      </c>
      <c r="J24" s="68" t="s">
        <v>209</v>
      </c>
      <c r="K24" s="68" t="s">
        <v>209</v>
      </c>
      <c r="L24" s="68" t="s">
        <v>209</v>
      </c>
    </row>
    <row r="26" spans="1:12" ht="12.75">
      <c r="A26" s="133" t="s">
        <v>327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ht="12.75">
      <c r="A27" s="134" t="s">
        <v>325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ht="12.75">
      <c r="A28" s="132" t="s">
        <v>174</v>
      </c>
      <c r="B28" s="132" t="s">
        <v>41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2.75">
      <c r="A29" s="135"/>
      <c r="B29" s="60">
        <v>39139</v>
      </c>
      <c r="C29" s="60">
        <v>39153</v>
      </c>
      <c r="D29" s="60">
        <v>39167</v>
      </c>
      <c r="E29" s="60">
        <v>39181</v>
      </c>
      <c r="F29" s="60">
        <v>39195</v>
      </c>
      <c r="G29" s="60">
        <v>39209</v>
      </c>
      <c r="H29" s="60">
        <v>39223</v>
      </c>
      <c r="I29" s="60">
        <v>39237</v>
      </c>
      <c r="J29" s="60">
        <v>39251</v>
      </c>
      <c r="K29" s="60">
        <v>39265</v>
      </c>
      <c r="L29" s="60">
        <v>39279</v>
      </c>
    </row>
    <row r="30" spans="1:12" ht="12.75">
      <c r="A30" s="127" t="s">
        <v>319</v>
      </c>
      <c r="B30" s="35">
        <v>24</v>
      </c>
      <c r="C30" s="35">
        <v>24</v>
      </c>
      <c r="D30" s="35">
        <v>24</v>
      </c>
      <c r="E30" s="35">
        <v>24</v>
      </c>
      <c r="F30" s="35">
        <v>24</v>
      </c>
      <c r="G30" s="35">
        <v>24</v>
      </c>
      <c r="H30" s="35">
        <v>24</v>
      </c>
      <c r="I30" s="35">
        <v>20.859461429109814</v>
      </c>
      <c r="J30" s="35">
        <v>20.478381429109813</v>
      </c>
      <c r="K30" s="35">
        <v>0.22456500000000001</v>
      </c>
      <c r="L30" s="35">
        <v>0</v>
      </c>
    </row>
    <row r="31" spans="1:12" ht="12.75">
      <c r="A31" s="15" t="s">
        <v>320</v>
      </c>
      <c r="B31" s="35">
        <v>24</v>
      </c>
      <c r="C31" s="35">
        <v>24</v>
      </c>
      <c r="D31" s="35">
        <v>24</v>
      </c>
      <c r="E31" s="35">
        <v>24</v>
      </c>
      <c r="F31" s="35">
        <v>24</v>
      </c>
      <c r="G31" s="35">
        <v>24</v>
      </c>
      <c r="H31" s="35">
        <v>24</v>
      </c>
      <c r="I31" s="35">
        <v>20.859461429109814</v>
      </c>
      <c r="J31" s="35">
        <v>20.478381429109813</v>
      </c>
      <c r="K31" s="35">
        <v>0.22456500000000001</v>
      </c>
      <c r="L31" s="35">
        <v>0</v>
      </c>
    </row>
    <row r="32" spans="1:12" ht="12.75">
      <c r="A32" s="15" t="s">
        <v>321</v>
      </c>
      <c r="B32" s="35">
        <v>24</v>
      </c>
      <c r="C32" s="35">
        <v>24</v>
      </c>
      <c r="D32" s="35">
        <v>24</v>
      </c>
      <c r="E32" s="35">
        <v>24</v>
      </c>
      <c r="F32" s="35">
        <v>24</v>
      </c>
      <c r="G32" s="35">
        <v>24</v>
      </c>
      <c r="H32" s="35">
        <v>24</v>
      </c>
      <c r="I32" s="35">
        <v>20.859461429109814</v>
      </c>
      <c r="J32" s="35">
        <v>20.478381429109813</v>
      </c>
      <c r="K32" s="35">
        <v>0.22456500000000001</v>
      </c>
      <c r="L32" s="35">
        <v>0</v>
      </c>
    </row>
    <row r="33" spans="1:12" ht="12.75">
      <c r="A33" s="15" t="s">
        <v>322</v>
      </c>
      <c r="B33" s="35">
        <v>24</v>
      </c>
      <c r="C33" s="35">
        <v>24</v>
      </c>
      <c r="D33" s="35">
        <v>24</v>
      </c>
      <c r="E33" s="35">
        <v>24</v>
      </c>
      <c r="F33" s="35">
        <v>24</v>
      </c>
      <c r="G33" s="35">
        <v>24</v>
      </c>
      <c r="H33" s="35">
        <v>20.859461429109814</v>
      </c>
      <c r="I33" s="35">
        <v>20.478381429109813</v>
      </c>
      <c r="J33" s="35">
        <v>0.22456500000000001</v>
      </c>
      <c r="K33" s="35">
        <v>0</v>
      </c>
      <c r="L33" s="35">
        <v>0</v>
      </c>
    </row>
    <row r="34" spans="1:12" ht="12.75">
      <c r="A34" s="34" t="s">
        <v>42</v>
      </c>
      <c r="B34" s="18">
        <v>96</v>
      </c>
      <c r="C34" s="18">
        <v>96</v>
      </c>
      <c r="D34" s="18">
        <v>96</v>
      </c>
      <c r="E34" s="18">
        <v>96</v>
      </c>
      <c r="F34" s="18">
        <v>96</v>
      </c>
      <c r="G34" s="18">
        <v>96</v>
      </c>
      <c r="H34" s="18">
        <v>92.85946142910981</v>
      </c>
      <c r="I34" s="18">
        <v>83.05676571643926</v>
      </c>
      <c r="J34" s="18">
        <v>61.659709287329434</v>
      </c>
      <c r="K34" s="18">
        <v>0.673695</v>
      </c>
      <c r="L34" s="18">
        <v>0</v>
      </c>
    </row>
    <row r="35" spans="1:12" ht="12.75">
      <c r="A35" s="66" t="s">
        <v>163</v>
      </c>
      <c r="B35" s="67">
        <v>100</v>
      </c>
      <c r="C35" s="67">
        <v>100</v>
      </c>
      <c r="D35" s="67">
        <v>100</v>
      </c>
      <c r="E35" s="67">
        <v>100</v>
      </c>
      <c r="F35" s="67">
        <v>100</v>
      </c>
      <c r="G35" s="67">
        <v>100</v>
      </c>
      <c r="H35" s="67">
        <v>100</v>
      </c>
      <c r="I35" s="67">
        <v>100</v>
      </c>
      <c r="J35" s="67">
        <v>100</v>
      </c>
      <c r="K35" s="67">
        <v>100</v>
      </c>
      <c r="L35" s="67">
        <v>100</v>
      </c>
    </row>
    <row r="36" spans="1:12" ht="12.75">
      <c r="A36" s="34" t="s">
        <v>164</v>
      </c>
      <c r="B36" s="68" t="s">
        <v>209</v>
      </c>
      <c r="C36" s="68" t="s">
        <v>209</v>
      </c>
      <c r="D36" s="68" t="s">
        <v>209</v>
      </c>
      <c r="E36" s="68" t="s">
        <v>209</v>
      </c>
      <c r="F36" s="68" t="s">
        <v>209</v>
      </c>
      <c r="G36" s="68" t="s">
        <v>209</v>
      </c>
      <c r="H36" s="68" t="s">
        <v>209</v>
      </c>
      <c r="I36" s="68" t="s">
        <v>209</v>
      </c>
      <c r="J36" s="68" t="s">
        <v>209</v>
      </c>
      <c r="K36" s="68" t="s">
        <v>209</v>
      </c>
      <c r="L36" s="68" t="s">
        <v>209</v>
      </c>
    </row>
    <row r="38" spans="1:12" ht="12.75">
      <c r="A38" s="133" t="s">
        <v>328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</row>
    <row r="39" spans="1:12" ht="12.75">
      <c r="A39" s="134" t="s">
        <v>329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 ht="12.75">
      <c r="A40" s="132" t="s">
        <v>174</v>
      </c>
      <c r="B40" s="132" t="s">
        <v>41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2.75">
      <c r="A41" s="135"/>
      <c r="B41" s="60">
        <v>39139</v>
      </c>
      <c r="C41" s="60">
        <v>39153</v>
      </c>
      <c r="D41" s="60">
        <v>39167</v>
      </c>
      <c r="E41" s="60">
        <v>39181</v>
      </c>
      <c r="F41" s="60">
        <v>39195</v>
      </c>
      <c r="G41" s="60">
        <v>39209</v>
      </c>
      <c r="H41" s="60">
        <v>39223</v>
      </c>
      <c r="I41" s="60">
        <v>39237</v>
      </c>
      <c r="J41" s="60">
        <v>39251</v>
      </c>
      <c r="K41" s="60">
        <v>39265</v>
      </c>
      <c r="L41" s="60">
        <v>39279</v>
      </c>
    </row>
    <row r="42" spans="1:12" ht="12.75">
      <c r="A42" s="127" t="s">
        <v>319</v>
      </c>
      <c r="B42" s="35">
        <v>0.07529558840235462</v>
      </c>
      <c r="C42" s="35">
        <v>0.08909176796198</v>
      </c>
      <c r="D42" s="35">
        <v>0.12832885785088147</v>
      </c>
      <c r="E42" s="35">
        <v>0.13430379957693714</v>
      </c>
      <c r="F42" s="35">
        <v>0.1381117439785859</v>
      </c>
      <c r="G42" s="35">
        <v>0.04919018932743411</v>
      </c>
      <c r="H42" s="35">
        <v>0.03035351627450057</v>
      </c>
      <c r="I42" s="35">
        <v>0.026612607552133006</v>
      </c>
      <c r="J42" s="35">
        <v>0.024092607552133005</v>
      </c>
      <c r="K42" s="35">
        <v>0.001485</v>
      </c>
      <c r="L42" s="35">
        <v>0</v>
      </c>
    </row>
    <row r="43" spans="1:12" ht="12.75">
      <c r="A43" s="15" t="s">
        <v>320</v>
      </c>
      <c r="B43" s="35">
        <v>0.08072365440046168</v>
      </c>
      <c r="C43" s="35">
        <v>0.09451983396008706</v>
      </c>
      <c r="D43" s="35">
        <v>0.13375692384898855</v>
      </c>
      <c r="E43" s="35">
        <v>0.1397318655750442</v>
      </c>
      <c r="F43" s="35">
        <v>0.14353980997669294</v>
      </c>
      <c r="G43" s="35">
        <v>0.1299138437278958</v>
      </c>
      <c r="H43" s="35">
        <v>0.11107717067496226</v>
      </c>
      <c r="I43" s="35">
        <v>0.026612607552133006</v>
      </c>
      <c r="J43" s="35">
        <v>0.024092607552133005</v>
      </c>
      <c r="K43" s="35">
        <v>0.001485</v>
      </c>
      <c r="L43" s="35">
        <v>0</v>
      </c>
    </row>
    <row r="44" spans="1:12" ht="12.75">
      <c r="A44" s="15" t="s">
        <v>321</v>
      </c>
      <c r="B44" s="35">
        <v>0.07979558840235462</v>
      </c>
      <c r="C44" s="35">
        <v>0.09359176796197999</v>
      </c>
      <c r="D44" s="35">
        <v>0.13282885785088147</v>
      </c>
      <c r="E44" s="35">
        <v>0.13880379957693714</v>
      </c>
      <c r="F44" s="35">
        <v>0.06281615557623126</v>
      </c>
      <c r="G44" s="35">
        <v>0.04919018932743411</v>
      </c>
      <c r="H44" s="35">
        <v>0.03035351627450057</v>
      </c>
      <c r="I44" s="35">
        <v>0.026612607552133006</v>
      </c>
      <c r="J44" s="35">
        <v>0.024092607552133005</v>
      </c>
      <c r="K44" s="35">
        <v>0.001485</v>
      </c>
      <c r="L44" s="35">
        <v>0</v>
      </c>
    </row>
    <row r="45" spans="1:12" ht="12.75">
      <c r="A45" s="15" t="s">
        <v>322</v>
      </c>
      <c r="B45" s="35">
        <v>0.09359176796197999</v>
      </c>
      <c r="C45" s="35">
        <v>0.13282885785088147</v>
      </c>
      <c r="D45" s="35">
        <v>0.13880379957693714</v>
      </c>
      <c r="E45" s="35">
        <v>0.1426117439785859</v>
      </c>
      <c r="F45" s="35">
        <v>0.04919018932743411</v>
      </c>
      <c r="G45" s="35">
        <v>0.03035351627450057</v>
      </c>
      <c r="H45" s="35">
        <v>0.026612607552133006</v>
      </c>
      <c r="I45" s="35">
        <v>0.024092607552133005</v>
      </c>
      <c r="J45" s="35">
        <v>0.001485</v>
      </c>
      <c r="K45" s="35">
        <v>0</v>
      </c>
      <c r="L45" s="35">
        <v>0</v>
      </c>
    </row>
    <row r="46" spans="1:12" ht="12.75">
      <c r="A46" s="34" t="s">
        <v>42</v>
      </c>
      <c r="B46" s="18">
        <v>0.3294065991671509</v>
      </c>
      <c r="C46" s="18">
        <v>0.41003222773492853</v>
      </c>
      <c r="D46" s="18">
        <v>0.5337184391276886</v>
      </c>
      <c r="E46" s="18">
        <v>0.5554512087075043</v>
      </c>
      <c r="F46" s="18">
        <v>0.39365789885894426</v>
      </c>
      <c r="G46" s="18">
        <v>0.2586477386572646</v>
      </c>
      <c r="H46" s="18">
        <v>0.1983968107760964</v>
      </c>
      <c r="I46" s="18">
        <v>0.10393043020853203</v>
      </c>
      <c r="J46" s="18">
        <v>0.07376282265639901</v>
      </c>
      <c r="K46" s="18">
        <v>0.004455</v>
      </c>
      <c r="L46" s="18">
        <v>0</v>
      </c>
    </row>
    <row r="47" spans="1:12" ht="12.75">
      <c r="A47" s="66" t="s">
        <v>163</v>
      </c>
      <c r="B47" s="67">
        <v>150</v>
      </c>
      <c r="C47" s="67">
        <v>150</v>
      </c>
      <c r="D47" s="67">
        <v>150</v>
      </c>
      <c r="E47" s="67">
        <v>150</v>
      </c>
      <c r="F47" s="67">
        <v>150</v>
      </c>
      <c r="G47" s="67">
        <v>150</v>
      </c>
      <c r="H47" s="67">
        <v>150</v>
      </c>
      <c r="I47" s="67">
        <v>150</v>
      </c>
      <c r="J47" s="67">
        <v>150</v>
      </c>
      <c r="K47" s="67">
        <v>150</v>
      </c>
      <c r="L47" s="67">
        <v>150</v>
      </c>
    </row>
    <row r="48" spans="1:12" ht="12.75">
      <c r="A48" s="34" t="s">
        <v>164</v>
      </c>
      <c r="B48" s="68" t="s">
        <v>209</v>
      </c>
      <c r="C48" s="68" t="s">
        <v>209</v>
      </c>
      <c r="D48" s="68" t="s">
        <v>209</v>
      </c>
      <c r="E48" s="68" t="s">
        <v>209</v>
      </c>
      <c r="F48" s="68" t="s">
        <v>209</v>
      </c>
      <c r="G48" s="68" t="s">
        <v>209</v>
      </c>
      <c r="H48" s="68" t="s">
        <v>209</v>
      </c>
      <c r="I48" s="68" t="s">
        <v>209</v>
      </c>
      <c r="J48" s="68" t="s">
        <v>209</v>
      </c>
      <c r="K48" s="68" t="s">
        <v>209</v>
      </c>
      <c r="L48" s="68" t="s">
        <v>209</v>
      </c>
    </row>
    <row r="50" spans="1:12" ht="12.75">
      <c r="A50" s="133" t="s">
        <v>330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ht="12.75">
      <c r="A51" s="134" t="s">
        <v>331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2" ht="12.75">
      <c r="A52" s="132" t="s">
        <v>174</v>
      </c>
      <c r="B52" s="132" t="s">
        <v>41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ht="12.75">
      <c r="A53" s="135"/>
      <c r="B53" s="60">
        <v>39139</v>
      </c>
      <c r="C53" s="60">
        <v>39153</v>
      </c>
      <c r="D53" s="60">
        <v>39167</v>
      </c>
      <c r="E53" s="60">
        <v>39181</v>
      </c>
      <c r="F53" s="60">
        <v>39195</v>
      </c>
      <c r="G53" s="60">
        <v>39209</v>
      </c>
      <c r="H53" s="60">
        <v>39223</v>
      </c>
      <c r="I53" s="60">
        <v>39237</v>
      </c>
      <c r="J53" s="60">
        <v>39251</v>
      </c>
      <c r="K53" s="60">
        <v>39265</v>
      </c>
      <c r="L53" s="60">
        <v>39279</v>
      </c>
    </row>
    <row r="54" spans="1:12" ht="12.75">
      <c r="A54" s="127" t="s">
        <v>319</v>
      </c>
      <c r="B54" s="35">
        <v>14.109958326596795</v>
      </c>
      <c r="C54" s="35">
        <v>15.847595961380536</v>
      </c>
      <c r="D54" s="35">
        <v>18.842874441991686</v>
      </c>
      <c r="E54" s="35">
        <v>19.4991086419418</v>
      </c>
      <c r="F54" s="35">
        <v>19.772950317872873</v>
      </c>
      <c r="G54" s="35">
        <v>4.874469285549621</v>
      </c>
      <c r="H54" s="35">
        <v>2.8243801304793648</v>
      </c>
      <c r="I54" s="35">
        <v>2.460392671905666</v>
      </c>
      <c r="J54" s="35">
        <v>2.1519538048233446</v>
      </c>
      <c r="K54" s="35">
        <v>0.24232448856609945</v>
      </c>
      <c r="L54" s="35">
        <v>0</v>
      </c>
    </row>
    <row r="55" spans="1:12" ht="12.75">
      <c r="A55" s="15" t="s">
        <v>320</v>
      </c>
      <c r="B55" s="35">
        <v>14.518047930741142</v>
      </c>
      <c r="C55" s="35">
        <v>16.25568556552488</v>
      </c>
      <c r="D55" s="35">
        <v>19.25096404613603</v>
      </c>
      <c r="E55" s="35">
        <v>19.907198246086143</v>
      </c>
      <c r="F55" s="35">
        <v>20.18103992201722</v>
      </c>
      <c r="G55" s="35">
        <v>19.39251721629076</v>
      </c>
      <c r="H55" s="35">
        <v>17.342428061220506</v>
      </c>
      <c r="I55" s="35">
        <v>2.460392671905666</v>
      </c>
      <c r="J55" s="35">
        <v>2.1519538048233446</v>
      </c>
      <c r="K55" s="35">
        <v>0.24232448856609945</v>
      </c>
      <c r="L55" s="35">
        <v>0</v>
      </c>
    </row>
    <row r="56" spans="1:12" ht="12.75">
      <c r="A56" s="15" t="s">
        <v>321</v>
      </c>
      <c r="B56" s="35">
        <v>14.660742017815226</v>
      </c>
      <c r="C56" s="35">
        <v>16.39837965259897</v>
      </c>
      <c r="D56" s="35">
        <v>19.39365813321012</v>
      </c>
      <c r="E56" s="35">
        <v>20.049892333160233</v>
      </c>
      <c r="F56" s="35">
        <v>5.66299199127608</v>
      </c>
      <c r="G56" s="35">
        <v>4.874469285549621</v>
      </c>
      <c r="H56" s="35">
        <v>2.8243801304793648</v>
      </c>
      <c r="I56" s="35">
        <v>2.460392671905666</v>
      </c>
      <c r="J56" s="35">
        <v>2.1519538048233446</v>
      </c>
      <c r="K56" s="35">
        <v>0.24232448856609945</v>
      </c>
      <c r="L56" s="35">
        <v>0</v>
      </c>
    </row>
    <row r="57" spans="1:12" ht="12.75">
      <c r="A57" s="15" t="s">
        <v>322</v>
      </c>
      <c r="B57" s="35">
        <v>16.39837965259897</v>
      </c>
      <c r="C57" s="35">
        <v>13.84656854698052</v>
      </c>
      <c r="D57" s="35">
        <v>14.502802746930634</v>
      </c>
      <c r="E57" s="35">
        <v>14.77664442286171</v>
      </c>
      <c r="F57" s="35">
        <v>4.874469285549621</v>
      </c>
      <c r="G57" s="35">
        <v>2.8243801304793648</v>
      </c>
      <c r="H57" s="35">
        <v>2.460392671905666</v>
      </c>
      <c r="I57" s="35">
        <v>2.1519538048233446</v>
      </c>
      <c r="J57" s="35">
        <v>0.24232448856609945</v>
      </c>
      <c r="K57" s="35">
        <v>0</v>
      </c>
      <c r="L57" s="35">
        <v>0</v>
      </c>
    </row>
    <row r="58" spans="1:12" ht="12.75">
      <c r="A58" s="34" t="s">
        <v>42</v>
      </c>
      <c r="B58" s="18">
        <v>59.68712792775213</v>
      </c>
      <c r="C58" s="18">
        <v>62.34822972648491</v>
      </c>
      <c r="D58" s="18">
        <v>71.99029936826847</v>
      </c>
      <c r="E58" s="18">
        <v>74.23284364404988</v>
      </c>
      <c r="F58" s="18">
        <v>50.49145151671579</v>
      </c>
      <c r="G58" s="18">
        <v>31.965835917869367</v>
      </c>
      <c r="H58" s="18">
        <v>25.451580994084903</v>
      </c>
      <c r="I58" s="18">
        <v>9.533131820540342</v>
      </c>
      <c r="J58" s="18">
        <v>6.6981859030361335</v>
      </c>
      <c r="K58" s="18">
        <v>0.7269734656982983</v>
      </c>
      <c r="L58" s="18">
        <v>0</v>
      </c>
    </row>
    <row r="59" spans="1:12" ht="12.75">
      <c r="A59" s="66" t="s">
        <v>163</v>
      </c>
      <c r="B59" s="67">
        <v>150</v>
      </c>
      <c r="C59" s="67">
        <v>150</v>
      </c>
      <c r="D59" s="67">
        <v>150</v>
      </c>
      <c r="E59" s="67">
        <v>150</v>
      </c>
      <c r="F59" s="67">
        <v>150</v>
      </c>
      <c r="G59" s="67">
        <v>150</v>
      </c>
      <c r="H59" s="67">
        <v>150</v>
      </c>
      <c r="I59" s="67">
        <v>150</v>
      </c>
      <c r="J59" s="67">
        <v>150</v>
      </c>
      <c r="K59" s="67">
        <v>150</v>
      </c>
      <c r="L59" s="67">
        <v>150</v>
      </c>
    </row>
    <row r="60" spans="1:12" ht="12.75">
      <c r="A60" s="34" t="s">
        <v>164</v>
      </c>
      <c r="B60" s="68" t="s">
        <v>209</v>
      </c>
      <c r="C60" s="68" t="s">
        <v>209</v>
      </c>
      <c r="D60" s="68" t="s">
        <v>209</v>
      </c>
      <c r="E60" s="68" t="s">
        <v>209</v>
      </c>
      <c r="F60" s="68" t="s">
        <v>209</v>
      </c>
      <c r="G60" s="68" t="s">
        <v>209</v>
      </c>
      <c r="H60" s="68" t="s">
        <v>209</v>
      </c>
      <c r="I60" s="68" t="s">
        <v>209</v>
      </c>
      <c r="J60" s="68" t="s">
        <v>209</v>
      </c>
      <c r="K60" s="68" t="s">
        <v>209</v>
      </c>
      <c r="L60" s="68" t="s">
        <v>209</v>
      </c>
    </row>
    <row r="62" spans="1:12" ht="12.75">
      <c r="A62" s="133" t="s">
        <v>332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1:12" ht="12.75">
      <c r="A63" s="134" t="s">
        <v>333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1:12" ht="12.75">
      <c r="A64" s="132" t="s">
        <v>174</v>
      </c>
      <c r="B64" s="132" t="s">
        <v>41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 ht="12.75">
      <c r="A65" s="135"/>
      <c r="B65" s="60">
        <v>39139</v>
      </c>
      <c r="C65" s="60">
        <v>39153</v>
      </c>
      <c r="D65" s="60">
        <v>39167</v>
      </c>
      <c r="E65" s="60">
        <v>39181</v>
      </c>
      <c r="F65" s="60">
        <v>39195</v>
      </c>
      <c r="G65" s="60">
        <v>39209</v>
      </c>
      <c r="H65" s="60">
        <v>39223</v>
      </c>
      <c r="I65" s="60">
        <v>39237</v>
      </c>
      <c r="J65" s="60">
        <v>39251</v>
      </c>
      <c r="K65" s="60">
        <v>39265</v>
      </c>
      <c r="L65" s="60">
        <v>39279</v>
      </c>
    </row>
    <row r="66" spans="1:12" ht="12.75">
      <c r="A66" s="127" t="s">
        <v>319</v>
      </c>
      <c r="B66" s="35">
        <v>5.937127100699089</v>
      </c>
      <c r="C66" s="35">
        <v>6.987888818635021</v>
      </c>
      <c r="D66" s="35">
        <v>8.753608148112217</v>
      </c>
      <c r="E66" s="35">
        <v>9.142517568188957</v>
      </c>
      <c r="F66" s="35">
        <v>9.572474755028857</v>
      </c>
      <c r="G66" s="35">
        <v>2.9636132760307663</v>
      </c>
      <c r="H66" s="35">
        <v>1.7865156923392642</v>
      </c>
      <c r="I66" s="35">
        <v>1.4516472304514618</v>
      </c>
      <c r="J66" s="35">
        <v>1.3827095166130905</v>
      </c>
      <c r="K66" s="35">
        <v>0.05085964204888766</v>
      </c>
      <c r="L66" s="35">
        <v>0</v>
      </c>
    </row>
    <row r="67" spans="1:12" ht="12.75">
      <c r="A67" s="15" t="s">
        <v>320</v>
      </c>
      <c r="B67" s="35">
        <v>6.312569536511891</v>
      </c>
      <c r="C67" s="35">
        <v>7.363331254447822</v>
      </c>
      <c r="D67" s="35">
        <v>9.12905058392502</v>
      </c>
      <c r="E67" s="35">
        <v>9.517960004001758</v>
      </c>
      <c r="F67" s="35">
        <v>9.947917190841657</v>
      </c>
      <c r="G67" s="35">
        <v>9.276182812542656</v>
      </c>
      <c r="H67" s="35">
        <v>8.099085228851154</v>
      </c>
      <c r="I67" s="35">
        <v>1.4516472304514618</v>
      </c>
      <c r="J67" s="35">
        <v>1.3827095166130905</v>
      </c>
      <c r="K67" s="35">
        <v>0.05085964204888766</v>
      </c>
      <c r="L67" s="35">
        <v>0</v>
      </c>
    </row>
    <row r="68" spans="1:12" ht="12.75">
      <c r="A68" s="15" t="s">
        <v>321</v>
      </c>
      <c r="B68" s="35">
        <v>6.060230161124752</v>
      </c>
      <c r="C68" s="35">
        <v>7.110991879060684</v>
      </c>
      <c r="D68" s="35">
        <v>8.87671120853788</v>
      </c>
      <c r="E68" s="35">
        <v>9.26562062861462</v>
      </c>
      <c r="F68" s="35">
        <v>3.635347654329768</v>
      </c>
      <c r="G68" s="35">
        <v>2.9636132760307663</v>
      </c>
      <c r="H68" s="35">
        <v>1.7865156923392642</v>
      </c>
      <c r="I68" s="35">
        <v>1.4516472304514618</v>
      </c>
      <c r="J68" s="35">
        <v>1.3827095166130905</v>
      </c>
      <c r="K68" s="35">
        <v>0.05085964204888766</v>
      </c>
      <c r="L68" s="35">
        <v>0</v>
      </c>
    </row>
    <row r="69" spans="1:12" ht="12.75">
      <c r="A69" s="15" t="s">
        <v>322</v>
      </c>
      <c r="B69" s="35">
        <v>7.110991879060684</v>
      </c>
      <c r="C69" s="35">
        <v>7.7118223954296665</v>
      </c>
      <c r="D69" s="35">
        <v>8.100731815506405</v>
      </c>
      <c r="E69" s="35">
        <v>8.530689002346305</v>
      </c>
      <c r="F69" s="35">
        <v>2.9636132760307663</v>
      </c>
      <c r="G69" s="35">
        <v>1.7865156923392642</v>
      </c>
      <c r="H69" s="35">
        <v>1.4516472304514618</v>
      </c>
      <c r="I69" s="35">
        <v>1.3827095166130905</v>
      </c>
      <c r="J69" s="35">
        <v>0.05085964204888766</v>
      </c>
      <c r="K69" s="35">
        <v>0</v>
      </c>
      <c r="L69" s="35">
        <v>0</v>
      </c>
    </row>
    <row r="70" spans="1:12" ht="12.75">
      <c r="A70" s="34" t="s">
        <v>42</v>
      </c>
      <c r="B70" s="18">
        <v>25.42091867739642</v>
      </c>
      <c r="C70" s="18">
        <v>29.174034347573194</v>
      </c>
      <c r="D70" s="18">
        <v>34.86010175608152</v>
      </c>
      <c r="E70" s="18">
        <v>36.45678720315164</v>
      </c>
      <c r="F70" s="18">
        <v>26.119352876231048</v>
      </c>
      <c r="G70" s="18">
        <v>16.989925056943452</v>
      </c>
      <c r="H70" s="18">
        <v>13.123763843981145</v>
      </c>
      <c r="I70" s="18">
        <v>5.737651207967476</v>
      </c>
      <c r="J70" s="18">
        <v>4.1989881918881595</v>
      </c>
      <c r="K70" s="18">
        <v>0.152578926146663</v>
      </c>
      <c r="L70" s="18">
        <v>0</v>
      </c>
    </row>
    <row r="71" spans="1:12" ht="12.75">
      <c r="A71" s="66" t="s">
        <v>163</v>
      </c>
      <c r="B71" s="67">
        <v>55</v>
      </c>
      <c r="C71" s="67">
        <v>55</v>
      </c>
      <c r="D71" s="67">
        <v>55</v>
      </c>
      <c r="E71" s="67">
        <v>55</v>
      </c>
      <c r="F71" s="67">
        <v>55</v>
      </c>
      <c r="G71" s="67">
        <v>55</v>
      </c>
      <c r="H71" s="67">
        <v>55</v>
      </c>
      <c r="I71" s="67">
        <v>55</v>
      </c>
      <c r="J71" s="67">
        <v>55</v>
      </c>
      <c r="K71" s="67">
        <v>55</v>
      </c>
      <c r="L71" s="67">
        <v>55</v>
      </c>
    </row>
    <row r="72" spans="1:12" ht="12.75">
      <c r="A72" s="34" t="s">
        <v>164</v>
      </c>
      <c r="B72" s="68" t="s">
        <v>209</v>
      </c>
      <c r="C72" s="68" t="s">
        <v>209</v>
      </c>
      <c r="D72" s="68" t="s">
        <v>209</v>
      </c>
      <c r="E72" s="68" t="s">
        <v>209</v>
      </c>
      <c r="F72" s="68" t="s">
        <v>209</v>
      </c>
      <c r="G72" s="68" t="s">
        <v>209</v>
      </c>
      <c r="H72" s="68" t="s">
        <v>209</v>
      </c>
      <c r="I72" s="68" t="s">
        <v>209</v>
      </c>
      <c r="J72" s="68" t="s">
        <v>209</v>
      </c>
      <c r="K72" s="68" t="s">
        <v>209</v>
      </c>
      <c r="L72" s="68" t="s">
        <v>209</v>
      </c>
    </row>
  </sheetData>
  <sheetProtection/>
  <mergeCells count="24">
    <mergeCell ref="A15:L15"/>
    <mergeCell ref="A2:L2"/>
    <mergeCell ref="A4:A5"/>
    <mergeCell ref="A3:L3"/>
    <mergeCell ref="B4:L4"/>
    <mergeCell ref="A14:L14"/>
    <mergeCell ref="A51:L51"/>
    <mergeCell ref="A16:A17"/>
    <mergeCell ref="B16:L16"/>
    <mergeCell ref="A26:L26"/>
    <mergeCell ref="A27:L27"/>
    <mergeCell ref="A28:A29"/>
    <mergeCell ref="B28:L28"/>
    <mergeCell ref="A38:L38"/>
    <mergeCell ref="A39:L39"/>
    <mergeCell ref="A40:A41"/>
    <mergeCell ref="B40:L40"/>
    <mergeCell ref="A50:L50"/>
    <mergeCell ref="A52:A53"/>
    <mergeCell ref="B52:L52"/>
    <mergeCell ref="A62:L62"/>
    <mergeCell ref="A63:L63"/>
    <mergeCell ref="A64:A65"/>
    <mergeCell ref="B64:L64"/>
  </mergeCells>
  <conditionalFormatting sqref="B12:L12 B24:L24 B36:L36 B48:L48 B60:L60 B72:L72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fitToWidth="1" horizontalDpi="600" verticalDpi="600" orientation="landscape" scale="78" r:id="rId1"/>
  <headerFooter alignWithMargins="0">
    <oddFooter>&amp;CC.1-&amp;P&amp;RSCE Mira Loma Peaker Project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Heisler</dc:creator>
  <cp:keywords/>
  <dc:description/>
  <cp:lastModifiedBy>dsasaki</cp:lastModifiedBy>
  <cp:lastPrinted>2006-12-21T19:38:38Z</cp:lastPrinted>
  <dcterms:created xsi:type="dcterms:W3CDTF">2006-01-17T18:21:44Z</dcterms:created>
  <dcterms:modified xsi:type="dcterms:W3CDTF">2014-08-06T19:34:53Z</dcterms:modified>
  <cp:category/>
  <cp:version/>
  <cp:contentType/>
  <cp:contentStatus/>
</cp:coreProperties>
</file>