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32" windowWidth="12288" windowHeight="6876" tabRatio="800" firstSheet="10" activeTab="11"/>
  </bookViews>
  <sheets>
    <sheet name="Sheet1" sheetId="1" r:id="rId1"/>
    <sheet name="ConstEquipEmissFactors" sheetId="2" r:id="rId2"/>
    <sheet name="ConstEquip-Phase 1" sheetId="3" r:id="rId3"/>
    <sheet name="ConstEquip-Phase 2" sheetId="4" r:id="rId4"/>
    <sheet name="ConstEquip-Phase 3" sheetId="5" r:id="rId5"/>
    <sheet name="ConstEquip-Phase 4" sheetId="6" r:id="rId6"/>
    <sheet name="VehicleEmiss-Phase 1" sheetId="7" r:id="rId7"/>
    <sheet name="VehicleEmiss-Phase 2" sheetId="8" r:id="rId8"/>
    <sheet name="VehicleEmiss-Phase 3" sheetId="9" r:id="rId9"/>
    <sheet name="VehicleEmiss-Phase 4" sheetId="10" r:id="rId10"/>
    <sheet name="FugConstEmiss-Phase 1" sheetId="11" r:id="rId11"/>
    <sheet name="FugConstEmiss-Phase 2" sheetId="12" r:id="rId12"/>
    <sheet name="FugConstEmiss-Phase 3" sheetId="13" r:id="rId13"/>
    <sheet name="FugConstEmiss-Phase 4" sheetId="14" r:id="rId14"/>
    <sheet name="Construct Emissions Summary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auxfuel">'[1]Vessel TAC Modeling Inputs'!$H$9</definedName>
    <definedName name="auxhours">'[1]Vessel TAC Modeling Inputs'!$G$9</definedName>
    <definedName name="baselinetanks">'[2]Baseline Tank VOCs'!$A$1:$BS$42</definedName>
    <definedName name="EF">'ConstEquipEmissFactors'!$A:$N</definedName>
    <definedName name="maxannual">'[1]Vessel TAC Modeling Inputs'!$B$10</definedName>
    <definedName name="maxglc">'[1]Vessel GLC and Background Calcs'!$D$26</definedName>
    <definedName name="maxhourly">'[1]Vessel TAC Modeling Inputs'!$B$9</definedName>
    <definedName name="postprojectefrtanks">'[2]Post Project Tanks - EFR'!$A$1:$BS$28</definedName>
    <definedName name="postprojectfixedtanks">'[2]Post Project Tanks - Fixed'!$A$1:$BS$11</definedName>
    <definedName name="_xlnm.Print_Area" localSheetId="2">'ConstEquip-Phase 1'!$A$1:$M$41</definedName>
    <definedName name="_xlnm.Print_Area" localSheetId="3">'ConstEquip-Phase 2'!$A$1:$M$40</definedName>
    <definedName name="_xlnm.Print_Area" localSheetId="4">'ConstEquip-Phase 3'!$A$1:$M$40</definedName>
    <definedName name="_xlnm.Print_Area" localSheetId="5">'ConstEquip-Phase 4'!$A$1:$M$40</definedName>
    <definedName name="_xlnm.Print_Area" localSheetId="6">'VehicleEmiss-Phase 1'!$A$1:$M$33</definedName>
    <definedName name="_xlnm.Print_Area" localSheetId="7">'VehicleEmiss-Phase 2'!$A$1:$M$33</definedName>
    <definedName name="_xlnm.Print_Area" localSheetId="8">'VehicleEmiss-Phase 3'!$A$1:$M$33</definedName>
    <definedName name="_xlnm.Print_Area" localSheetId="9">'VehicleEmiss-Phase 4'!$A$1:$M$33</definedName>
    <definedName name="projecttankemissions">#REF!</definedName>
    <definedName name="stackflow56h1">'[3]Combustion Source Test Data'!#REF!</definedName>
    <definedName name="Tank_Emissions_Data">'[4]Tank Summary'!$A$1:$Q$42</definedName>
    <definedName name="Tank_ID">#REF!</definedName>
  </definedNames>
  <calcPr fullCalcOnLoad="1"/>
</workbook>
</file>

<file path=xl/sharedStrings.xml><?xml version="1.0" encoding="utf-8"?>
<sst xmlns="http://schemas.openxmlformats.org/spreadsheetml/2006/main" count="691" uniqueCount="189">
  <si>
    <t>CO</t>
  </si>
  <si>
    <t>VOC</t>
  </si>
  <si>
    <t>NOx</t>
  </si>
  <si>
    <t>PM10</t>
  </si>
  <si>
    <t>SOx</t>
  </si>
  <si>
    <t>Table A9-9</t>
  </si>
  <si>
    <t>Peak Acreage Disturbed Per Day</t>
  </si>
  <si>
    <t>Fuel</t>
  </si>
  <si>
    <t>Diesel</t>
  </si>
  <si>
    <t>Vehicle Type</t>
  </si>
  <si>
    <t>Parameters</t>
  </si>
  <si>
    <t>Source</t>
  </si>
  <si>
    <t>Construction Equipment</t>
  </si>
  <si>
    <t>Equipment Type</t>
  </si>
  <si>
    <t xml:space="preserve">Hours </t>
  </si>
  <si>
    <t>Per Day</t>
  </si>
  <si>
    <t>Backhoe</t>
  </si>
  <si>
    <t>Front End Loader</t>
  </si>
  <si>
    <t>TOTAL EMISSIONS</t>
  </si>
  <si>
    <t>Table A9-9-G</t>
  </si>
  <si>
    <t>Vehicle Emissions</t>
  </si>
  <si>
    <t>SCAQMD Thresholds</t>
  </si>
  <si>
    <t>Significant</t>
  </si>
  <si>
    <t>CO Emissions Factor (lb/mile)</t>
  </si>
  <si>
    <t>NOx Emissions Factor (lb/mile)</t>
  </si>
  <si>
    <t>SOx Emissions Factor (lb/mile)</t>
  </si>
  <si>
    <t>PM10 Emissions Factor (lb/mile)</t>
  </si>
  <si>
    <t>CO Emissions</t>
  </si>
  <si>
    <t>VOC Emissions</t>
  </si>
  <si>
    <t>NOx Emissions</t>
  </si>
  <si>
    <t>SOx Emissions</t>
  </si>
  <si>
    <t>PM10 Emissions</t>
  </si>
  <si>
    <t>Excavator</t>
  </si>
  <si>
    <t>Totals</t>
  </si>
  <si>
    <t>Delivery Trucks</t>
  </si>
  <si>
    <t>Concrete Pump Truck</t>
  </si>
  <si>
    <t>Compressor</t>
  </si>
  <si>
    <t>Concrete Saw</t>
  </si>
  <si>
    <t>Manlift</t>
  </si>
  <si>
    <t>Forklift</t>
  </si>
  <si>
    <t>Flatbed Trucks</t>
  </si>
  <si>
    <t>Stakebed Trucks</t>
  </si>
  <si>
    <t>Trips per Day per Vehicle</t>
  </si>
  <si>
    <t>Number of Vehicles per Day</t>
  </si>
  <si>
    <t>Crane 100 Ton</t>
  </si>
  <si>
    <t>Crane 300 Ton</t>
  </si>
  <si>
    <t>Light Plants</t>
  </si>
  <si>
    <t>Welding Machine</t>
  </si>
  <si>
    <t>Emission Totals</t>
  </si>
  <si>
    <t>Cement Truck</t>
  </si>
  <si>
    <r>
      <t>Load</t>
    </r>
    <r>
      <rPr>
        <b/>
        <vertAlign val="superscript"/>
        <sz val="10"/>
        <rFont val="Arial"/>
        <family val="2"/>
      </rPr>
      <t>(2)</t>
    </r>
  </si>
  <si>
    <r>
      <t>Emission Factors lb/hp-hr</t>
    </r>
    <r>
      <rPr>
        <b/>
        <vertAlign val="superscript"/>
        <sz val="10"/>
        <rFont val="Arial"/>
        <family val="2"/>
      </rPr>
      <t>(3)</t>
    </r>
  </si>
  <si>
    <r>
      <t>Hp</t>
    </r>
    <r>
      <rPr>
        <b/>
        <vertAlign val="superscript"/>
        <sz val="10"/>
        <rFont val="Arial"/>
        <family val="2"/>
      </rPr>
      <t>(1)</t>
    </r>
  </si>
  <si>
    <t>Phase 1 - Site Preparation/Excavation</t>
  </si>
  <si>
    <t>Phase 2 - Erection and Installation</t>
  </si>
  <si>
    <t>Phase 3 - QA/QC Punchout</t>
  </si>
  <si>
    <t>(1) Emission factors derived from CARB's EMFAC 2002 (Version 2.2) BURDEN model, Scenario Year 2007, for passenger vehicles and delivery trucks.</t>
  </si>
  <si>
    <t>(2) Emission factors derived from CARB's EMFAC 2002 (Version 2.2) BURDEN model, Scenario Year 2007, for heavy-heavy duty diesel trucks.</t>
  </si>
  <si>
    <r>
      <t>Delivery Trucks</t>
    </r>
    <r>
      <rPr>
        <vertAlign val="superscript"/>
        <sz val="10"/>
        <rFont val="Arial"/>
        <family val="2"/>
      </rPr>
      <t>(1)</t>
    </r>
  </si>
  <si>
    <r>
      <t xml:space="preserve">Peak Day Emissions (lbs/day) </t>
    </r>
    <r>
      <rPr>
        <vertAlign val="superscript"/>
        <sz val="10"/>
        <rFont val="Arial"/>
        <family val="2"/>
      </rPr>
      <t>(2)</t>
    </r>
  </si>
  <si>
    <t>(1) Emission factors derived from CARB's EMFAC 2002 (Version 2.2) BURDEN model, Scenario Year 2008, for passenger vehicles and delivery trucks.</t>
  </si>
  <si>
    <t>(2) Emission factors derived from CARB's EMFAC 2002 (Version 2.2) BURDEN model, Scenario Year 2008, for heavy-heavy duty diesel trucks.</t>
  </si>
  <si>
    <t>Number of Trucks</t>
  </si>
  <si>
    <t>Peak Daily Vehicle Miles Traveled</t>
  </si>
  <si>
    <t>Daily Trips</t>
  </si>
  <si>
    <t>Fugitive PM10 Construction Emissions</t>
  </si>
  <si>
    <r>
      <t>Emission Factors lb/hr</t>
    </r>
    <r>
      <rPr>
        <b/>
        <vertAlign val="superscript"/>
        <sz val="10"/>
        <rFont val="Arial"/>
        <family val="2"/>
      </rPr>
      <t>(4)</t>
    </r>
  </si>
  <si>
    <t>Crane 65 Ton</t>
  </si>
  <si>
    <t>Drill Rig Large</t>
  </si>
  <si>
    <r>
      <t>Dump Trucks</t>
    </r>
    <r>
      <rPr>
        <vertAlign val="superscript"/>
        <sz val="10"/>
        <rFont val="Arial"/>
        <family val="2"/>
      </rPr>
      <t>(2)</t>
    </r>
  </si>
  <si>
    <t xml:space="preserve">Dump Trucks </t>
  </si>
  <si>
    <t>VOC Emissions Factor (lb/mile)</t>
  </si>
  <si>
    <t>(1) Distance Traveled per Day = Number of Vehicles per Day x Trips per Day per Vehicle x Distance Traveled per Trip</t>
  </si>
  <si>
    <r>
      <t>Cement Trucks</t>
    </r>
    <r>
      <rPr>
        <vertAlign val="superscript"/>
        <sz val="10"/>
        <rFont val="Arial"/>
        <family val="2"/>
      </rPr>
      <t>(2)</t>
    </r>
  </si>
  <si>
    <t>Cement Trucks</t>
  </si>
  <si>
    <t>Fugitive - Excavation</t>
  </si>
  <si>
    <t>Emissions from Material Handling</t>
  </si>
  <si>
    <t>Peak Pounds of Material Handled Per Day</t>
  </si>
  <si>
    <t>Emission 
Factor Source</t>
  </si>
  <si>
    <t>Fugitive - Construction</t>
  </si>
  <si>
    <t>Disturbed Surfaces</t>
  </si>
  <si>
    <t>Water Control Factor</t>
  </si>
  <si>
    <t>(3) Peak Controlled PM10 Emissions (pounds/day) = Peak Acreage Disturbed Per Day x PM10 Emission Factor x Water Control Factor.  Assume watering 3 times per day.</t>
  </si>
  <si>
    <t>Fugitive - Road Dust</t>
  </si>
  <si>
    <t>On-site Trucks</t>
  </si>
  <si>
    <r>
      <t xml:space="preserve">Peak Uncontrolled PM10 Emissions (pounds/day) </t>
    </r>
    <r>
      <rPr>
        <vertAlign val="superscript"/>
        <sz val="10"/>
        <rFont val="Arial"/>
        <family val="2"/>
      </rPr>
      <t>(2)</t>
    </r>
  </si>
  <si>
    <t>Table A9-9-C &amp; A9-9-C-1</t>
  </si>
  <si>
    <t>* The tables referenced as Emission Factor Sources can be found in the 1993 SCAQMD CEQA Air Quality Handbook.</t>
  </si>
  <si>
    <r>
      <t xml:space="preserve">PM10 Emission Factor (pounds/day/acre) </t>
    </r>
    <r>
      <rPr>
        <vertAlign val="superscript"/>
        <sz val="10"/>
        <rFont val="Arial"/>
        <family val="2"/>
      </rPr>
      <t>(1)</t>
    </r>
  </si>
  <si>
    <r>
      <t xml:space="preserve">Peak Uncontrolled
PM10 
Emissions 
(pounds/day) </t>
    </r>
    <r>
      <rPr>
        <vertAlign val="superscript"/>
        <sz val="10"/>
        <rFont val="Arial"/>
        <family val="2"/>
      </rPr>
      <t>(2)</t>
    </r>
  </si>
  <si>
    <r>
      <t xml:space="preserve">Peak Controlled
PM10 
Emissions 
(pounds/day) </t>
    </r>
    <r>
      <rPr>
        <vertAlign val="superscript"/>
        <sz val="10"/>
        <rFont val="Arial"/>
        <family val="2"/>
      </rPr>
      <t>(3)</t>
    </r>
  </si>
  <si>
    <r>
      <t xml:space="preserve">PM10 Emission Factor (pounds/VMT) </t>
    </r>
    <r>
      <rPr>
        <vertAlign val="superscript"/>
        <sz val="10"/>
        <rFont val="Arial"/>
        <family val="2"/>
      </rPr>
      <t>(1)</t>
    </r>
  </si>
  <si>
    <t xml:space="preserve">Emission Source </t>
  </si>
  <si>
    <t>(lbs/day)</t>
  </si>
  <si>
    <t>(2) Peak Day Emissions = Emission Factor x Distance Traveled per Day</t>
  </si>
  <si>
    <t>(2) Load factors are from 1993 SCAQMD CEQA Air Quality Handbook, Table A-9-8-D.</t>
  </si>
  <si>
    <t>(3) Emission factors are from 1993 SCAQMD CEQA Air Quality Handbook, Table A-9-8-B.</t>
  </si>
  <si>
    <t>(4) Emission factors (lbs/hr) conversion: Hp x Load x Emission Factor (lbs/hp-hr).</t>
  </si>
  <si>
    <r>
      <t xml:space="preserve">Pickup Trucks </t>
    </r>
    <r>
      <rPr>
        <vertAlign val="superscript"/>
        <sz val="10"/>
        <rFont val="Arial"/>
        <family val="2"/>
      </rPr>
      <t>(1)</t>
    </r>
  </si>
  <si>
    <t xml:space="preserve">Pickup Trucks </t>
  </si>
  <si>
    <t xml:space="preserve">Delivery Trucks </t>
  </si>
  <si>
    <t xml:space="preserve">Stakebed Trucks </t>
  </si>
  <si>
    <t xml:space="preserve">Flatbed Trucks </t>
  </si>
  <si>
    <t xml:space="preserve">Cement Trucks </t>
  </si>
  <si>
    <r>
      <t xml:space="preserve">Worker Vehicles </t>
    </r>
    <r>
      <rPr>
        <vertAlign val="superscript"/>
        <sz val="10"/>
        <rFont val="Arial"/>
        <family val="2"/>
      </rPr>
      <t>(1)</t>
    </r>
  </si>
  <si>
    <t xml:space="preserve">Worker Vehicles </t>
  </si>
  <si>
    <t>Number</t>
  </si>
  <si>
    <r>
      <t xml:space="preserve">Emission Factors (lb/hr) </t>
    </r>
    <r>
      <rPr>
        <b/>
        <vertAlign val="superscript"/>
        <sz val="10"/>
        <rFont val="Arial"/>
        <family val="2"/>
      </rPr>
      <t>(1)</t>
    </r>
  </si>
  <si>
    <r>
      <t xml:space="preserve">Peak Daily Emissions (lbs/day) </t>
    </r>
    <r>
      <rPr>
        <b/>
        <vertAlign val="superscript"/>
        <sz val="10"/>
        <rFont val="Arial"/>
        <family val="2"/>
      </rPr>
      <t>(2)</t>
    </r>
  </si>
  <si>
    <t>(1) Emission factors are from 1993 SCAQMD CEQA Air Quality Handbook, Table A-9-8-B (for conversion calculation refer to Table A-1).</t>
  </si>
  <si>
    <t>(2) Peak Daily Emissions (lbs/day) = Number of equipment x Hours Per Day x Emission Factor (lb/hr)</t>
  </si>
  <si>
    <r>
      <t>Stakebed Trucks</t>
    </r>
    <r>
      <rPr>
        <vertAlign val="superscript"/>
        <sz val="10"/>
        <rFont val="Arial"/>
        <family val="2"/>
      </rPr>
      <t>(1)</t>
    </r>
  </si>
  <si>
    <t>(1) Uncontrolled PM10 Emissions (lbs/day) = 0.00112 x [(G/5)1.3/(H/2)1.4] x I/J; where G=mean wind speed (12 mph), H=moisture content of surface material (2%); I=lbs of dirt handled per day; and J=2,000 lbs/ton</t>
  </si>
  <si>
    <t xml:space="preserve">Peak Tons of Material Handled Per Day </t>
  </si>
  <si>
    <r>
      <t xml:space="preserve">Peak Uncontrolled
PM10 
Emissions 
(pounds/day) </t>
    </r>
    <r>
      <rPr>
        <vertAlign val="superscript"/>
        <sz val="10"/>
        <rFont val="Arial"/>
        <family val="2"/>
      </rPr>
      <t>(1)</t>
    </r>
  </si>
  <si>
    <t xml:space="preserve">(1) Onsite trucks used for transportation during construction are pickups, stakebed trucks, and flatbed trucks. </t>
  </si>
  <si>
    <r>
      <t xml:space="preserve">Number of Trucks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</t>
    </r>
  </si>
  <si>
    <r>
      <t xml:space="preserve">PM10 Emission Factor (pounds/VMT) </t>
    </r>
    <r>
      <rPr>
        <vertAlign val="superscript"/>
        <sz val="10"/>
        <rFont val="Arial"/>
        <family val="2"/>
      </rPr>
      <t>(2)</t>
    </r>
  </si>
  <si>
    <t>(3) Peak Uncontrolled PM10 Emissions (pounds/day) = Number of Trucks x Daily Trips x Peak Daily Vehicle Miles Traveled x PM10 Emission Factor.</t>
  </si>
  <si>
    <t>(4) Peak Controlled PM10 Emissions (pounds/day) = Number of Trucks x Daily Trips x Peak Daily Vehicle Miles Traveled x PM10 Emission Factor x Water Control Factor.</t>
  </si>
  <si>
    <r>
      <t xml:space="preserve">Peak Uncontrolled PM10 Emissions (pounds/day) </t>
    </r>
    <r>
      <rPr>
        <vertAlign val="superscript"/>
        <sz val="10"/>
        <rFont val="Arial"/>
        <family val="2"/>
      </rPr>
      <t>(3)</t>
    </r>
  </si>
  <si>
    <r>
      <t xml:space="preserve">Peak Controlled
PM10 
Emissions 
(pounds/day) </t>
    </r>
    <r>
      <rPr>
        <vertAlign val="superscript"/>
        <sz val="10"/>
        <rFont val="Arial"/>
        <family val="2"/>
      </rPr>
      <t>(4)</t>
    </r>
  </si>
  <si>
    <r>
      <t>(2) PM10 Emission Factor (lbs/day) = 0.77 x (G x 0.35)</t>
    </r>
    <r>
      <rPr>
        <vertAlign val="superscript"/>
        <sz val="9"/>
        <rFont val="Arial"/>
        <family val="0"/>
      </rPr>
      <t>0.3</t>
    </r>
    <r>
      <rPr>
        <sz val="9"/>
        <rFont val="Arial"/>
        <family val="0"/>
      </rPr>
      <t>, where G equals surface silt loading in ounces/square yards (0.04 for construction sites with cleaning).</t>
    </r>
  </si>
  <si>
    <t>(1) Emission factor associated with grading activities was used as a "worst-case" (Table A9-9, SCAQMD CEQA Handbook).
(2) Peak Uncontrolled PM10 Emissions (pounds/day) = Peak Acreage Disturbed Per Day x PM10 Emission Factor.</t>
  </si>
  <si>
    <r>
      <t xml:space="preserve">Number of Trucks </t>
    </r>
    <r>
      <rPr>
        <vertAlign val="superscript"/>
        <sz val="10"/>
        <rFont val="Arial"/>
        <family val="2"/>
      </rPr>
      <t>(1)</t>
    </r>
  </si>
  <si>
    <r>
      <t xml:space="preserve">Number of Trucks </t>
    </r>
    <r>
      <rPr>
        <vertAlign val="superscript"/>
        <sz val="10"/>
        <rFont val="Arial"/>
        <family val="2"/>
      </rPr>
      <t xml:space="preserve">(1) </t>
    </r>
  </si>
  <si>
    <t>Generator</t>
  </si>
  <si>
    <r>
      <t>Flatbed Trucks</t>
    </r>
    <r>
      <rPr>
        <vertAlign val="superscript"/>
        <sz val="10"/>
        <rFont val="Arial"/>
        <family val="2"/>
      </rPr>
      <t>(1)</t>
    </r>
  </si>
  <si>
    <t>(3) The one cement truck @ 10 hours per day represents 10 cement truck idling for 1 hour while pouring the cement.</t>
  </si>
  <si>
    <t>(1) Construction details provided by Jacobs Engineering (e.g., # and type of equipment, confirmed horsepower, excavated volume, scheduling &amp; phases, and # of workers).</t>
  </si>
  <si>
    <t>15 Ton Boom Truck</t>
  </si>
  <si>
    <t xml:space="preserve">Phase 1 </t>
  </si>
  <si>
    <t xml:space="preserve">Phase 2 </t>
  </si>
  <si>
    <t>Phase 3</t>
  </si>
  <si>
    <t>Phase 4 - FCCU Tie-In</t>
  </si>
  <si>
    <t xml:space="preserve">Phase 4 </t>
  </si>
  <si>
    <t>CONSTRUCTION EMISSION CALCULATIONS - ALTERNATIVE 2</t>
  </si>
  <si>
    <t xml:space="preserve">Distance Traveled per Trip (miles) </t>
  </si>
  <si>
    <r>
      <t xml:space="preserve">Distance Traveled per Day </t>
    </r>
    <r>
      <rPr>
        <vertAlign val="superscript"/>
        <sz val="10"/>
        <rFont val="Arial"/>
        <family val="2"/>
      </rPr>
      <t xml:space="preserve">(1)  </t>
    </r>
    <r>
      <rPr>
        <sz val="10"/>
        <rFont val="Arial"/>
        <family val="2"/>
      </rPr>
      <t>(miles)</t>
    </r>
  </si>
  <si>
    <t>APPENDIX C</t>
  </si>
  <si>
    <t>Phase 3 "planned" to occur between December 1, 2008 and December 29, 2008.</t>
  </si>
  <si>
    <t>Phase 2 "planned" to occur between October 1, 2007 and November 30, 2008.</t>
  </si>
  <si>
    <t xml:space="preserve">* Phase 1 "planned" to occur between April 1, 2007 and September 30, 2007.  </t>
  </si>
  <si>
    <t>CONSTRUCTION EMISSIONS SUMMARY- ALTERNATIVE 2</t>
  </si>
  <si>
    <t>Phase 1 Emissions</t>
  </si>
  <si>
    <t xml:space="preserve">Phase 2 Emissions </t>
  </si>
  <si>
    <t>Phase 3 Emissions</t>
  </si>
  <si>
    <t xml:space="preserve">Phase 4 Emissions </t>
  </si>
  <si>
    <t>*Peak Phase is Highlighted.</t>
  </si>
  <si>
    <t>Number of Vehicles/Trucks</t>
  </si>
  <si>
    <t>Peak Daily Vehicle Miles Traveled (VMT)</t>
  </si>
  <si>
    <r>
      <t xml:space="preserve">Emission Factor (lbs/VMT) </t>
    </r>
    <r>
      <rPr>
        <vertAlign val="superscript"/>
        <sz val="10"/>
        <rFont val="Arial"/>
        <family val="2"/>
      </rPr>
      <t>(1)</t>
    </r>
  </si>
  <si>
    <t>Peak PM10 (lbs/day)</t>
  </si>
  <si>
    <t>Worker Vehicles</t>
  </si>
  <si>
    <t>Gasoline</t>
  </si>
  <si>
    <t>Pickup Trucks</t>
  </si>
  <si>
    <t>Total</t>
  </si>
  <si>
    <t>(1) Emission factor for travel on paved road is from EPA AP-42 Section 13.2.1, December 2003.</t>
  </si>
  <si>
    <r>
      <t>E = k(sL/2)</t>
    </r>
    <r>
      <rPr>
        <vertAlign val="superscript"/>
        <sz val="9"/>
        <rFont val="Arial"/>
        <family val="0"/>
      </rPr>
      <t>0.65</t>
    </r>
    <r>
      <rPr>
        <sz val="9"/>
        <rFont val="Arial"/>
        <family val="0"/>
      </rPr>
      <t xml:space="preserve"> x (W/3)</t>
    </r>
    <r>
      <rPr>
        <vertAlign val="superscript"/>
        <sz val="9"/>
        <rFont val="Arial"/>
        <family val="0"/>
      </rPr>
      <t>1.5</t>
    </r>
    <r>
      <rPr>
        <sz val="9"/>
        <rFont val="Arial"/>
        <family val="0"/>
      </rPr>
      <t xml:space="preserve"> - C</t>
    </r>
  </si>
  <si>
    <t>Where:</t>
  </si>
  <si>
    <t>k (particle size multiplier) = 0.016 lb/VMT for PM10</t>
  </si>
  <si>
    <r>
      <t>sL (road silt loading) = 0.037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 xml:space="preserve"> for major/collector roads (CARB Methodology 7.9 for paved roads)</t>
    </r>
  </si>
  <si>
    <t>W (average vehicle weight) = 2.4 tons for cars, 5 tons for pickup trucks, and 20 tons for heavy trucks</t>
  </si>
  <si>
    <t>C (emission factor for 1980's vehicle fleet exhaust, brake wear and tire wear) = 0.00047 lbs/VMT</t>
  </si>
  <si>
    <t>Delivery and Cement Trucks</t>
  </si>
  <si>
    <t>Dump Trucks</t>
  </si>
  <si>
    <t>(3) No water trucks are required.  Refinery fire water system via fire hoses will be used.</t>
  </si>
  <si>
    <t>(4) Construction data provided by Jacobs Engineering. Labor resources and deliveries will be supplied from local sources.</t>
  </si>
  <si>
    <t>Phase 4 "planned" to occur between December 30, 2008 and January 16, 2009.</t>
  </si>
  <si>
    <t>Table C-1</t>
  </si>
  <si>
    <t>Construction Equipment Emission Factors</t>
  </si>
  <si>
    <t>Table C-2</t>
  </si>
  <si>
    <t>Construction Equipment Emissions</t>
  </si>
  <si>
    <t>Table C-3</t>
  </si>
  <si>
    <t>Table C-4</t>
  </si>
  <si>
    <t>Table C-5</t>
  </si>
  <si>
    <t>Table C-6</t>
  </si>
  <si>
    <t>On-site/Off-site Construction Vehicle Emissions - Phase 1</t>
  </si>
  <si>
    <t>Table C-7</t>
  </si>
  <si>
    <t>On-site/Off-site Construction Vehicle Emissions - Phase 2</t>
  </si>
  <si>
    <t>Table C-8</t>
  </si>
  <si>
    <t>On-site/Off-site Construction Vehicle Emissions -  Phase 3</t>
  </si>
  <si>
    <t>Table C-9</t>
  </si>
  <si>
    <t>On-site/Off-site Construction Vehicle Emissions -  Phase 4</t>
  </si>
  <si>
    <t>Table C-10</t>
  </si>
  <si>
    <t>Table C-11</t>
  </si>
  <si>
    <t>Table C-12</t>
  </si>
  <si>
    <t>Table C-13</t>
  </si>
  <si>
    <t>Table C-14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</si>
</sst>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  <numFmt numFmtId="168" formatCode="0.0%"/>
    <numFmt numFmtId="169" formatCode="0.000000"/>
    <numFmt numFmtId="170" formatCode="#,##0.000"/>
    <numFmt numFmtId="171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Helv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0"/>
    </font>
    <font>
      <b/>
      <sz val="10"/>
      <name val="Arial Narrow"/>
      <family val="2"/>
    </font>
    <font>
      <sz val="6"/>
      <name val="Arial"/>
      <family val="2"/>
    </font>
    <font>
      <b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medium"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 style="double"/>
    </border>
    <border>
      <left style="thin"/>
      <right/>
      <top/>
      <bottom/>
    </border>
    <border>
      <left/>
      <right style="medium"/>
      <top style="medium"/>
      <bottom style="thin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medium"/>
    </border>
    <border>
      <left style="medium"/>
      <right style="medium"/>
      <top/>
      <bottom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2" fillId="33" borderId="21" xfId="0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2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3" borderId="23" xfId="0" applyFill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textRotation="180"/>
    </xf>
    <xf numFmtId="0" fontId="0" fillId="0" borderId="35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64" fontId="0" fillId="0" borderId="17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36" xfId="0" applyBorder="1" applyAlignment="1">
      <alignment horizontal="center"/>
    </xf>
    <xf numFmtId="164" fontId="0" fillId="0" borderId="10" xfId="0" applyNumberFormat="1" applyFill="1" applyBorder="1" applyAlignment="1">
      <alignment horizontal="right"/>
    </xf>
    <xf numFmtId="164" fontId="0" fillId="0" borderId="10" xfId="0" applyNumberFormat="1" applyFill="1" applyBorder="1" applyAlignment="1" quotePrefix="1">
      <alignment horizontal="right"/>
    </xf>
    <xf numFmtId="0" fontId="0" fillId="0" borderId="37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8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39" xfId="0" applyBorder="1" applyAlignment="1">
      <alignment wrapText="1"/>
    </xf>
    <xf numFmtId="167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167" fontId="0" fillId="0" borderId="12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0" xfId="0" applyFont="1" applyAlignment="1">
      <alignment textRotation="180"/>
    </xf>
    <xf numFmtId="0" fontId="0" fillId="0" borderId="39" xfId="0" applyBorder="1" applyAlignment="1">
      <alignment/>
    </xf>
    <xf numFmtId="3" fontId="0" fillId="0" borderId="36" xfId="0" applyNumberFormat="1" applyBorder="1" applyAlignment="1">
      <alignment horizontal="center"/>
    </xf>
    <xf numFmtId="167" fontId="0" fillId="0" borderId="36" xfId="0" applyNumberFormat="1" applyBorder="1" applyAlignment="1">
      <alignment horizontal="center"/>
    </xf>
    <xf numFmtId="0" fontId="0" fillId="0" borderId="37" xfId="0" applyFont="1" applyBorder="1" applyAlignment="1">
      <alignment horizontal="center" wrapText="1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Border="1" applyAlignment="1">
      <alignment/>
    </xf>
    <xf numFmtId="3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0" fillId="0" borderId="0" xfId="0" applyAlignment="1">
      <alignment vertical="center" textRotation="180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7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64" fontId="0" fillId="0" borderId="19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168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 quotePrefix="1">
      <alignment horizontal="center"/>
    </xf>
    <xf numFmtId="168" fontId="0" fillId="0" borderId="10" xfId="0" applyNumberFormat="1" applyFill="1" applyBorder="1" applyAlignment="1" quotePrefix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45" xfId="0" applyFill="1" applyBorder="1" applyAlignment="1">
      <alignment/>
    </xf>
    <xf numFmtId="0" fontId="2" fillId="33" borderId="46" xfId="0" applyFont="1" applyFill="1" applyBorder="1" applyAlignment="1">
      <alignment horizontal="center"/>
    </xf>
    <xf numFmtId="0" fontId="0" fillId="33" borderId="47" xfId="0" applyFont="1" applyFill="1" applyBorder="1" applyAlignment="1">
      <alignment wrapText="1"/>
    </xf>
    <xf numFmtId="0" fontId="0" fillId="33" borderId="32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 horizontal="center" wrapText="1"/>
    </xf>
    <xf numFmtId="0" fontId="0" fillId="33" borderId="50" xfId="0" applyFill="1" applyBorder="1" applyAlignment="1">
      <alignment horizontal="center" wrapText="1"/>
    </xf>
    <xf numFmtId="0" fontId="0" fillId="33" borderId="51" xfId="0" applyFill="1" applyBorder="1" applyAlignment="1">
      <alignment horizontal="center" wrapText="1"/>
    </xf>
    <xf numFmtId="0" fontId="0" fillId="33" borderId="52" xfId="0" applyFill="1" applyBorder="1" applyAlignment="1">
      <alignment horizontal="center" wrapText="1"/>
    </xf>
    <xf numFmtId="0" fontId="0" fillId="33" borderId="47" xfId="0" applyFont="1" applyFill="1" applyBorder="1" applyAlignment="1">
      <alignment horizontal="center" wrapText="1"/>
    </xf>
    <xf numFmtId="0" fontId="0" fillId="33" borderId="47" xfId="0" applyFill="1" applyBorder="1" applyAlignment="1">
      <alignment horizontal="center" wrapText="1"/>
    </xf>
    <xf numFmtId="0" fontId="0" fillId="33" borderId="38" xfId="0" applyFill="1" applyBorder="1" applyAlignment="1">
      <alignment/>
    </xf>
    <xf numFmtId="0" fontId="0" fillId="33" borderId="22" xfId="0" applyFill="1" applyBorder="1" applyAlignment="1">
      <alignment horizontal="center" wrapText="1"/>
    </xf>
    <xf numFmtId="0" fontId="0" fillId="33" borderId="40" xfId="0" applyFill="1" applyBorder="1" applyAlignment="1">
      <alignment horizontal="center" wrapText="1"/>
    </xf>
    <xf numFmtId="0" fontId="0" fillId="33" borderId="38" xfId="0" applyFill="1" applyBorder="1" applyAlignment="1">
      <alignment wrapText="1"/>
    </xf>
    <xf numFmtId="0" fontId="0" fillId="33" borderId="53" xfId="0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167" fontId="0" fillId="0" borderId="19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20" xfId="0" applyNumberFormat="1" applyBorder="1" applyAlignment="1">
      <alignment/>
    </xf>
    <xf numFmtId="167" fontId="0" fillId="0" borderId="26" xfId="0" applyNumberFormat="1" applyBorder="1" applyAlignment="1">
      <alignment/>
    </xf>
    <xf numFmtId="167" fontId="0" fillId="0" borderId="24" xfId="0" applyNumberFormat="1" applyBorder="1" applyAlignment="1">
      <alignment/>
    </xf>
    <xf numFmtId="167" fontId="0" fillId="0" borderId="25" xfId="0" applyNumberFormat="1" applyBorder="1" applyAlignment="1">
      <alignment/>
    </xf>
    <xf numFmtId="167" fontId="2" fillId="0" borderId="55" xfId="0" applyNumberFormat="1" applyFont="1" applyBorder="1" applyAlignment="1">
      <alignment/>
    </xf>
    <xf numFmtId="167" fontId="2" fillId="0" borderId="56" xfId="0" applyNumberFormat="1" applyFont="1" applyBorder="1" applyAlignment="1">
      <alignment/>
    </xf>
    <xf numFmtId="167" fontId="2" fillId="0" borderId="56" xfId="0" applyNumberFormat="1" applyFont="1" applyFill="1" applyBorder="1" applyAlignment="1">
      <alignment/>
    </xf>
    <xf numFmtId="167" fontId="2" fillId="0" borderId="57" xfId="0" applyNumberFormat="1" applyFont="1" applyBorder="1" applyAlignment="1">
      <alignment/>
    </xf>
    <xf numFmtId="0" fontId="2" fillId="0" borderId="49" xfId="0" applyFont="1" applyBorder="1" applyAlignment="1">
      <alignment horizontal="center"/>
    </xf>
    <xf numFmtId="1" fontId="0" fillId="34" borderId="50" xfId="0" applyNumberForma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2" fontId="2" fillId="0" borderId="50" xfId="0" applyNumberFormat="1" applyFont="1" applyBorder="1" applyAlignment="1">
      <alignment horizontal="center"/>
    </xf>
    <xf numFmtId="2" fontId="2" fillId="0" borderId="58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71" fontId="0" fillId="0" borderId="36" xfId="0" applyNumberFormat="1" applyBorder="1" applyAlignment="1">
      <alignment horizontal="center"/>
    </xf>
    <xf numFmtId="171" fontId="0" fillId="0" borderId="41" xfId="0" applyNumberFormat="1" applyBorder="1" applyAlignment="1">
      <alignment horizontal="center"/>
    </xf>
    <xf numFmtId="167" fontId="0" fillId="0" borderId="36" xfId="0" applyNumberFormat="1" applyFill="1" applyBorder="1" applyAlignment="1">
      <alignment horizontal="center"/>
    </xf>
    <xf numFmtId="167" fontId="0" fillId="0" borderId="37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167" fontId="0" fillId="0" borderId="10" xfId="0" applyNumberFormat="1" applyBorder="1" applyAlignment="1">
      <alignment/>
    </xf>
    <xf numFmtId="0" fontId="2" fillId="33" borderId="5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167" fontId="2" fillId="0" borderId="49" xfId="0" applyNumberFormat="1" applyFont="1" applyBorder="1" applyAlignment="1">
      <alignment/>
    </xf>
    <xf numFmtId="167" fontId="2" fillId="0" borderId="50" xfId="0" applyNumberFormat="1" applyFont="1" applyBorder="1" applyAlignment="1">
      <alignment/>
    </xf>
    <xf numFmtId="167" fontId="2" fillId="0" borderId="50" xfId="0" applyNumberFormat="1" applyFont="1" applyFill="1" applyBorder="1" applyAlignment="1">
      <alignment/>
    </xf>
    <xf numFmtId="167" fontId="2" fillId="0" borderId="52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3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0" fillId="0" borderId="38" xfId="0" applyFont="1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9" fontId="0" fillId="0" borderId="10" xfId="0" applyNumberFormat="1" applyBorder="1" applyAlignment="1">
      <alignment horizontal="center" wrapText="1"/>
    </xf>
    <xf numFmtId="167" fontId="0" fillId="0" borderId="18" xfId="0" applyNumberForma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166" fontId="0" fillId="0" borderId="10" xfId="0" applyNumberFormat="1" applyBorder="1" applyAlignment="1">
      <alignment horizontal="center" wrapText="1"/>
    </xf>
    <xf numFmtId="0" fontId="2" fillId="0" borderId="63" xfId="0" applyFont="1" applyBorder="1" applyAlignment="1">
      <alignment wrapText="1"/>
    </xf>
    <xf numFmtId="167" fontId="2" fillId="0" borderId="64" xfId="0" applyNumberFormat="1" applyFont="1" applyBorder="1" applyAlignment="1">
      <alignment horizontal="center" wrapText="1"/>
    </xf>
    <xf numFmtId="0" fontId="10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Fill="1" applyBorder="1" applyAlignment="1">
      <alignment horizontal="left" indent="3"/>
    </xf>
    <xf numFmtId="0" fontId="10" fillId="0" borderId="0" xfId="0" applyFont="1" applyFill="1" applyBorder="1" applyAlignment="1">
      <alignment horizontal="left" indent="5"/>
    </xf>
    <xf numFmtId="166" fontId="0" fillId="0" borderId="0" xfId="0" applyNumberFormat="1" applyBorder="1" applyAlignment="1">
      <alignment horizontal="center" wrapText="1"/>
    </xf>
    <xf numFmtId="0" fontId="10" fillId="0" borderId="0" xfId="0" applyFont="1" applyBorder="1" applyAlignment="1">
      <alignment horizontal="left" indent="5"/>
    </xf>
    <xf numFmtId="0" fontId="2" fillId="34" borderId="65" xfId="0" applyFont="1" applyFill="1" applyBorder="1" applyAlignment="1">
      <alignment wrapText="1"/>
    </xf>
    <xf numFmtId="165" fontId="12" fillId="34" borderId="65" xfId="0" applyNumberFormat="1" applyFont="1" applyFill="1" applyBorder="1" applyAlignment="1">
      <alignment wrapText="1"/>
    </xf>
    <xf numFmtId="0" fontId="12" fillId="34" borderId="65" xfId="0" applyFont="1" applyFill="1" applyBorder="1" applyAlignment="1">
      <alignment wrapText="1"/>
    </xf>
    <xf numFmtId="0" fontId="0" fillId="0" borderId="31" xfId="0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0" borderId="66" xfId="0" applyBorder="1" applyAlignment="1">
      <alignment/>
    </xf>
    <xf numFmtId="0" fontId="10" fillId="0" borderId="66" xfId="0" applyFont="1" applyFill="1" applyBorder="1" applyAlignment="1">
      <alignment horizontal="left" indent="5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31" xfId="0" applyBorder="1" applyAlignment="1">
      <alignment/>
    </xf>
    <xf numFmtId="0" fontId="6" fillId="0" borderId="42" xfId="0" applyFont="1" applyBorder="1" applyAlignment="1">
      <alignment/>
    </xf>
    <xf numFmtId="0" fontId="0" fillId="0" borderId="42" xfId="0" applyBorder="1" applyAlignment="1">
      <alignment/>
    </xf>
    <xf numFmtId="0" fontId="6" fillId="0" borderId="0" xfId="0" applyFont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5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33" borderId="67" xfId="0" applyFont="1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0" borderId="70" xfId="0" applyBorder="1" applyAlignment="1">
      <alignment horizontal="left" vertical="center" textRotation="180"/>
    </xf>
    <xf numFmtId="0" fontId="0" fillId="0" borderId="36" xfId="0" applyBorder="1" applyAlignment="1">
      <alignment horizontal="center"/>
    </xf>
    <xf numFmtId="0" fontId="0" fillId="0" borderId="70" xfId="0" applyBorder="1" applyAlignment="1">
      <alignment textRotation="180"/>
    </xf>
    <xf numFmtId="0" fontId="0" fillId="33" borderId="67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10" fillId="0" borderId="29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37" xfId="0" applyBorder="1" applyAlignment="1">
      <alignment horizontal="center"/>
    </xf>
    <xf numFmtId="0" fontId="0" fillId="0" borderId="70" xfId="0" applyBorder="1" applyAlignment="1">
      <alignment vertical="center" textRotation="180"/>
    </xf>
    <xf numFmtId="0" fontId="6" fillId="0" borderId="31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2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6" fillId="0" borderId="31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0" fillId="0" borderId="66" xfId="0" applyBorder="1" applyAlignment="1">
      <alignment/>
    </xf>
    <xf numFmtId="0" fontId="0" fillId="0" borderId="0" xfId="0" applyBorder="1" applyAlignment="1">
      <alignment/>
    </xf>
    <xf numFmtId="0" fontId="2" fillId="0" borderId="7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nkCalx" xfId="59"/>
    <cellStyle name="Total" xfId="60"/>
    <cellStyle name="Warning Text" xfId="61"/>
  </cellStyles>
  <dxfs count="1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05\2105Appendix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rb\1936\POST%20PROJECT%20HRA\Project%20Emiss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50\2150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rb\1936\Ta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ssel GLC and Background Calcs"/>
      <sheetName val="Vessel Threshold Evaluation"/>
      <sheetName val="Vessel TAC Modeling Inputs"/>
    </sheetNames>
    <sheetDataSet>
      <sheetData sheetId="0">
        <row r="26">
          <cell r="D26">
            <v>11.64</v>
          </cell>
        </row>
      </sheetData>
      <sheetData sheetId="2">
        <row r="9">
          <cell r="B9">
            <v>11.68921</v>
          </cell>
          <cell r="G9">
            <v>1164</v>
          </cell>
          <cell r="H9">
            <v>58200</v>
          </cell>
        </row>
        <row r="10">
          <cell r="B10">
            <v>1.12075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ECIATION BY NUMBER"/>
      <sheetName val="Source Emissions &amp; Info"/>
      <sheetName val="Max Hourly Emissions (g s)"/>
      <sheetName val="Annual Project Emissions (g s)"/>
      <sheetName val="Max Hrly Project Emissions g s"/>
      <sheetName val="MTBE REMOVAL"/>
      <sheetName val="Truck Loading Rack"/>
      <sheetName val="Propylene Bullets"/>
      <sheetName val="FCCU Unit 61 Fugitives"/>
      <sheetName val="Lt Ends Rec NHT Unit 43 44 Fugs"/>
      <sheetName val="New Merox Treater Fugs"/>
      <sheetName val="Project Tanks"/>
      <sheetName val="Olefin Treater U60 Fugs Removed"/>
      <sheetName val="GOH Unit 58 Fugs Removed"/>
      <sheetName val="Platformer Unit 70 Fugs Removed"/>
      <sheetName val="Butamer Unit 69 Fugs Removed"/>
      <sheetName val="New Alky Unit Fugs Removed"/>
      <sheetName val="New SWS Fugs Removed"/>
      <sheetName val="New SRU Fugs Removed"/>
      <sheetName val="Combustion Emission Mods Remove"/>
      <sheetName val="Combustion Source Test Data"/>
      <sheetName val="H_B - Process Data"/>
      <sheetName val="Flare Flow Data"/>
      <sheetName val="Tail Gas Vent Increase"/>
      <sheetName val="Post Project Tanks - EFR"/>
      <sheetName val="Post Project Tanks - Fixed"/>
      <sheetName val="Baseline Tank VOCs"/>
    </sheetNames>
    <sheetDataSet>
      <sheetData sheetId="24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</v>
          </cell>
          <cell r="M1" t="str">
            <v>lb/yr Speciation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(122)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81TK3</v>
          </cell>
          <cell r="B2" t="str">
            <v>Refinery - CARB Diesel Base- 81TK3</v>
          </cell>
          <cell r="C2">
            <v>45</v>
          </cell>
          <cell r="D2">
            <v>0</v>
          </cell>
          <cell r="E2">
            <v>0</v>
          </cell>
          <cell r="F2">
            <v>3.7688827365677606</v>
          </cell>
          <cell r="G2">
            <v>202.7572293033149</v>
          </cell>
          <cell r="H2">
            <v>4.503996514373745</v>
          </cell>
          <cell r="I2">
            <v>0</v>
          </cell>
          <cell r="J2">
            <v>211.03010855425637</v>
          </cell>
          <cell r="P2">
            <v>0</v>
          </cell>
          <cell r="R2">
            <v>0</v>
          </cell>
          <cell r="T2">
            <v>0</v>
          </cell>
          <cell r="Y2">
            <v>0</v>
          </cell>
          <cell r="Z2">
            <v>0</v>
          </cell>
          <cell r="AE2">
            <v>0</v>
          </cell>
          <cell r="AK2">
            <v>0.014866157386771378</v>
          </cell>
          <cell r="AM2">
            <v>0</v>
          </cell>
          <cell r="AN2">
            <v>0</v>
          </cell>
          <cell r="AP2">
            <v>0</v>
          </cell>
          <cell r="AR2">
            <v>0</v>
          </cell>
          <cell r="AS2">
            <v>1.0766434247370003</v>
          </cell>
          <cell r="AT2">
            <v>1.222164952159984</v>
          </cell>
          <cell r="AW2">
            <v>0</v>
          </cell>
          <cell r="AX2">
            <v>0.301689774822631</v>
          </cell>
          <cell r="AY2">
            <v>1.6588865367511696</v>
          </cell>
          <cell r="AZ2">
            <v>0</v>
          </cell>
          <cell r="BA2">
            <v>0</v>
          </cell>
          <cell r="BC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</row>
        <row r="3">
          <cell r="A3" t="str">
            <v>82TK1</v>
          </cell>
          <cell r="B3" t="str">
            <v>Refinery - Gasoline (FCC)- 82TK1</v>
          </cell>
          <cell r="C3">
            <v>55</v>
          </cell>
          <cell r="D3">
            <v>0</v>
          </cell>
          <cell r="E3">
            <v>0</v>
          </cell>
          <cell r="F3">
            <v>1339.6359876045042</v>
          </cell>
          <cell r="G3">
            <v>174.5158357035294</v>
          </cell>
          <cell r="H3">
            <v>1265.5419274678356</v>
          </cell>
          <cell r="I3">
            <v>0</v>
          </cell>
          <cell r="J3">
            <v>2779.6937507758694</v>
          </cell>
          <cell r="P3">
            <v>0</v>
          </cell>
          <cell r="R3">
            <v>25.15622844452162</v>
          </cell>
          <cell r="T3">
            <v>0.13898468753879348</v>
          </cell>
          <cell r="Y3">
            <v>7.64415781463364</v>
          </cell>
          <cell r="Z3">
            <v>0</v>
          </cell>
          <cell r="AE3">
            <v>0</v>
          </cell>
          <cell r="AK3">
            <v>8.06111187725002</v>
          </cell>
          <cell r="AM3">
            <v>0</v>
          </cell>
          <cell r="AN3">
            <v>0</v>
          </cell>
          <cell r="AP3">
            <v>0.32244447509000085</v>
          </cell>
          <cell r="AR3">
            <v>1.3898468753879347</v>
          </cell>
          <cell r="AS3">
            <v>82.00096564788814</v>
          </cell>
          <cell r="AT3">
            <v>108.4080562802589</v>
          </cell>
          <cell r="AW3">
            <v>0</v>
          </cell>
          <cell r="AX3">
            <v>18.623948130198325</v>
          </cell>
          <cell r="AY3">
            <v>34.74617188469837</v>
          </cell>
          <cell r="AZ3">
            <v>0</v>
          </cell>
          <cell r="BA3">
            <v>3.82207890731682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82TK2</v>
          </cell>
          <cell r="B4" t="str">
            <v>Refinery - Alkylate - 82TK2</v>
          </cell>
          <cell r="C4">
            <v>58</v>
          </cell>
          <cell r="D4">
            <v>0</v>
          </cell>
          <cell r="E4">
            <v>0</v>
          </cell>
          <cell r="F4">
            <v>1339.6359876045042</v>
          </cell>
          <cell r="G4">
            <v>132.8784450729412</v>
          </cell>
          <cell r="H4">
            <v>1176.1122163545185</v>
          </cell>
          <cell r="I4">
            <v>0</v>
          </cell>
          <cell r="J4">
            <v>2648.626649031964</v>
          </cell>
          <cell r="P4">
            <v>0</v>
          </cell>
          <cell r="R4">
            <v>19.86469986773973</v>
          </cell>
          <cell r="T4">
            <v>0.13243133245159822</v>
          </cell>
          <cell r="Y4">
            <v>7.283723284837901</v>
          </cell>
          <cell r="Z4">
            <v>0</v>
          </cell>
          <cell r="AE4">
            <v>0</v>
          </cell>
          <cell r="AK4">
            <v>5.1648219656123295</v>
          </cell>
          <cell r="AM4">
            <v>0</v>
          </cell>
          <cell r="AN4">
            <v>0</v>
          </cell>
          <cell r="AP4">
            <v>0.25294384498255257</v>
          </cell>
          <cell r="AR4">
            <v>1.5891759894191784</v>
          </cell>
          <cell r="AS4">
            <v>83.43173944450686</v>
          </cell>
          <cell r="AT4">
            <v>103.29643931224659</v>
          </cell>
          <cell r="AW4">
            <v>0</v>
          </cell>
          <cell r="AX4">
            <v>18.407955210772148</v>
          </cell>
          <cell r="AY4">
            <v>25.956541160513247</v>
          </cell>
          <cell r="AZ4">
            <v>0</v>
          </cell>
          <cell r="BA4">
            <v>3.6418616424189505</v>
          </cell>
          <cell r="BC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</row>
        <row r="5">
          <cell r="A5" t="str">
            <v>82TK3</v>
          </cell>
          <cell r="B5" t="str">
            <v>Refinery - Naphtha - 82TK3</v>
          </cell>
          <cell r="C5">
            <v>56</v>
          </cell>
          <cell r="D5">
            <v>0</v>
          </cell>
          <cell r="E5">
            <v>0</v>
          </cell>
          <cell r="F5">
            <v>1377.2433582481933</v>
          </cell>
          <cell r="G5">
            <v>166.11163776</v>
          </cell>
          <cell r="H5">
            <v>1209.1290122963078</v>
          </cell>
          <cell r="I5">
            <v>0</v>
          </cell>
          <cell r="J5">
            <v>2752.484008304501</v>
          </cell>
          <cell r="P5">
            <v>0</v>
          </cell>
          <cell r="R5">
            <v>65.92199199889279</v>
          </cell>
          <cell r="T5">
            <v>0.13762420041522505</v>
          </cell>
          <cell r="Y5">
            <v>8.257452024913503</v>
          </cell>
          <cell r="Z5">
            <v>0</v>
          </cell>
          <cell r="AE5">
            <v>0</v>
          </cell>
          <cell r="AK5">
            <v>0.8257452024913502</v>
          </cell>
          <cell r="AM5">
            <v>0</v>
          </cell>
          <cell r="AN5">
            <v>0</v>
          </cell>
          <cell r="AP5">
            <v>0.020643630062283758</v>
          </cell>
          <cell r="AR5">
            <v>0.8257452024913502</v>
          </cell>
          <cell r="AS5">
            <v>23.12086566975781</v>
          </cell>
          <cell r="AT5">
            <v>19.955509060207632</v>
          </cell>
          <cell r="AW5">
            <v>0</v>
          </cell>
          <cell r="AX5">
            <v>2.0643630062283758</v>
          </cell>
          <cell r="AY5">
            <v>191.29763857716284</v>
          </cell>
          <cell r="AZ5">
            <v>0</v>
          </cell>
          <cell r="BA5">
            <v>4.1287260124567515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82TK4</v>
          </cell>
          <cell r="B6" t="str">
            <v>Refinery - Gasoline - 82TK4</v>
          </cell>
          <cell r="C6">
            <v>54</v>
          </cell>
          <cell r="D6">
            <v>0</v>
          </cell>
          <cell r="E6">
            <v>0</v>
          </cell>
          <cell r="F6">
            <v>836.2879232138596</v>
          </cell>
          <cell r="G6">
            <v>189.919110079558</v>
          </cell>
          <cell r="H6">
            <v>868.5016275114637</v>
          </cell>
          <cell r="I6">
            <v>0</v>
          </cell>
          <cell r="J6">
            <v>1894.7086608048812</v>
          </cell>
          <cell r="P6">
            <v>0</v>
          </cell>
          <cell r="R6">
            <v>0.5210448817213423</v>
          </cell>
          <cell r="T6">
            <v>0.09473543304024407</v>
          </cell>
          <cell r="Y6">
            <v>5.210448817213423</v>
          </cell>
          <cell r="Z6">
            <v>0</v>
          </cell>
          <cell r="AE6">
            <v>0</v>
          </cell>
          <cell r="AK6">
            <v>0.5210448817213423</v>
          </cell>
          <cell r="AM6">
            <v>0</v>
          </cell>
          <cell r="AN6">
            <v>0</v>
          </cell>
          <cell r="AP6">
            <v>0.009473543304024407</v>
          </cell>
          <cell r="AR6">
            <v>0.5210448817213423</v>
          </cell>
          <cell r="AS6">
            <v>0.5210448817213423</v>
          </cell>
          <cell r="AT6">
            <v>0.5210448817213423</v>
          </cell>
          <cell r="AW6">
            <v>0</v>
          </cell>
          <cell r="AX6">
            <v>0.5210448817213423</v>
          </cell>
          <cell r="AY6">
            <v>2.6052244086067113</v>
          </cell>
          <cell r="AZ6">
            <v>0</v>
          </cell>
          <cell r="BA6">
            <v>2.6052244086067113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82TK7</v>
          </cell>
          <cell r="B7" t="str">
            <v>Refinery - LCO - 82TK7</v>
          </cell>
          <cell r="C7">
            <v>46</v>
          </cell>
          <cell r="D7">
            <v>0</v>
          </cell>
          <cell r="E7">
            <v>0</v>
          </cell>
          <cell r="F7">
            <v>1.3278118802837584</v>
          </cell>
          <cell r="G7">
            <v>0.916053775</v>
          </cell>
          <cell r="H7">
            <v>3.8992820338223155</v>
          </cell>
          <cell r="I7">
            <v>0</v>
          </cell>
          <cell r="J7">
            <v>6.143147689106074</v>
          </cell>
          <cell r="P7">
            <v>0</v>
          </cell>
          <cell r="R7">
            <v>0.07009139624146497</v>
          </cell>
          <cell r="T7">
            <v>0</v>
          </cell>
          <cell r="Y7">
            <v>0</v>
          </cell>
          <cell r="Z7">
            <v>0</v>
          </cell>
          <cell r="AE7">
            <v>0</v>
          </cell>
          <cell r="AK7">
            <v>0.008231699428097239</v>
          </cell>
          <cell r="AM7">
            <v>0</v>
          </cell>
          <cell r="AN7">
            <v>0</v>
          </cell>
          <cell r="AP7">
            <v>0</v>
          </cell>
          <cell r="AR7">
            <v>0</v>
          </cell>
          <cell r="AS7">
            <v>0.2733991282276369</v>
          </cell>
          <cell r="AT7">
            <v>0.3126267329096806</v>
          </cell>
          <cell r="AW7">
            <v>0</v>
          </cell>
          <cell r="AX7">
            <v>0.05268033569185068</v>
          </cell>
          <cell r="AY7">
            <v>0.5458378915219958</v>
          </cell>
          <cell r="AZ7">
            <v>0</v>
          </cell>
          <cell r="BA7">
            <v>0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82TK8</v>
          </cell>
          <cell r="B8" t="str">
            <v>Refinery - Diesel - 82TK8</v>
          </cell>
          <cell r="C8">
            <v>46</v>
          </cell>
          <cell r="D8">
            <v>0</v>
          </cell>
          <cell r="E8">
            <v>0</v>
          </cell>
          <cell r="F8">
            <v>1.0385961315279244</v>
          </cell>
          <cell r="G8">
            <v>8.5385703125</v>
          </cell>
          <cell r="H8">
            <v>3.0499646043223687</v>
          </cell>
          <cell r="I8">
            <v>0</v>
          </cell>
          <cell r="J8">
            <v>12.627131048350293</v>
          </cell>
          <cell r="P8">
            <v>0</v>
          </cell>
          <cell r="R8">
            <v>0.14407162101479848</v>
          </cell>
          <cell r="T8">
            <v>0</v>
          </cell>
          <cell r="Y8">
            <v>0</v>
          </cell>
          <cell r="Z8">
            <v>0</v>
          </cell>
          <cell r="AE8">
            <v>0</v>
          </cell>
          <cell r="AK8">
            <v>0.016920112080902827</v>
          </cell>
          <cell r="AM8">
            <v>0</v>
          </cell>
          <cell r="AN8">
            <v>0</v>
          </cell>
          <cell r="AP8">
            <v>0</v>
          </cell>
          <cell r="AR8">
            <v>0</v>
          </cell>
          <cell r="AS8">
            <v>0.5619670558722077</v>
          </cell>
          <cell r="AT8">
            <v>0.6425987010972509</v>
          </cell>
          <cell r="AW8">
            <v>0</v>
          </cell>
          <cell r="AX8">
            <v>0.108283495060963</v>
          </cell>
          <cell r="AY8">
            <v>1.12196009866831</v>
          </cell>
          <cell r="AZ8">
            <v>0</v>
          </cell>
          <cell r="BA8">
            <v>0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82TK9</v>
          </cell>
          <cell r="B9" t="str">
            <v>Refinery - High Octane Blend - 82TK9</v>
          </cell>
          <cell r="C9">
            <v>93</v>
          </cell>
          <cell r="D9">
            <v>0</v>
          </cell>
          <cell r="E9">
            <v>0</v>
          </cell>
          <cell r="F9">
            <v>3450.356204171749</v>
          </cell>
          <cell r="G9">
            <v>196.33871064</v>
          </cell>
          <cell r="H9">
            <v>1395.3672595262888</v>
          </cell>
          <cell r="I9">
            <v>0</v>
          </cell>
          <cell r="J9">
            <v>5042.062174338038</v>
          </cell>
          <cell r="P9">
            <v>0</v>
          </cell>
          <cell r="R9">
            <v>0</v>
          </cell>
          <cell r="T9">
            <v>0</v>
          </cell>
          <cell r="Y9">
            <v>0</v>
          </cell>
          <cell r="Z9">
            <v>0</v>
          </cell>
          <cell r="AE9">
            <v>0</v>
          </cell>
          <cell r="AK9">
            <v>0</v>
          </cell>
          <cell r="AM9">
            <v>0</v>
          </cell>
          <cell r="AN9">
            <v>0</v>
          </cell>
          <cell r="AP9">
            <v>0</v>
          </cell>
          <cell r="AR9">
            <v>0</v>
          </cell>
          <cell r="AS9">
            <v>0</v>
          </cell>
          <cell r="AT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94TK900</v>
          </cell>
          <cell r="B10" t="str">
            <v>Refinery - Distillate Feed - 94TK900</v>
          </cell>
          <cell r="C10">
            <v>103</v>
          </cell>
          <cell r="D10">
            <v>0</v>
          </cell>
          <cell r="E10">
            <v>0</v>
          </cell>
          <cell r="F10">
            <v>245.45592388019372</v>
          </cell>
          <cell r="G10">
            <v>323.683787755102</v>
          </cell>
          <cell r="H10">
            <v>88.83451749735347</v>
          </cell>
          <cell r="I10">
            <v>0</v>
          </cell>
          <cell r="J10">
            <v>657.9742291326492</v>
          </cell>
          <cell r="P10">
            <v>0</v>
          </cell>
          <cell r="R10">
            <v>2.650569859912485</v>
          </cell>
          <cell r="T10">
            <v>0</v>
          </cell>
          <cell r="Y10">
            <v>0</v>
          </cell>
          <cell r="Z10">
            <v>0</v>
          </cell>
          <cell r="AE10">
            <v>0</v>
          </cell>
          <cell r="AK10">
            <v>0.0043993618198271975</v>
          </cell>
          <cell r="AM10">
            <v>0</v>
          </cell>
          <cell r="AN10">
            <v>0</v>
          </cell>
          <cell r="AP10">
            <v>0</v>
          </cell>
          <cell r="AR10">
            <v>0</v>
          </cell>
          <cell r="AS10">
            <v>3.1327350474686493</v>
          </cell>
          <cell r="AT10">
            <v>1.4927405831812002</v>
          </cell>
          <cell r="AW10">
            <v>0</v>
          </cell>
          <cell r="AX10">
            <v>0.6090955991213034</v>
          </cell>
          <cell r="AY10">
            <v>14.373001054318093</v>
          </cell>
          <cell r="AZ10">
            <v>0</v>
          </cell>
          <cell r="BA10">
            <v>0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94TK9001</v>
          </cell>
          <cell r="B11" t="str">
            <v>Refinery - RGO - 94TK9001</v>
          </cell>
          <cell r="C11">
            <v>49</v>
          </cell>
          <cell r="D11">
            <v>0</v>
          </cell>
          <cell r="E11">
            <v>0</v>
          </cell>
          <cell r="F11">
            <v>33.363692060863514</v>
          </cell>
          <cell r="G11">
            <v>585.4877918552036</v>
          </cell>
          <cell r="H11">
            <v>30.469622454873758</v>
          </cell>
          <cell r="I11">
            <v>0</v>
          </cell>
          <cell r="J11">
            <v>649.3211063709408</v>
          </cell>
          <cell r="P11">
            <v>0</v>
          </cell>
          <cell r="R11">
            <v>0.5052456255285169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0.0034163866489531564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0.29177568832845174</v>
          </cell>
          <cell r="AT11">
            <v>0.15114347600646466</v>
          </cell>
          <cell r="AW11">
            <v>0</v>
          </cell>
          <cell r="AX11">
            <v>0.03812705576351559</v>
          </cell>
          <cell r="AY11">
            <v>178.25946337204468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94TK9002</v>
          </cell>
          <cell r="B12" t="str">
            <v>Refinery - HTGO- 94TK9002</v>
          </cell>
          <cell r="C12">
            <v>50</v>
          </cell>
          <cell r="D12">
            <v>0</v>
          </cell>
          <cell r="E12">
            <v>0</v>
          </cell>
          <cell r="F12">
            <v>8.779918963385136</v>
          </cell>
          <cell r="G12">
            <v>619.3589864253394</v>
          </cell>
          <cell r="H12">
            <v>8.038618525239324</v>
          </cell>
          <cell r="I12">
            <v>0</v>
          </cell>
          <cell r="J12">
            <v>636.1775239139639</v>
          </cell>
          <cell r="P12">
            <v>0</v>
          </cell>
          <cell r="R12">
            <v>0.25447100956558555</v>
          </cell>
          <cell r="T12">
            <v>0.00318088761956982</v>
          </cell>
          <cell r="Y12">
            <v>0.6361775239139639</v>
          </cell>
          <cell r="Z12">
            <v>0</v>
          </cell>
          <cell r="AE12">
            <v>0</v>
          </cell>
          <cell r="AK12">
            <v>0.06361775239139639</v>
          </cell>
          <cell r="AM12">
            <v>0</v>
          </cell>
          <cell r="AN12">
            <v>0</v>
          </cell>
          <cell r="AP12">
            <v>0.00318088761956982</v>
          </cell>
          <cell r="AR12">
            <v>0.06361775239139639</v>
          </cell>
          <cell r="AS12">
            <v>0.28627988576128377</v>
          </cell>
          <cell r="AT12">
            <v>0.19085325717418916</v>
          </cell>
          <cell r="AW12">
            <v>0</v>
          </cell>
          <cell r="AX12">
            <v>0.06361775239139639</v>
          </cell>
          <cell r="AY12">
            <v>0.31808876195698194</v>
          </cell>
          <cell r="AZ12">
            <v>0</v>
          </cell>
          <cell r="BA12">
            <v>0.31808876195698194</v>
          </cell>
          <cell r="BC12">
            <v>0</v>
          </cell>
          <cell r="BI12">
            <v>0.00636177523913964</v>
          </cell>
          <cell r="BJ12">
            <v>0</v>
          </cell>
          <cell r="BK12">
            <v>0</v>
          </cell>
          <cell r="BL12">
            <v>0</v>
          </cell>
          <cell r="BM12">
            <v>0.04135153905440765</v>
          </cell>
          <cell r="BN12">
            <v>0.019085325717418916</v>
          </cell>
          <cell r="BO12">
            <v>0.015904438097849097</v>
          </cell>
        </row>
        <row r="13">
          <cell r="A13" t="str">
            <v>94TK9003</v>
          </cell>
          <cell r="B13" t="str">
            <v>Refinery - Diesel - 94TK9003</v>
          </cell>
          <cell r="C13">
            <v>37</v>
          </cell>
          <cell r="D13">
            <v>0</v>
          </cell>
          <cell r="E13">
            <v>0</v>
          </cell>
          <cell r="F13">
            <v>207.03771496349697</v>
          </cell>
          <cell r="G13">
            <v>313.55070398117647</v>
          </cell>
          <cell r="H13">
            <v>188.98364105990268</v>
          </cell>
          <cell r="I13">
            <v>0</v>
          </cell>
          <cell r="J13">
            <v>709.5720600045761</v>
          </cell>
          <cell r="P13">
            <v>0</v>
          </cell>
          <cell r="R13">
            <v>0.49670044200320324</v>
          </cell>
          <cell r="T13">
            <v>0.019513231650125844</v>
          </cell>
          <cell r="Y13">
            <v>0.7095720600045761</v>
          </cell>
          <cell r="Z13">
            <v>0</v>
          </cell>
          <cell r="AE13">
            <v>0</v>
          </cell>
          <cell r="AK13">
            <v>0.07095720600045761</v>
          </cell>
          <cell r="AM13">
            <v>0</v>
          </cell>
          <cell r="AN13">
            <v>0</v>
          </cell>
          <cell r="AP13">
            <v>0.0035478603000228806</v>
          </cell>
          <cell r="AR13">
            <v>0.07095720600045761</v>
          </cell>
          <cell r="AS13">
            <v>1.4191441200091521</v>
          </cell>
          <cell r="AT13">
            <v>1.4901013260096097</v>
          </cell>
          <cell r="AW13">
            <v>0</v>
          </cell>
          <cell r="AX13">
            <v>0.4612218390029744</v>
          </cell>
          <cell r="AY13">
            <v>3.5478603000228803</v>
          </cell>
          <cell r="AZ13">
            <v>0</v>
          </cell>
          <cell r="BA13">
            <v>0.35478603000228803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0.01064358090006864</v>
          </cell>
        </row>
        <row r="14">
          <cell r="A14" t="str">
            <v>94TK9004</v>
          </cell>
          <cell r="B14" t="str">
            <v>Refinery - Diesel - 94TK9004</v>
          </cell>
          <cell r="C14">
            <v>45</v>
          </cell>
          <cell r="D14">
            <v>0</v>
          </cell>
          <cell r="E14">
            <v>0</v>
          </cell>
          <cell r="F14">
            <v>12.408317592751747</v>
          </cell>
          <cell r="G14">
            <v>291.0627932717647</v>
          </cell>
          <cell r="H14">
            <v>6.850694886862567</v>
          </cell>
          <cell r="I14">
            <v>0</v>
          </cell>
          <cell r="J14">
            <v>310.32180575137903</v>
          </cell>
          <cell r="P14">
            <v>0</v>
          </cell>
          <cell r="R14">
            <v>0</v>
          </cell>
          <cell r="T14">
            <v>0</v>
          </cell>
          <cell r="Y14">
            <v>0</v>
          </cell>
          <cell r="Z14">
            <v>0</v>
          </cell>
          <cell r="AE14">
            <v>0</v>
          </cell>
          <cell r="AK14">
            <v>0.021860827521021753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1.5832145185521496</v>
          </cell>
          <cell r="AT14">
            <v>1.797205325243076</v>
          </cell>
          <cell r="AW14">
            <v>0</v>
          </cell>
          <cell r="AX14">
            <v>0.4436377175800751</v>
          </cell>
          <cell r="AY14">
            <v>2.4394086187418176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94TK9005</v>
          </cell>
          <cell r="B15" t="str">
            <v>Refinery - RGO - 94TK9005</v>
          </cell>
          <cell r="C15">
            <v>49</v>
          </cell>
          <cell r="D15">
            <v>0</v>
          </cell>
          <cell r="E15">
            <v>0</v>
          </cell>
          <cell r="F15">
            <v>23.550841454727184</v>
          </cell>
          <cell r="G15">
            <v>647.13375</v>
          </cell>
          <cell r="H15">
            <v>29.685513984587512</v>
          </cell>
          <cell r="I15">
            <v>0</v>
          </cell>
          <cell r="J15">
            <v>700.3701054393147</v>
          </cell>
          <cell r="P15">
            <v>0</v>
          </cell>
          <cell r="R15">
            <v>0.5449675492636907</v>
          </cell>
          <cell r="T15">
            <v>0</v>
          </cell>
          <cell r="Y15">
            <v>0</v>
          </cell>
          <cell r="Z15">
            <v>0</v>
          </cell>
          <cell r="AE15">
            <v>0</v>
          </cell>
          <cell r="AK15">
            <v>0.003684979671955835</v>
          </cell>
          <cell r="AM15">
            <v>0</v>
          </cell>
          <cell r="AN15">
            <v>0</v>
          </cell>
          <cell r="AP15">
            <v>0</v>
          </cell>
          <cell r="AR15">
            <v>0</v>
          </cell>
          <cell r="AS15">
            <v>0.3147148115072757</v>
          </cell>
          <cell r="AT15">
            <v>0.16302623030189797</v>
          </cell>
          <cell r="AW15">
            <v>0</v>
          </cell>
          <cell r="AX15">
            <v>0.041124568111496534</v>
          </cell>
          <cell r="AY15">
            <v>192.27405043893998</v>
          </cell>
          <cell r="AZ15">
            <v>0</v>
          </cell>
          <cell r="BA15">
            <v>0</v>
          </cell>
          <cell r="BC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</row>
        <row r="16">
          <cell r="A16" t="str">
            <v>94TK9006</v>
          </cell>
          <cell r="B16" t="str">
            <v>Refinery - Diesel - 94TK9006</v>
          </cell>
          <cell r="C16">
            <v>45</v>
          </cell>
          <cell r="D16">
            <v>0</v>
          </cell>
          <cell r="E16">
            <v>0</v>
          </cell>
          <cell r="F16">
            <v>6.496637645354372</v>
          </cell>
          <cell r="G16">
            <v>282.6290833538461</v>
          </cell>
          <cell r="H16">
            <v>5.388499258739743</v>
          </cell>
          <cell r="I16">
            <v>0</v>
          </cell>
          <cell r="J16">
            <v>294.5142202579402</v>
          </cell>
          <cell r="P16">
            <v>0</v>
          </cell>
          <cell r="R16">
            <v>0</v>
          </cell>
          <cell r="T16">
            <v>0</v>
          </cell>
          <cell r="Y16">
            <v>0</v>
          </cell>
          <cell r="Z16">
            <v>0</v>
          </cell>
          <cell r="AE16">
            <v>0</v>
          </cell>
          <cell r="AK16">
            <v>0.020747251569892076</v>
          </cell>
          <cell r="AM16">
            <v>0</v>
          </cell>
          <cell r="AN16">
            <v>0</v>
          </cell>
          <cell r="AP16">
            <v>0</v>
          </cell>
          <cell r="AR16">
            <v>0</v>
          </cell>
          <cell r="AS16">
            <v>1.502566628546903</v>
          </cell>
          <cell r="AT16">
            <v>1.7056568864884876</v>
          </cell>
          <cell r="AW16">
            <v>0</v>
          </cell>
          <cell r="AX16">
            <v>0.4210391085916382</v>
          </cell>
          <cell r="AY16">
            <v>2.3151467732011053</v>
          </cell>
          <cell r="AZ16">
            <v>0</v>
          </cell>
          <cell r="BA16">
            <v>0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</row>
        <row r="17">
          <cell r="A17" t="str">
            <v>94TK9007</v>
          </cell>
          <cell r="B17" t="str">
            <v>Refinery - Crude Oil - 94TK9007</v>
          </cell>
          <cell r="C17">
            <v>37</v>
          </cell>
          <cell r="D17">
            <v>0</v>
          </cell>
          <cell r="E17">
            <v>0</v>
          </cell>
          <cell r="F17">
            <v>327.2007809030952</v>
          </cell>
          <cell r="G17">
            <v>943.7628322451612</v>
          </cell>
          <cell r="H17">
            <v>261.09844789120706</v>
          </cell>
          <cell r="I17">
            <v>0</v>
          </cell>
          <cell r="J17">
            <v>1532.0620610394635</v>
          </cell>
          <cell r="P17">
            <v>0</v>
          </cell>
          <cell r="R17">
            <v>1.0724434427276244</v>
          </cell>
          <cell r="T17">
            <v>0.04213170667858525</v>
          </cell>
          <cell r="Y17">
            <v>1.5320620610394635</v>
          </cell>
          <cell r="Z17">
            <v>0</v>
          </cell>
          <cell r="AE17">
            <v>0</v>
          </cell>
          <cell r="AK17">
            <v>0.15320620610394636</v>
          </cell>
          <cell r="AM17">
            <v>0</v>
          </cell>
          <cell r="AN17">
            <v>0</v>
          </cell>
          <cell r="AP17">
            <v>0.007660310305197318</v>
          </cell>
          <cell r="AR17">
            <v>0.15320620610394636</v>
          </cell>
          <cell r="AS17">
            <v>3.064124122078927</v>
          </cell>
          <cell r="AT17">
            <v>3.2173303281828733</v>
          </cell>
          <cell r="AW17">
            <v>0</v>
          </cell>
          <cell r="AX17">
            <v>0.9958403396756512</v>
          </cell>
          <cell r="AY17">
            <v>7.660310305197318</v>
          </cell>
          <cell r="AZ17">
            <v>0</v>
          </cell>
          <cell r="BA17">
            <v>0.7660310305197318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0.022980930915591953</v>
          </cell>
        </row>
        <row r="18">
          <cell r="A18" t="str">
            <v>94TK9008</v>
          </cell>
          <cell r="B18" t="str">
            <v>Refinery - Reformate - 94TK9008</v>
          </cell>
          <cell r="C18">
            <v>44</v>
          </cell>
          <cell r="D18">
            <v>0</v>
          </cell>
          <cell r="E18">
            <v>0</v>
          </cell>
          <cell r="F18">
            <v>366.2823396869154</v>
          </cell>
          <cell r="G18">
            <v>137.84359967529412</v>
          </cell>
          <cell r="H18">
            <v>334.34183825965164</v>
          </cell>
          <cell r="I18">
            <v>0</v>
          </cell>
          <cell r="J18">
            <v>838.4677776218612</v>
          </cell>
          <cell r="P18">
            <v>0</v>
          </cell>
          <cell r="R18">
            <v>3.7310013134906783</v>
          </cell>
          <cell r="T18">
            <v>0</v>
          </cell>
          <cell r="Y18">
            <v>0</v>
          </cell>
          <cell r="Z18">
            <v>0</v>
          </cell>
          <cell r="AE18">
            <v>0</v>
          </cell>
          <cell r="AK18">
            <v>0.0022286481947861835</v>
          </cell>
          <cell r="AM18">
            <v>0</v>
          </cell>
          <cell r="AN18">
            <v>0</v>
          </cell>
          <cell r="AP18">
            <v>0</v>
          </cell>
          <cell r="AR18">
            <v>0</v>
          </cell>
          <cell r="AS18">
            <v>48.31281874313883</v>
          </cell>
          <cell r="AT18">
            <v>16.13225822276163</v>
          </cell>
          <cell r="AW18">
            <v>0</v>
          </cell>
          <cell r="AX18">
            <v>3.565328287869129</v>
          </cell>
          <cell r="AY18">
            <v>0.1134982343216909</v>
          </cell>
          <cell r="AZ18">
            <v>0</v>
          </cell>
          <cell r="BA18">
            <v>0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A19" t="str">
            <v>94TK9009</v>
          </cell>
          <cell r="B19" t="str">
            <v>Refinery - Crude Oil - 94TK9009</v>
          </cell>
          <cell r="C19">
            <v>37</v>
          </cell>
          <cell r="D19">
            <v>0</v>
          </cell>
          <cell r="E19">
            <v>0</v>
          </cell>
          <cell r="F19">
            <v>327.2007809030952</v>
          </cell>
          <cell r="G19">
            <v>807.8621649498759</v>
          </cell>
          <cell r="H19">
            <v>247.71839629618427</v>
          </cell>
          <cell r="I19">
            <v>0</v>
          </cell>
          <cell r="J19">
            <v>1382.7813421491553</v>
          </cell>
          <cell r="P19">
            <v>0</v>
          </cell>
          <cell r="R19">
            <v>0.9679469395044087</v>
          </cell>
          <cell r="T19">
            <v>0.03802648690910177</v>
          </cell>
          <cell r="Y19">
            <v>1.3827813421491553</v>
          </cell>
          <cell r="Z19">
            <v>0</v>
          </cell>
          <cell r="AE19">
            <v>0</v>
          </cell>
          <cell r="AK19">
            <v>0.13827813421491553</v>
          </cell>
          <cell r="AM19">
            <v>0</v>
          </cell>
          <cell r="AN19">
            <v>0</v>
          </cell>
          <cell r="AP19">
            <v>0.006913906710745777</v>
          </cell>
          <cell r="AR19">
            <v>0.13827813421491553</v>
          </cell>
          <cell r="AS19">
            <v>2.7655626842983105</v>
          </cell>
          <cell r="AT19">
            <v>2.903840818513226</v>
          </cell>
          <cell r="AW19">
            <v>0</v>
          </cell>
          <cell r="AX19">
            <v>0.8988078723969509</v>
          </cell>
          <cell r="AY19">
            <v>6.913906710745777</v>
          </cell>
          <cell r="AZ19">
            <v>0</v>
          </cell>
          <cell r="BA19">
            <v>0.6913906710745776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0.02074172013223733</v>
          </cell>
        </row>
        <row r="20">
          <cell r="A20" t="str">
            <v>94TK901</v>
          </cell>
          <cell r="B20" t="str">
            <v>Refinery - Distillate Feed - 94TK901</v>
          </cell>
          <cell r="C20">
            <v>103</v>
          </cell>
          <cell r="D20">
            <v>0</v>
          </cell>
          <cell r="E20">
            <v>0</v>
          </cell>
          <cell r="F20">
            <v>61.091899392099954</v>
          </cell>
          <cell r="G20">
            <v>23.39063605278158</v>
          </cell>
          <cell r="H20">
            <v>108.06668073538036</v>
          </cell>
          <cell r="I20">
            <v>0</v>
          </cell>
          <cell r="J20">
            <v>192.5492161802619</v>
          </cell>
          <cell r="P20">
            <v>0</v>
          </cell>
          <cell r="R20">
            <v>0.7756613045923487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0.0012874268209831685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0.916761859633436</v>
          </cell>
          <cell r="AT20">
            <v>0.4368347824669306</v>
          </cell>
          <cell r="AW20">
            <v>0</v>
          </cell>
          <cell r="AX20">
            <v>0.1782454008027872</v>
          </cell>
          <cell r="AY20">
            <v>4.206107115798741</v>
          </cell>
          <cell r="AZ20">
            <v>0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94TK9010</v>
          </cell>
          <cell r="B21" t="str">
            <v>Refinery - Jet Fuel - 94TK9010</v>
          </cell>
          <cell r="C21">
            <v>42</v>
          </cell>
          <cell r="D21">
            <v>0</v>
          </cell>
          <cell r="E21">
            <v>0</v>
          </cell>
          <cell r="F21">
            <v>3.257180905889836</v>
          </cell>
          <cell r="G21">
            <v>228.7794903994475</v>
          </cell>
          <cell r="H21">
            <v>3.744895206121823</v>
          </cell>
          <cell r="I21">
            <v>0</v>
          </cell>
          <cell r="J21">
            <v>235.78156651145915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5.322526008982683</v>
          </cell>
          <cell r="AT21">
            <v>8.764953384759643</v>
          </cell>
          <cell r="AW21">
            <v>0</v>
          </cell>
          <cell r="AX21">
            <v>2.002705047791683</v>
          </cell>
          <cell r="AY21">
            <v>2.346078458733651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94TK9011</v>
          </cell>
          <cell r="B22" t="str">
            <v>Refinery - Jet Fuel - 94TK9011</v>
          </cell>
          <cell r="C22">
            <v>42</v>
          </cell>
          <cell r="D22">
            <v>0</v>
          </cell>
          <cell r="E22">
            <v>0</v>
          </cell>
          <cell r="F22">
            <v>3.257180905889836</v>
          </cell>
          <cell r="G22">
            <v>158.03125352486185</v>
          </cell>
          <cell r="H22">
            <v>3.744895206121823</v>
          </cell>
          <cell r="I22">
            <v>0</v>
          </cell>
          <cell r="J22">
            <v>165.0333296368735</v>
          </cell>
          <cell r="P22">
            <v>0</v>
          </cell>
          <cell r="R22">
            <v>0</v>
          </cell>
          <cell r="T22">
            <v>0</v>
          </cell>
          <cell r="Y22">
            <v>0</v>
          </cell>
          <cell r="Z22">
            <v>0</v>
          </cell>
          <cell r="AE22">
            <v>0</v>
          </cell>
          <cell r="AK22">
            <v>0</v>
          </cell>
          <cell r="AM22">
            <v>0</v>
          </cell>
          <cell r="AN22">
            <v>0</v>
          </cell>
          <cell r="AP22">
            <v>0</v>
          </cell>
          <cell r="AR22">
            <v>0</v>
          </cell>
          <cell r="AS22">
            <v>3.725457432222893</v>
          </cell>
          <cell r="AT22">
            <v>6.134955597254321</v>
          </cell>
          <cell r="AW22">
            <v>0</v>
          </cell>
          <cell r="AX22">
            <v>1.4017765986026398</v>
          </cell>
          <cell r="AY22">
            <v>1.6421179372194112</v>
          </cell>
          <cell r="AZ22">
            <v>0</v>
          </cell>
          <cell r="BA22">
            <v>0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A23" t="str">
            <v>94TK9012</v>
          </cell>
          <cell r="B23" t="str">
            <v>Refinery - Distillate Feed- 94TK9012</v>
          </cell>
          <cell r="C23">
            <v>103</v>
          </cell>
          <cell r="D23">
            <v>0</v>
          </cell>
          <cell r="E23">
            <v>0</v>
          </cell>
          <cell r="F23">
            <v>136.6529328507499</v>
          </cell>
          <cell r="G23">
            <v>932.9709176470587</v>
          </cell>
          <cell r="H23">
            <v>176.3109768899566</v>
          </cell>
          <cell r="I23">
            <v>0</v>
          </cell>
          <cell r="J23">
            <v>1245.9348273877654</v>
          </cell>
          <cell r="P23">
            <v>0</v>
          </cell>
          <cell r="R23">
            <v>5.0190982483350375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0.008330596954881158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5.932122456778719</v>
          </cell>
          <cell r="AT23">
            <v>2.8266418326022755</v>
          </cell>
          <cell r="AW23">
            <v>0</v>
          </cell>
          <cell r="AX23">
            <v>1.1533786378749706</v>
          </cell>
          <cell r="AY23">
            <v>27.21660179801012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94TK9013</v>
          </cell>
          <cell r="B24" t="str">
            <v>Refinery - Naphtha -94TK9013</v>
          </cell>
          <cell r="C24">
            <v>47</v>
          </cell>
          <cell r="D24">
            <v>0</v>
          </cell>
          <cell r="E24">
            <v>0</v>
          </cell>
          <cell r="F24">
            <v>756.1336084499885</v>
          </cell>
          <cell r="G24">
            <v>238.620492</v>
          </cell>
          <cell r="H24">
            <v>1040.4217666050938</v>
          </cell>
          <cell r="I24">
            <v>0</v>
          </cell>
          <cell r="J24">
            <v>2035.1758670550823</v>
          </cell>
          <cell r="P24">
            <v>0</v>
          </cell>
          <cell r="R24">
            <v>12.312813995683248</v>
          </cell>
          <cell r="T24">
            <v>0.10175879335275412</v>
          </cell>
          <cell r="Y24">
            <v>5.596733634401476</v>
          </cell>
          <cell r="Z24">
            <v>0</v>
          </cell>
          <cell r="AE24">
            <v>0</v>
          </cell>
          <cell r="AK24">
            <v>0.5596733634401477</v>
          </cell>
          <cell r="AM24">
            <v>0</v>
          </cell>
          <cell r="AN24">
            <v>0</v>
          </cell>
          <cell r="AP24">
            <v>0.07224874328045543</v>
          </cell>
          <cell r="AR24">
            <v>0.7123115534692788</v>
          </cell>
          <cell r="AS24">
            <v>35.615577673463946</v>
          </cell>
          <cell r="AT24">
            <v>34.5979897399364</v>
          </cell>
          <cell r="AW24">
            <v>0</v>
          </cell>
          <cell r="AX24">
            <v>9.463567781806132</v>
          </cell>
          <cell r="AY24">
            <v>62.07286394518001</v>
          </cell>
          <cell r="AZ24">
            <v>0</v>
          </cell>
          <cell r="BA24">
            <v>2.798366817200738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</row>
        <row r="25">
          <cell r="A25" t="str">
            <v>94TK902</v>
          </cell>
          <cell r="B25" t="str">
            <v>Refinery - HCN - 94TK902</v>
          </cell>
          <cell r="C25">
            <v>43</v>
          </cell>
          <cell r="D25">
            <v>0</v>
          </cell>
          <cell r="E25">
            <v>0</v>
          </cell>
          <cell r="F25">
            <v>2.7310083834375614</v>
          </cell>
          <cell r="G25">
            <v>38.7298587</v>
          </cell>
          <cell r="H25">
            <v>3.755659208135904</v>
          </cell>
          <cell r="I25">
            <v>0</v>
          </cell>
          <cell r="J25">
            <v>45.216526291573466</v>
          </cell>
          <cell r="P25">
            <v>0</v>
          </cell>
          <cell r="R25">
            <v>0.009043305258314694</v>
          </cell>
          <cell r="T25">
            <v>0.00022608263145786734</v>
          </cell>
          <cell r="Y25">
            <v>0.022608263145786733</v>
          </cell>
          <cell r="Z25">
            <v>0</v>
          </cell>
          <cell r="AE25">
            <v>0</v>
          </cell>
          <cell r="AK25">
            <v>0.08591139995398958</v>
          </cell>
          <cell r="AM25">
            <v>0</v>
          </cell>
          <cell r="AN25">
            <v>0</v>
          </cell>
          <cell r="AP25">
            <v>0.00022608263145786734</v>
          </cell>
          <cell r="AR25">
            <v>0.0022608263145786735</v>
          </cell>
          <cell r="AS25">
            <v>0.02034743683120806</v>
          </cell>
          <cell r="AT25">
            <v>0.04973817892073081</v>
          </cell>
          <cell r="AW25">
            <v>0</v>
          </cell>
          <cell r="AX25">
            <v>0.011304131572893367</v>
          </cell>
          <cell r="AY25">
            <v>0.011304131572893367</v>
          </cell>
          <cell r="AZ25">
            <v>0</v>
          </cell>
          <cell r="BA25">
            <v>0.011304131572893367</v>
          </cell>
          <cell r="BC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</row>
        <row r="26">
          <cell r="A26" t="str">
            <v>94TK903</v>
          </cell>
          <cell r="B26" t="str">
            <v>Refinery - Distillate Feed- 94TK903</v>
          </cell>
          <cell r="C26">
            <v>48</v>
          </cell>
          <cell r="D26">
            <v>0</v>
          </cell>
          <cell r="E26">
            <v>0</v>
          </cell>
          <cell r="F26">
            <v>177.83031219891586</v>
          </cell>
          <cell r="G26">
            <v>199.06405329084504</v>
          </cell>
          <cell r="H26">
            <v>81.02146223918473</v>
          </cell>
          <cell r="I26">
            <v>0</v>
          </cell>
          <cell r="J26">
            <v>457.9158277289456</v>
          </cell>
          <cell r="P26">
            <v>0</v>
          </cell>
          <cell r="R26">
            <v>0.03434368707967092</v>
          </cell>
          <cell r="T26">
            <v>0.002289579138644728</v>
          </cell>
          <cell r="Y26">
            <v>0.2289579138644728</v>
          </cell>
          <cell r="Z26">
            <v>0</v>
          </cell>
          <cell r="AE26">
            <v>0</v>
          </cell>
          <cell r="AK26">
            <v>0.6868737415934184</v>
          </cell>
          <cell r="AM26">
            <v>0</v>
          </cell>
          <cell r="AN26">
            <v>0</v>
          </cell>
          <cell r="AP26">
            <v>0.002289579138644728</v>
          </cell>
          <cell r="AR26">
            <v>0.022895791386447283</v>
          </cell>
          <cell r="AS26">
            <v>0.06868737415934184</v>
          </cell>
          <cell r="AT26">
            <v>0.4579158277289456</v>
          </cell>
          <cell r="AW26">
            <v>0</v>
          </cell>
          <cell r="AX26">
            <v>0.022895791386447283</v>
          </cell>
          <cell r="AY26">
            <v>0.1144789569322364</v>
          </cell>
          <cell r="AZ26">
            <v>0</v>
          </cell>
          <cell r="BA26">
            <v>0.1144789569322364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0.013737474831868369</v>
          </cell>
          <cell r="BN26">
            <v>0</v>
          </cell>
          <cell r="BO26">
            <v>0</v>
          </cell>
        </row>
        <row r="27">
          <cell r="A27" t="str">
            <v>94TK9030</v>
          </cell>
          <cell r="B27" t="str">
            <v>Refinery - CARB Regular - 94TK9030</v>
          </cell>
          <cell r="C27">
            <v>58</v>
          </cell>
          <cell r="D27">
            <v>0</v>
          </cell>
          <cell r="E27">
            <v>0</v>
          </cell>
          <cell r="F27">
            <v>3437.5049063658944</v>
          </cell>
          <cell r="G27">
            <v>292.8903993042857</v>
          </cell>
          <cell r="H27">
            <v>1142.2187081359957</v>
          </cell>
          <cell r="I27">
            <v>0</v>
          </cell>
          <cell r="J27">
            <v>4872.614013806176</v>
          </cell>
          <cell r="P27">
            <v>0</v>
          </cell>
          <cell r="R27">
            <v>36.544605103546324</v>
          </cell>
          <cell r="T27">
            <v>0.24363070069030884</v>
          </cell>
          <cell r="Y27">
            <v>13.399688537966984</v>
          </cell>
          <cell r="Z27">
            <v>0</v>
          </cell>
          <cell r="AE27">
            <v>0</v>
          </cell>
          <cell r="AK27">
            <v>9.501597326922044</v>
          </cell>
          <cell r="AM27">
            <v>0</v>
          </cell>
          <cell r="AN27">
            <v>0</v>
          </cell>
          <cell r="AP27">
            <v>0.46533463831848987</v>
          </cell>
          <cell r="AR27">
            <v>2.9235684082837055</v>
          </cell>
          <cell r="AS27">
            <v>153.48734143489455</v>
          </cell>
          <cell r="AT27">
            <v>190.03194653844088</v>
          </cell>
          <cell r="AW27">
            <v>0</v>
          </cell>
          <cell r="AX27">
            <v>33.86466739595292</v>
          </cell>
          <cell r="AY27">
            <v>47.75161733530053</v>
          </cell>
          <cell r="AZ27">
            <v>0</v>
          </cell>
          <cell r="BA27">
            <v>6.699844268983492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94TK9031</v>
          </cell>
          <cell r="B28" t="str">
            <v>Refinery - CARB Regular - 94TK9031</v>
          </cell>
          <cell r="C28">
            <v>58</v>
          </cell>
          <cell r="D28">
            <v>0</v>
          </cell>
          <cell r="E28">
            <v>0</v>
          </cell>
          <cell r="F28">
            <v>3437.5049063658944</v>
          </cell>
          <cell r="G28">
            <v>288.1655004985714</v>
          </cell>
          <cell r="H28">
            <v>1142.2187081359957</v>
          </cell>
          <cell r="I28">
            <v>0</v>
          </cell>
          <cell r="J28">
            <v>4867.889115000462</v>
          </cell>
          <cell r="P28">
            <v>0</v>
          </cell>
          <cell r="R28">
            <v>36.509168362503466</v>
          </cell>
          <cell r="T28">
            <v>0.2433944557500231</v>
          </cell>
          <cell r="Y28">
            <v>13.386695066251269</v>
          </cell>
          <cell r="Z28">
            <v>0</v>
          </cell>
          <cell r="AE28">
            <v>0</v>
          </cell>
          <cell r="AK28">
            <v>9.4923837742509</v>
          </cell>
          <cell r="AM28">
            <v>0</v>
          </cell>
          <cell r="AN28">
            <v>0</v>
          </cell>
          <cell r="AP28">
            <v>0.4648834104825441</v>
          </cell>
          <cell r="AR28">
            <v>2.920733469000277</v>
          </cell>
          <cell r="AS28">
            <v>153.33850712251456</v>
          </cell>
          <cell r="AT28">
            <v>189.84767548501802</v>
          </cell>
          <cell r="AW28">
            <v>0</v>
          </cell>
          <cell r="AX28">
            <v>33.83182934925321</v>
          </cell>
          <cell r="AY28">
            <v>47.705313327004525</v>
          </cell>
          <cell r="AZ28">
            <v>0</v>
          </cell>
          <cell r="BA28">
            <v>6.6933475331256345</v>
          </cell>
          <cell r="BC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</row>
      </sheetData>
      <sheetData sheetId="25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without Controls</v>
          </cell>
          <cell r="K1" t="str">
            <v>Control Efficiency</v>
          </cell>
          <cell r="L1" t="str">
            <v>Total Loss with Controls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Refinery - Wastewater - 21TK1000</v>
          </cell>
          <cell r="C2">
            <v>41</v>
          </cell>
          <cell r="D2">
            <v>26.637904808547304</v>
          </cell>
          <cell r="E2">
            <v>43.731958000000006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70.36986280854731</v>
          </cell>
          <cell r="K2">
            <v>95</v>
          </cell>
          <cell r="L2">
            <v>3.5184931404273656</v>
          </cell>
          <cell r="P2">
            <v>0.01909821703058773</v>
          </cell>
          <cell r="R2">
            <v>4.724561448530169E-06</v>
          </cell>
          <cell r="T2">
            <v>1.7592465702136827E-06</v>
          </cell>
          <cell r="Y2">
            <v>2.8317116864468663E-08</v>
          </cell>
          <cell r="Z2">
            <v>0</v>
          </cell>
          <cell r="AE2">
            <v>6.533429529190234E-08</v>
          </cell>
          <cell r="AK2">
            <v>5.566687880499588E-09</v>
          </cell>
          <cell r="AM2">
            <v>0</v>
          </cell>
          <cell r="AN2">
            <v>3.517654268878095E-08</v>
          </cell>
          <cell r="AP2">
            <v>1.7592465702136827E-06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1.1821077170564834E-07</v>
          </cell>
          <cell r="AY2">
            <v>3.342568483405997E-08</v>
          </cell>
          <cell r="AZ2">
            <v>0</v>
          </cell>
          <cell r="BA2">
            <v>0</v>
          </cell>
          <cell r="BC2">
            <v>0</v>
          </cell>
          <cell r="BI2">
            <v>3.93097864547127E-15</v>
          </cell>
          <cell r="BJ2">
            <v>1.1207035441389475E-11</v>
          </cell>
          <cell r="BK2">
            <v>5.892299547898284E-16</v>
          </cell>
          <cell r="BL2">
            <v>4.2299792583259085E-19</v>
          </cell>
          <cell r="BM2">
            <v>1.753603417849763E-17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Refinery - Sour Water - 48TK1</v>
          </cell>
          <cell r="C3">
            <v>38</v>
          </cell>
          <cell r="D3">
            <v>3843.0422648675985</v>
          </cell>
          <cell r="E3">
            <v>67967.90162500001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71810.94388986762</v>
          </cell>
          <cell r="K3">
            <v>99.95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Refinery - Decant Oil - 81TK1</v>
          </cell>
          <cell r="C4">
            <v>51</v>
          </cell>
          <cell r="D4">
            <v>4.6517700537087014</v>
          </cell>
          <cell r="E4">
            <v>21.143817499999997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25.7955875537087</v>
          </cell>
          <cell r="K4">
            <v>99.95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81TK4</v>
          </cell>
          <cell r="B5" t="str">
            <v>Refinery - LCO - 81TK4</v>
          </cell>
          <cell r="C5">
            <v>46</v>
          </cell>
          <cell r="D5">
            <v>274.1194541678777</v>
          </cell>
          <cell r="E5">
            <v>1126.694504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1400.8139581678777</v>
          </cell>
          <cell r="K5">
            <v>99.95</v>
          </cell>
          <cell r="L5">
            <v>0.700406979083899</v>
          </cell>
          <cell r="P5">
            <v>0</v>
          </cell>
          <cell r="R5">
            <v>0.007991424850214007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0.0009385318440877699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0.03117142337724842</v>
          </cell>
          <cell r="AT5">
            <v>0.03564393315277781</v>
          </cell>
          <cell r="AW5">
            <v>0</v>
          </cell>
          <cell r="AX5">
            <v>0.006006314131839477</v>
          </cell>
          <cell r="AY5">
            <v>0.06223335137268661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83TK5</v>
          </cell>
          <cell r="B6" t="str">
            <v>Refinery - Sour Oil - 83TK5</v>
          </cell>
          <cell r="C6">
            <v>38</v>
          </cell>
          <cell r="D6">
            <v>1788.5808876197627</v>
          </cell>
          <cell r="E6">
            <v>37609.081375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39397.662262619764</v>
          </cell>
          <cell r="K6">
            <v>99.95</v>
          </cell>
          <cell r="L6">
            <v>19.698831131308765</v>
          </cell>
          <cell r="P6">
            <v>0.21471725933126554</v>
          </cell>
          <cell r="R6">
            <v>0.001411701150131806</v>
          </cell>
          <cell r="T6">
            <v>0</v>
          </cell>
          <cell r="Y6">
            <v>0</v>
          </cell>
          <cell r="Z6">
            <v>0</v>
          </cell>
          <cell r="AE6">
            <v>2.2898198650607215E-07</v>
          </cell>
          <cell r="AK6">
            <v>1.2396136132355737E-05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0.013696372141440429</v>
          </cell>
          <cell r="AT6">
            <v>0.0029719271700939594</v>
          </cell>
          <cell r="AW6">
            <v>0</v>
          </cell>
          <cell r="AX6">
            <v>0.00077693891283992</v>
          </cell>
          <cell r="AY6">
            <v>0.002618544355045165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94TK909A</v>
          </cell>
          <cell r="B7" t="str">
            <v>Refinery - Slop Oil - 909A</v>
          </cell>
          <cell r="C7">
            <v>52</v>
          </cell>
          <cell r="D7">
            <v>496.4897546209572</v>
          </cell>
          <cell r="E7">
            <v>7485.63654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7982.126294620957</v>
          </cell>
          <cell r="K7">
            <v>99.95</v>
          </cell>
          <cell r="L7">
            <v>3.991063147310252</v>
          </cell>
          <cell r="P7">
            <v>0.00102769876043239</v>
          </cell>
          <cell r="R7">
            <v>0.0004723661638865986</v>
          </cell>
          <cell r="T7">
            <v>0</v>
          </cell>
          <cell r="Y7">
            <v>0</v>
          </cell>
          <cell r="Z7">
            <v>6.579526843995709E-07</v>
          </cell>
          <cell r="AE7">
            <v>2.1302228172521807E-09</v>
          </cell>
          <cell r="AK7">
            <v>3.5748762519043346E-07</v>
          </cell>
          <cell r="AM7">
            <v>0</v>
          </cell>
          <cell r="AN7">
            <v>0</v>
          </cell>
          <cell r="AP7">
            <v>0</v>
          </cell>
          <cell r="AR7">
            <v>8.681320141383227E-07</v>
          </cell>
          <cell r="AS7">
            <v>0.0007712667578239412</v>
          </cell>
          <cell r="AT7">
            <v>0.00039810523757403363</v>
          </cell>
          <cell r="AW7">
            <v>0</v>
          </cell>
          <cell r="AX7">
            <v>9.931430241742412E-05</v>
          </cell>
          <cell r="AY7">
            <v>0.01364637730957003</v>
          </cell>
          <cell r="AZ7">
            <v>0</v>
          </cell>
          <cell r="BA7">
            <v>0</v>
          </cell>
          <cell r="BC7">
            <v>0</v>
          </cell>
          <cell r="BI7">
            <v>1.3049394907258156E-13</v>
          </cell>
          <cell r="BJ7">
            <v>0</v>
          </cell>
          <cell r="BK7">
            <v>0</v>
          </cell>
          <cell r="BL7">
            <v>0</v>
          </cell>
          <cell r="BM7">
            <v>6.637353574369049E-16</v>
          </cell>
          <cell r="BN7">
            <v>0</v>
          </cell>
          <cell r="BO7">
            <v>0</v>
          </cell>
        </row>
        <row r="8">
          <cell r="A8" t="str">
            <v>94TK909B</v>
          </cell>
          <cell r="B8" t="str">
            <v>Refinery - Slop Oil - 909B</v>
          </cell>
          <cell r="C8">
            <v>52</v>
          </cell>
          <cell r="D8">
            <v>659.2734487528039</v>
          </cell>
          <cell r="E8">
            <v>16952.349260000003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17611.622708752806</v>
          </cell>
          <cell r="K8">
            <v>99.95</v>
          </cell>
          <cell r="L8">
            <v>8.805811354375903</v>
          </cell>
          <cell r="P8">
            <v>0.0022674964237517953</v>
          </cell>
          <cell r="R8">
            <v>0.001042220374833936</v>
          </cell>
          <cell r="T8">
            <v>0</v>
          </cell>
          <cell r="Y8">
            <v>0</v>
          </cell>
          <cell r="Z8">
            <v>1.4516952012730094E-06</v>
          </cell>
          <cell r="AE8">
            <v>4.700086062068932E-09</v>
          </cell>
          <cell r="AK8">
            <v>7.887543926916683E-07</v>
          </cell>
          <cell r="AM8">
            <v>0</v>
          </cell>
          <cell r="AN8">
            <v>0</v>
          </cell>
          <cell r="AP8">
            <v>0</v>
          </cell>
          <cell r="AR8">
            <v>1.9154311683463318E-06</v>
          </cell>
          <cell r="AS8">
            <v>0.001701709374825583</v>
          </cell>
          <cell r="AT8">
            <v>0.0008783723764502554</v>
          </cell>
          <cell r="AW8">
            <v>0</v>
          </cell>
          <cell r="AX8">
            <v>0.00021912532565882033</v>
          </cell>
          <cell r="AY8">
            <v>0.030109126271203056</v>
          </cell>
          <cell r="AZ8">
            <v>0</v>
          </cell>
          <cell r="BA8">
            <v>0</v>
          </cell>
          <cell r="BC8">
            <v>0</v>
          </cell>
          <cell r="BI8">
            <v>2.879195482524802E-13</v>
          </cell>
          <cell r="BJ8">
            <v>0</v>
          </cell>
          <cell r="BK8">
            <v>0</v>
          </cell>
          <cell r="BL8">
            <v>0</v>
          </cell>
          <cell r="BM8">
            <v>1.464453989097531E-15</v>
          </cell>
          <cell r="BN8">
            <v>0</v>
          </cell>
          <cell r="BO8">
            <v>0</v>
          </cell>
        </row>
        <row r="9">
          <cell r="A9" t="str">
            <v>95TK1</v>
          </cell>
          <cell r="B9" t="str">
            <v>Refinery - Emulsion - 95TK1</v>
          </cell>
          <cell r="C9">
            <v>52</v>
          </cell>
          <cell r="D9">
            <v>7535.473229279754</v>
          </cell>
          <cell r="E9">
            <v>114567.01530266665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122102.48853194641</v>
          </cell>
          <cell r="K9">
            <v>99.95</v>
          </cell>
          <cell r="L9">
            <v>61.051244265969736</v>
          </cell>
          <cell r="P9">
            <v>0.01572069539848721</v>
          </cell>
          <cell r="R9">
            <v>0.007225779445222597</v>
          </cell>
          <cell r="T9">
            <v>0</v>
          </cell>
          <cell r="Y9">
            <v>0</v>
          </cell>
          <cell r="Z9">
            <v>1.0064694185006867E-05</v>
          </cell>
          <cell r="AE9">
            <v>3.258599244280392E-08</v>
          </cell>
          <cell r="AK9">
            <v>5.468483840520397E-06</v>
          </cell>
          <cell r="AM9">
            <v>0</v>
          </cell>
          <cell r="AN9">
            <v>0</v>
          </cell>
          <cell r="AP9">
            <v>0</v>
          </cell>
          <cell r="AR9">
            <v>1.3279804827439615E-05</v>
          </cell>
          <cell r="AS9">
            <v>0.011798058183535826</v>
          </cell>
          <cell r="AT9">
            <v>0.006089810961541487</v>
          </cell>
          <cell r="AW9">
            <v>0</v>
          </cell>
          <cell r="AX9">
            <v>0.001519209672259092</v>
          </cell>
          <cell r="AY9">
            <v>0.2087484671931657</v>
          </cell>
          <cell r="AZ9">
            <v>0</v>
          </cell>
          <cell r="BA9">
            <v>0</v>
          </cell>
          <cell r="BC9">
            <v>0</v>
          </cell>
          <cell r="BI9">
            <v>1.9961643466930284E-12</v>
          </cell>
          <cell r="BJ9">
            <v>0</v>
          </cell>
          <cell r="BK9">
            <v>0</v>
          </cell>
          <cell r="BL9">
            <v>0</v>
          </cell>
          <cell r="BM9">
            <v>1.0153151663899538E-14</v>
          </cell>
          <cell r="BN9">
            <v>0</v>
          </cell>
          <cell r="BO9">
            <v>0</v>
          </cell>
        </row>
        <row r="10">
          <cell r="A10" t="str">
            <v>95TK950</v>
          </cell>
          <cell r="B10" t="str">
            <v>Refinery - Emulsion - 95TK950</v>
          </cell>
          <cell r="C10">
            <v>52</v>
          </cell>
          <cell r="D10">
            <v>6758.271264871917</v>
          </cell>
          <cell r="E10">
            <v>96968.240457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103726.51172187192</v>
          </cell>
          <cell r="K10">
            <v>99.95</v>
          </cell>
          <cell r="L10">
            <v>51.863255860933016</v>
          </cell>
          <cell r="P10">
            <v>0.013354788384190254</v>
          </cell>
          <cell r="R10">
            <v>0.006138326133528765</v>
          </cell>
          <cell r="T10">
            <v>0</v>
          </cell>
          <cell r="Y10">
            <v>0</v>
          </cell>
          <cell r="Z10">
            <v>8.549994614442518E-06</v>
          </cell>
          <cell r="AE10">
            <v>2.7681920063430916E-08</v>
          </cell>
          <cell r="AK10">
            <v>4.6454970738471E-06</v>
          </cell>
          <cell r="AM10">
            <v>0</v>
          </cell>
          <cell r="AN10">
            <v>0</v>
          </cell>
          <cell r="AP10">
            <v>0</v>
          </cell>
          <cell r="AR10">
            <v>1.1281242894056098E-05</v>
          </cell>
          <cell r="AS10">
            <v>0.010022493686929838</v>
          </cell>
          <cell r="AT10">
            <v>0.005173316741378685</v>
          </cell>
          <cell r="AW10">
            <v>0</v>
          </cell>
          <cell r="AX10">
            <v>0.0012905741870800176</v>
          </cell>
          <cell r="AY10">
            <v>0.17733258829994739</v>
          </cell>
          <cell r="AZ10">
            <v>0</v>
          </cell>
          <cell r="BA10">
            <v>0</v>
          </cell>
          <cell r="BC10">
            <v>0</v>
          </cell>
          <cell r="BI10">
            <v>1.6957489318644323E-12</v>
          </cell>
          <cell r="BJ10">
            <v>0</v>
          </cell>
          <cell r="BK10">
            <v>0</v>
          </cell>
          <cell r="BL10">
            <v>0</v>
          </cell>
          <cell r="BM10">
            <v>8.625139567109451E-15</v>
          </cell>
          <cell r="BN10">
            <v>0</v>
          </cell>
          <cell r="BO10">
            <v>0</v>
          </cell>
        </row>
        <row r="11">
          <cell r="A11" t="str">
            <v>95TK952</v>
          </cell>
          <cell r="B11" t="str">
            <v>Refinery - Effl  Water - 95TK952</v>
          </cell>
          <cell r="C11">
            <v>53</v>
          </cell>
          <cell r="D11">
            <v>1778.7877131967919</v>
          </cell>
          <cell r="E11">
            <v>25525.65225833333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27304.439971530122</v>
          </cell>
          <cell r="K11">
            <v>99.95</v>
          </cell>
          <cell r="L11">
            <v>13.652219985764287</v>
          </cell>
          <cell r="P11">
            <v>5.140788247510584</v>
          </cell>
          <cell r="R11">
            <v>0.04789590560480791</v>
          </cell>
          <cell r="T11">
            <v>0</v>
          </cell>
          <cell r="Y11">
            <v>0</v>
          </cell>
          <cell r="Z11">
            <v>0</v>
          </cell>
          <cell r="AE11">
            <v>0.00011852481826849768</v>
          </cell>
          <cell r="AK11">
            <v>1.539354174626517E-05</v>
          </cell>
          <cell r="AM11">
            <v>0</v>
          </cell>
          <cell r="AN11">
            <v>0</v>
          </cell>
          <cell r="AP11">
            <v>0.13922508098518588</v>
          </cell>
          <cell r="AR11">
            <v>0</v>
          </cell>
          <cell r="AS11">
            <v>0.1124320606775291</v>
          </cell>
          <cell r="AT11">
            <v>0.09602356013480688</v>
          </cell>
          <cell r="AW11">
            <v>0</v>
          </cell>
          <cell r="AX11">
            <v>0.019351881052447645</v>
          </cell>
          <cell r="AY11">
            <v>8.009942048439388</v>
          </cell>
          <cell r="AZ11">
            <v>0</v>
          </cell>
          <cell r="BA11">
            <v>0</v>
          </cell>
          <cell r="BC11">
            <v>0</v>
          </cell>
          <cell r="BI11">
            <v>9.853558315603805E-12</v>
          </cell>
          <cell r="BJ11">
            <v>2.353960104662941E-08</v>
          </cell>
          <cell r="BK11">
            <v>1.5134160567840604E-12</v>
          </cell>
          <cell r="BL11">
            <v>1.6116699888740817E-15</v>
          </cell>
          <cell r="BM11">
            <v>4.39702705265113E-14</v>
          </cell>
          <cell r="BN11">
            <v>0</v>
          </cell>
          <cell r="BO11">
            <v>0</v>
          </cell>
        </row>
      </sheetData>
      <sheetData sheetId="26">
        <row r="1">
          <cell r="A1" t="str">
            <v>ID</v>
          </cell>
          <cell r="B1" t="str">
            <v>TANK MATERIAL</v>
          </cell>
          <cell r="C1" t="str">
            <v>Speciation #</v>
          </cell>
          <cell r="D1" t="str">
            <v>TYPE</v>
          </cell>
          <cell r="E1" t="str">
            <v>VR</v>
          </cell>
          <cell r="F1" t="str">
            <v>FY 98/99</v>
          </cell>
          <cell r="G1" t="str">
            <v>S_LOSS</v>
          </cell>
          <cell r="H1" t="str">
            <v>W_LOSS</v>
          </cell>
          <cell r="I1" t="str">
            <v>RIM_LOSS</v>
          </cell>
          <cell r="J1" t="str">
            <v>WD_LOSS</v>
          </cell>
          <cell r="K1" t="str">
            <v>DECKF_LOSS</v>
          </cell>
          <cell r="L1" t="str">
            <v>1999 TOTAL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Wastewater</v>
          </cell>
          <cell r="C2">
            <v>41</v>
          </cell>
          <cell r="D2" t="str">
            <v>Vertical Fixed Roof Tank</v>
          </cell>
          <cell r="E2">
            <v>95</v>
          </cell>
          <cell r="F2">
            <v>215.06</v>
          </cell>
          <cell r="G2">
            <v>26.637904808547304</v>
          </cell>
          <cell r="H2">
            <v>43.731958000000006</v>
          </cell>
          <cell r="I2">
            <v>0</v>
          </cell>
          <cell r="J2">
            <v>0</v>
          </cell>
          <cell r="K2">
            <v>0</v>
          </cell>
          <cell r="L2">
            <v>3.518493140427365</v>
          </cell>
          <cell r="P2">
            <v>0.019098217030587727</v>
          </cell>
          <cell r="R2">
            <v>4.7245614485301685E-06</v>
          </cell>
          <cell r="T2">
            <v>1.7592465702136825E-06</v>
          </cell>
          <cell r="Y2">
            <v>2.831711686446866E-08</v>
          </cell>
          <cell r="Z2">
            <v>0</v>
          </cell>
          <cell r="AE2">
            <v>6.533429529190234E-08</v>
          </cell>
          <cell r="AK2">
            <v>5.566687880499587E-09</v>
          </cell>
          <cell r="AM2">
            <v>0</v>
          </cell>
          <cell r="AN2">
            <v>3.5176542688780945E-08</v>
          </cell>
          <cell r="AP2">
            <v>1.7592465702136825E-06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1.1821077170564833E-07</v>
          </cell>
          <cell r="AY2">
            <v>3.3425684834059966E-08</v>
          </cell>
          <cell r="AZ2">
            <v>5.386021157250005E-06</v>
          </cell>
          <cell r="BA2">
            <v>0</v>
          </cell>
          <cell r="BC2">
            <v>0</v>
          </cell>
          <cell r="BI2">
            <v>3.9309786454712695E-15</v>
          </cell>
          <cell r="BJ2">
            <v>1.1207035441389474E-11</v>
          </cell>
          <cell r="BK2">
            <v>5.892299547898283E-16</v>
          </cell>
          <cell r="BL2">
            <v>4.229979258325908E-19</v>
          </cell>
          <cell r="BM2">
            <v>1.7536034178497626E-17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Sour Water</v>
          </cell>
          <cell r="C3">
            <v>38</v>
          </cell>
          <cell r="D3" t="str">
            <v>Vertical Fixed Roof Tank</v>
          </cell>
          <cell r="E3">
            <v>99.95</v>
          </cell>
          <cell r="F3">
            <v>8.17</v>
          </cell>
          <cell r="G3">
            <v>3843.0422648675985</v>
          </cell>
          <cell r="H3">
            <v>67967.90162500001</v>
          </cell>
          <cell r="I3">
            <v>0</v>
          </cell>
          <cell r="J3">
            <v>0</v>
          </cell>
          <cell r="K3">
            <v>0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Decant Oil</v>
          </cell>
          <cell r="C4">
            <v>51</v>
          </cell>
          <cell r="D4" t="str">
            <v>Vertical Fixed Roof Tank</v>
          </cell>
          <cell r="F4">
            <v>0.01</v>
          </cell>
          <cell r="G4">
            <v>4.6517700537087014</v>
          </cell>
          <cell r="H4">
            <v>21.143817499999997</v>
          </cell>
          <cell r="I4">
            <v>0</v>
          </cell>
          <cell r="J4">
            <v>0</v>
          </cell>
          <cell r="K4">
            <v>0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81TK3</v>
          </cell>
          <cell r="B5" t="str">
            <v>Diesel</v>
          </cell>
          <cell r="C5">
            <v>45</v>
          </cell>
          <cell r="D5" t="str">
            <v>External Floating Roof Tank</v>
          </cell>
          <cell r="F5">
            <v>253</v>
          </cell>
          <cell r="G5">
            <v>0</v>
          </cell>
          <cell r="H5">
            <v>0</v>
          </cell>
          <cell r="I5">
            <v>3.7688827365677606</v>
          </cell>
          <cell r="J5">
            <v>202.7572293033149</v>
          </cell>
          <cell r="K5">
            <v>4.503996514373745</v>
          </cell>
          <cell r="L5">
            <v>211.03010855425637</v>
          </cell>
          <cell r="P5">
            <v>0</v>
          </cell>
          <cell r="R5">
            <v>0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0.014866157386771378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1.0766434247370003</v>
          </cell>
          <cell r="AT5">
            <v>1.222164952159984</v>
          </cell>
          <cell r="AW5">
            <v>0</v>
          </cell>
          <cell r="AX5">
            <v>0.301689774822631</v>
          </cell>
          <cell r="AY5">
            <v>1.6588865367511696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81TK4</v>
          </cell>
          <cell r="B6" t="str">
            <v>LCO</v>
          </cell>
          <cell r="C6">
            <v>46</v>
          </cell>
          <cell r="D6" t="str">
            <v>Vertical Fixed Roof Tank</v>
          </cell>
          <cell r="E6">
            <v>99.95</v>
          </cell>
          <cell r="F6">
            <v>0.97</v>
          </cell>
          <cell r="G6">
            <v>274.1194541678777</v>
          </cell>
          <cell r="H6">
            <v>1126.694504</v>
          </cell>
          <cell r="I6">
            <v>0</v>
          </cell>
          <cell r="J6">
            <v>0</v>
          </cell>
          <cell r="K6">
            <v>0</v>
          </cell>
          <cell r="L6">
            <v>0.700406979083899</v>
          </cell>
          <cell r="P6">
            <v>0</v>
          </cell>
          <cell r="R6">
            <v>0.007991424850214007</v>
          </cell>
          <cell r="T6">
            <v>0</v>
          </cell>
          <cell r="Y6">
            <v>0</v>
          </cell>
          <cell r="Z6">
            <v>0</v>
          </cell>
          <cell r="AE6">
            <v>0</v>
          </cell>
          <cell r="AK6">
            <v>0.0009385318440877699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0.03117142337724842</v>
          </cell>
          <cell r="AT6">
            <v>0.03564393315277781</v>
          </cell>
          <cell r="AW6">
            <v>0</v>
          </cell>
          <cell r="AX6">
            <v>0.006006314131839477</v>
          </cell>
          <cell r="AY6">
            <v>0.06223335137268661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82TK1</v>
          </cell>
          <cell r="B7" t="str">
            <v>Gasoline</v>
          </cell>
          <cell r="C7">
            <v>55</v>
          </cell>
          <cell r="D7" t="str">
            <v>External Floating Roof Tank</v>
          </cell>
          <cell r="F7">
            <v>8338</v>
          </cell>
          <cell r="G7">
            <v>0</v>
          </cell>
          <cell r="H7">
            <v>0</v>
          </cell>
          <cell r="I7">
            <v>1339.6359876045042</v>
          </cell>
          <cell r="J7">
            <v>174.5158357035294</v>
          </cell>
          <cell r="K7">
            <v>1265.5419274678356</v>
          </cell>
          <cell r="L7">
            <v>2779.693750775869</v>
          </cell>
          <cell r="P7">
            <v>0</v>
          </cell>
          <cell r="R7">
            <v>25.156228444521616</v>
          </cell>
          <cell r="T7">
            <v>0.13898468753879345</v>
          </cell>
          <cell r="Y7">
            <v>7.6441578146336395</v>
          </cell>
          <cell r="Z7">
            <v>0</v>
          </cell>
          <cell r="AE7">
            <v>0.23627396881594886</v>
          </cell>
          <cell r="AK7">
            <v>8.061111877250019</v>
          </cell>
          <cell r="AM7">
            <v>0</v>
          </cell>
          <cell r="AN7">
            <v>0</v>
          </cell>
          <cell r="AP7">
            <v>0.3224444750900008</v>
          </cell>
          <cell r="AR7">
            <v>1.3898468753879345</v>
          </cell>
          <cell r="AS7">
            <v>82.00096564788812</v>
          </cell>
          <cell r="AT7">
            <v>108.40805628025889</v>
          </cell>
          <cell r="AW7">
            <v>0</v>
          </cell>
          <cell r="AX7">
            <v>18.623948130198322</v>
          </cell>
          <cell r="AY7">
            <v>34.74617188469836</v>
          </cell>
          <cell r="AZ7">
            <v>0</v>
          </cell>
          <cell r="BA7">
            <v>3.8220789073168198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82TK2</v>
          </cell>
          <cell r="B8" t="str">
            <v>Gasoline</v>
          </cell>
          <cell r="C8">
            <v>58</v>
          </cell>
          <cell r="D8" t="str">
            <v>External Floating Roof Tank</v>
          </cell>
          <cell r="F8">
            <v>8757</v>
          </cell>
          <cell r="G8">
            <v>0</v>
          </cell>
          <cell r="H8">
            <v>0</v>
          </cell>
          <cell r="I8">
            <v>1339.6359876045042</v>
          </cell>
          <cell r="J8">
            <v>132.8784450729412</v>
          </cell>
          <cell r="K8">
            <v>1176.1122163545185</v>
          </cell>
          <cell r="L8">
            <v>2648.626649031964</v>
          </cell>
          <cell r="P8">
            <v>0</v>
          </cell>
          <cell r="R8">
            <v>19.86469986773973</v>
          </cell>
          <cell r="T8">
            <v>0.13243133245159822</v>
          </cell>
          <cell r="Y8">
            <v>7.283723284837901</v>
          </cell>
          <cell r="Z8">
            <v>0</v>
          </cell>
          <cell r="AE8">
            <v>0.1867281787567535</v>
          </cell>
          <cell r="AK8">
            <v>5.1648219656123295</v>
          </cell>
          <cell r="AM8">
            <v>0</v>
          </cell>
          <cell r="AN8">
            <v>0</v>
          </cell>
          <cell r="AP8">
            <v>0.25294384498255257</v>
          </cell>
          <cell r="AR8">
            <v>1.5891759894191784</v>
          </cell>
          <cell r="AS8">
            <v>83.43173944450686</v>
          </cell>
          <cell r="AT8">
            <v>103.29643931224659</v>
          </cell>
          <cell r="AW8">
            <v>0</v>
          </cell>
          <cell r="AX8">
            <v>18.407955210772148</v>
          </cell>
          <cell r="AY8">
            <v>25.956541160513247</v>
          </cell>
          <cell r="AZ8">
            <v>0</v>
          </cell>
          <cell r="BA8">
            <v>3.6418616424189505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82TK3</v>
          </cell>
          <cell r="B9" t="str">
            <v>Naphtha</v>
          </cell>
          <cell r="C9">
            <v>56</v>
          </cell>
          <cell r="D9" t="str">
            <v>External Floating Roof Tank</v>
          </cell>
          <cell r="F9">
            <v>9764</v>
          </cell>
          <cell r="G9">
            <v>0</v>
          </cell>
          <cell r="H9">
            <v>0</v>
          </cell>
          <cell r="I9">
            <v>1377.2433582481933</v>
          </cell>
          <cell r="J9">
            <v>166.11163776</v>
          </cell>
          <cell r="K9">
            <v>1209.1290122963078</v>
          </cell>
          <cell r="L9">
            <v>2752.484008304501</v>
          </cell>
          <cell r="P9">
            <v>0</v>
          </cell>
          <cell r="R9">
            <v>65.92199199889279</v>
          </cell>
          <cell r="T9">
            <v>0.13762420041522505</v>
          </cell>
          <cell r="Y9">
            <v>8.257452024913503</v>
          </cell>
          <cell r="Z9">
            <v>0</v>
          </cell>
          <cell r="AE9">
            <v>0.1912976385771628</v>
          </cell>
          <cell r="AK9">
            <v>0.8257452024913502</v>
          </cell>
          <cell r="AM9">
            <v>0</v>
          </cell>
          <cell r="AN9">
            <v>0</v>
          </cell>
          <cell r="AP9">
            <v>0.020643630062283758</v>
          </cell>
          <cell r="AR9">
            <v>0.8257452024913502</v>
          </cell>
          <cell r="AS9">
            <v>23.12086566975781</v>
          </cell>
          <cell r="AT9">
            <v>19.955509060207632</v>
          </cell>
          <cell r="AW9">
            <v>0</v>
          </cell>
          <cell r="AX9">
            <v>2.0643630062283758</v>
          </cell>
          <cell r="AY9">
            <v>191.29763857716284</v>
          </cell>
          <cell r="AZ9">
            <v>0</v>
          </cell>
          <cell r="BA9">
            <v>4.1287260124567515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82TK4</v>
          </cell>
          <cell r="B10" t="str">
            <v>Alkylate</v>
          </cell>
          <cell r="C10">
            <v>54</v>
          </cell>
          <cell r="D10" t="str">
            <v>External Floating Roof Tank</v>
          </cell>
          <cell r="F10">
            <v>6029</v>
          </cell>
          <cell r="G10">
            <v>0</v>
          </cell>
          <cell r="H10">
            <v>0</v>
          </cell>
          <cell r="I10">
            <v>836.2879232138596</v>
          </cell>
          <cell r="J10">
            <v>189.919110079558</v>
          </cell>
          <cell r="K10">
            <v>868.5016275114637</v>
          </cell>
          <cell r="L10">
            <v>1894.7086608048814</v>
          </cell>
          <cell r="P10">
            <v>0</v>
          </cell>
          <cell r="R10">
            <v>0.5210448817213424</v>
          </cell>
          <cell r="T10">
            <v>0.09473543304024408</v>
          </cell>
          <cell r="Y10">
            <v>5.210448817213424</v>
          </cell>
          <cell r="Z10">
            <v>0</v>
          </cell>
          <cell r="AE10">
            <v>0.022736503929658577</v>
          </cell>
          <cell r="AK10">
            <v>0.5210448817213424</v>
          </cell>
          <cell r="AM10">
            <v>0</v>
          </cell>
          <cell r="AN10">
            <v>0</v>
          </cell>
          <cell r="AP10">
            <v>0.009473543304024407</v>
          </cell>
          <cell r="AR10">
            <v>0.5210448817213424</v>
          </cell>
          <cell r="AS10">
            <v>0.5210448817213424</v>
          </cell>
          <cell r="AT10">
            <v>0.5210448817213424</v>
          </cell>
          <cell r="AW10">
            <v>0</v>
          </cell>
          <cell r="AX10">
            <v>0.5210448817213424</v>
          </cell>
          <cell r="AY10">
            <v>2.605224408606712</v>
          </cell>
          <cell r="AZ10">
            <v>0</v>
          </cell>
          <cell r="BA10">
            <v>2.605224408606712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82TK7</v>
          </cell>
          <cell r="B11" t="str">
            <v>LCO</v>
          </cell>
          <cell r="C11">
            <v>46</v>
          </cell>
          <cell r="D11" t="str">
            <v>External Floating Roof Tank</v>
          </cell>
          <cell r="F11">
            <v>17</v>
          </cell>
          <cell r="G11">
            <v>0</v>
          </cell>
          <cell r="H11">
            <v>0</v>
          </cell>
          <cell r="I11">
            <v>1.3278118802837584</v>
          </cell>
          <cell r="J11">
            <v>0.916053775</v>
          </cell>
          <cell r="K11">
            <v>3.8992820338223155</v>
          </cell>
          <cell r="L11">
            <v>6.143147689106074</v>
          </cell>
          <cell r="P11">
            <v>0</v>
          </cell>
          <cell r="R11">
            <v>0.07009139624146497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0.008231699428097239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0.2733991282276369</v>
          </cell>
          <cell r="AT11">
            <v>0.3126267329096806</v>
          </cell>
          <cell r="AW11">
            <v>0</v>
          </cell>
          <cell r="AX11">
            <v>0.05268033569185068</v>
          </cell>
          <cell r="AY11">
            <v>0.5458378915219958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82TK8</v>
          </cell>
          <cell r="B12" t="str">
            <v>LAF</v>
          </cell>
          <cell r="C12">
            <v>46</v>
          </cell>
          <cell r="D12" t="str">
            <v>External Floating Roof Tank</v>
          </cell>
          <cell r="F12">
            <v>34</v>
          </cell>
          <cell r="G12">
            <v>0</v>
          </cell>
          <cell r="H12">
            <v>0</v>
          </cell>
          <cell r="I12">
            <v>1.0385961315279244</v>
          </cell>
          <cell r="J12">
            <v>8.5385703125</v>
          </cell>
          <cell r="K12">
            <v>3.0499646043223687</v>
          </cell>
          <cell r="L12">
            <v>12.627131048350293</v>
          </cell>
          <cell r="P12">
            <v>0</v>
          </cell>
          <cell r="R12">
            <v>0.14407162101479848</v>
          </cell>
          <cell r="T12">
            <v>0</v>
          </cell>
          <cell r="Y12">
            <v>0</v>
          </cell>
          <cell r="Z12">
            <v>0</v>
          </cell>
          <cell r="AE12">
            <v>0</v>
          </cell>
          <cell r="AK12">
            <v>0.016920112080902827</v>
          </cell>
          <cell r="AM12">
            <v>0</v>
          </cell>
          <cell r="AN12">
            <v>0</v>
          </cell>
          <cell r="AP12">
            <v>0</v>
          </cell>
          <cell r="AR12">
            <v>0</v>
          </cell>
          <cell r="AS12">
            <v>0.5619670558722077</v>
          </cell>
          <cell r="AT12">
            <v>0.6425987010972509</v>
          </cell>
          <cell r="AW12">
            <v>0</v>
          </cell>
          <cell r="AX12">
            <v>0.108283495060963</v>
          </cell>
          <cell r="AY12">
            <v>1.12196009866831</v>
          </cell>
          <cell r="AZ12">
            <v>0</v>
          </cell>
          <cell r="BA12">
            <v>0</v>
          </cell>
          <cell r="BC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</row>
        <row r="13">
          <cell r="A13" t="str">
            <v>82TK9</v>
          </cell>
          <cell r="B13" t="str">
            <v>MTBE - Ultramar</v>
          </cell>
          <cell r="C13">
            <v>93</v>
          </cell>
          <cell r="D13" t="str">
            <v>External Floating Roof Tank</v>
          </cell>
          <cell r="F13">
            <v>9338</v>
          </cell>
          <cell r="G13">
            <v>0</v>
          </cell>
          <cell r="H13">
            <v>0</v>
          </cell>
          <cell r="I13">
            <v>3450.356204171749</v>
          </cell>
          <cell r="J13">
            <v>196.33871064</v>
          </cell>
          <cell r="K13">
            <v>1395.3672595262888</v>
          </cell>
          <cell r="L13">
            <v>5042.062174338038</v>
          </cell>
          <cell r="P13">
            <v>0</v>
          </cell>
          <cell r="R13">
            <v>0</v>
          </cell>
          <cell r="T13">
            <v>0</v>
          </cell>
          <cell r="Y13">
            <v>0</v>
          </cell>
          <cell r="Z13">
            <v>0</v>
          </cell>
          <cell r="AE13">
            <v>0</v>
          </cell>
          <cell r="AK13">
            <v>0</v>
          </cell>
          <cell r="AM13">
            <v>0</v>
          </cell>
          <cell r="AN13">
            <v>0</v>
          </cell>
          <cell r="AP13">
            <v>0</v>
          </cell>
          <cell r="AR13">
            <v>0</v>
          </cell>
          <cell r="AS13">
            <v>0</v>
          </cell>
          <cell r="AT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5042.062174338038</v>
          </cell>
          <cell r="BA13">
            <v>0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</row>
        <row r="14">
          <cell r="A14" t="str">
            <v>83TK5</v>
          </cell>
          <cell r="B14" t="str">
            <v>Sour Water/Oil</v>
          </cell>
          <cell r="C14">
            <v>38</v>
          </cell>
          <cell r="D14" t="str">
            <v>Vertical Fixed Roof Tank</v>
          </cell>
          <cell r="E14">
            <v>99.95</v>
          </cell>
          <cell r="F14">
            <v>33.21</v>
          </cell>
          <cell r="G14">
            <v>1788.5808876197627</v>
          </cell>
          <cell r="H14">
            <v>37609.081375</v>
          </cell>
          <cell r="I14">
            <v>0</v>
          </cell>
          <cell r="J14">
            <v>0</v>
          </cell>
          <cell r="K14">
            <v>0</v>
          </cell>
          <cell r="L14">
            <v>19.69883113130876</v>
          </cell>
          <cell r="P14">
            <v>0.2147172593312655</v>
          </cell>
          <cell r="R14">
            <v>0.0014117011501318059</v>
          </cell>
          <cell r="T14">
            <v>0</v>
          </cell>
          <cell r="Y14">
            <v>0</v>
          </cell>
          <cell r="Z14">
            <v>0</v>
          </cell>
          <cell r="AE14">
            <v>2.2898198650607212E-07</v>
          </cell>
          <cell r="AK14">
            <v>1.2396136132355735E-05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0.013696372141440425</v>
          </cell>
          <cell r="AT14">
            <v>0.002971927170093959</v>
          </cell>
          <cell r="AW14">
            <v>0</v>
          </cell>
          <cell r="AX14">
            <v>0.0007769389128399198</v>
          </cell>
          <cell r="AY14">
            <v>0.0026185443550451647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</v>
          </cell>
          <cell r="B15" t="str">
            <v>Slop Oil</v>
          </cell>
          <cell r="C15">
            <v>52</v>
          </cell>
          <cell r="D15" t="str">
            <v>External Floating Roof Tank</v>
          </cell>
          <cell r="F15">
            <v>603</v>
          </cell>
          <cell r="G15">
            <v>0</v>
          </cell>
          <cell r="H15">
            <v>0</v>
          </cell>
          <cell r="I15">
            <v>1104.67420011023</v>
          </cell>
          <cell r="J15">
            <v>10.104145888775511</v>
          </cell>
          <cell r="K15">
            <v>399.799678929182</v>
          </cell>
          <cell r="L15">
            <v>1514.5780249281875</v>
          </cell>
          <cell r="P15">
            <v>0.3900038414190083</v>
          </cell>
          <cell r="R15">
            <v>0.17925935650114472</v>
          </cell>
          <cell r="T15">
            <v>0</v>
          </cell>
          <cell r="Y15">
            <v>0</v>
          </cell>
          <cell r="Z15">
            <v>0.0002496880255842855</v>
          </cell>
          <cell r="AE15">
            <v>8.084033121312972E-07</v>
          </cell>
          <cell r="AK15">
            <v>0.00013566382723412843</v>
          </cell>
          <cell r="AM15">
            <v>0</v>
          </cell>
          <cell r="AN15">
            <v>0</v>
          </cell>
          <cell r="AP15">
            <v>0</v>
          </cell>
          <cell r="AR15">
            <v>0.0003294494782014878</v>
          </cell>
          <cell r="AS15">
            <v>0.29268985221269017</v>
          </cell>
          <cell r="AT15">
            <v>0.15107790134686497</v>
          </cell>
          <cell r="AW15">
            <v>0</v>
          </cell>
          <cell r="AX15">
            <v>0.0376890203062502</v>
          </cell>
          <cell r="AY15">
            <v>5.178696109301803</v>
          </cell>
          <cell r="AZ15">
            <v>0</v>
          </cell>
          <cell r="BA15">
            <v>0</v>
          </cell>
          <cell r="BC15">
            <v>0</v>
          </cell>
          <cell r="BI15">
            <v>4.952145840754995E-11</v>
          </cell>
          <cell r="BJ15">
            <v>0</v>
          </cell>
          <cell r="BK15">
            <v>0</v>
          </cell>
          <cell r="BL15">
            <v>0</v>
          </cell>
          <cell r="BM15">
            <v>2.518825058980318E-13</v>
          </cell>
          <cell r="BN15">
            <v>0</v>
          </cell>
          <cell r="BO15">
            <v>0</v>
          </cell>
        </row>
        <row r="16">
          <cell r="A16" t="str">
            <v>94TK9001</v>
          </cell>
          <cell r="B16" t="str">
            <v>Crude Oil</v>
          </cell>
          <cell r="C16">
            <v>34</v>
          </cell>
          <cell r="D16" t="str">
            <v>External Floating Roof Tank</v>
          </cell>
          <cell r="F16">
            <v>2454</v>
          </cell>
          <cell r="G16">
            <v>0</v>
          </cell>
          <cell r="H16">
            <v>0</v>
          </cell>
          <cell r="I16">
            <v>358.86537260339475</v>
          </cell>
          <cell r="J16">
            <v>1385.669648199095</v>
          </cell>
          <cell r="K16">
            <v>327.73628276528433</v>
          </cell>
          <cell r="L16">
            <v>2072.271303567774</v>
          </cell>
          <cell r="P16">
            <v>0</v>
          </cell>
          <cell r="R16">
            <v>4.144542607135548</v>
          </cell>
          <cell r="T16">
            <v>0.1036135651783887</v>
          </cell>
          <cell r="Y16">
            <v>6.216813910703322</v>
          </cell>
          <cell r="Z16">
            <v>0</v>
          </cell>
          <cell r="AE16">
            <v>1.4516260481492256</v>
          </cell>
          <cell r="AK16">
            <v>1.1397492169622756</v>
          </cell>
          <cell r="AM16">
            <v>0</v>
          </cell>
          <cell r="AN16">
            <v>0</v>
          </cell>
          <cell r="AP16">
            <v>0.010361356517838871</v>
          </cell>
          <cell r="AR16">
            <v>0.6216813910703322</v>
          </cell>
          <cell r="AS16">
            <v>7.563790258022375</v>
          </cell>
          <cell r="AT16">
            <v>7.563790258022375</v>
          </cell>
          <cell r="AW16">
            <v>0</v>
          </cell>
          <cell r="AX16">
            <v>1.4505899124974417</v>
          </cell>
          <cell r="AY16">
            <v>14.505899124974418</v>
          </cell>
          <cell r="AZ16">
            <v>0</v>
          </cell>
          <cell r="BA16">
            <v>3.108406955351661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0.06216813910703322</v>
          </cell>
          <cell r="BN16">
            <v>0</v>
          </cell>
          <cell r="BO16">
            <v>0.06216813910703322</v>
          </cell>
        </row>
        <row r="17">
          <cell r="A17" t="str">
            <v>94TK9002</v>
          </cell>
          <cell r="B17" t="str">
            <v>Crude Oil</v>
          </cell>
          <cell r="C17">
            <v>34</v>
          </cell>
          <cell r="D17" t="str">
            <v>External Floating Roof Tank</v>
          </cell>
          <cell r="F17">
            <v>2383</v>
          </cell>
          <cell r="G17">
            <v>0</v>
          </cell>
          <cell r="H17">
            <v>0</v>
          </cell>
          <cell r="I17">
            <v>358.86537260339475</v>
          </cell>
          <cell r="J17">
            <v>1362.6838721484162</v>
          </cell>
          <cell r="K17">
            <v>328.5658836154362</v>
          </cell>
          <cell r="L17">
            <v>2050.115128367247</v>
          </cell>
          <cell r="P17">
            <v>0</v>
          </cell>
          <cell r="R17">
            <v>4.100230256734494</v>
          </cell>
          <cell r="T17">
            <v>0.10250575641836236</v>
          </cell>
          <cell r="Y17">
            <v>6.150345385101741</v>
          </cell>
          <cell r="Z17">
            <v>0</v>
          </cell>
          <cell r="AE17">
            <v>1.4361056474212566</v>
          </cell>
          <cell r="AK17">
            <v>1.127563320601986</v>
          </cell>
          <cell r="AM17">
            <v>0</v>
          </cell>
          <cell r="AN17">
            <v>0</v>
          </cell>
          <cell r="AP17">
            <v>0.010250575641836237</v>
          </cell>
          <cell r="AR17">
            <v>0.6150345385101741</v>
          </cell>
          <cell r="AS17">
            <v>7.4829202185404515</v>
          </cell>
          <cell r="AT17">
            <v>7.4829202185404515</v>
          </cell>
          <cell r="AW17">
            <v>0</v>
          </cell>
          <cell r="AX17">
            <v>1.4350805898570729</v>
          </cell>
          <cell r="AY17">
            <v>14.35080589857073</v>
          </cell>
          <cell r="AZ17">
            <v>0</v>
          </cell>
          <cell r="BA17">
            <v>3.0751726925508707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0.061503453851017416</v>
          </cell>
          <cell r="BN17">
            <v>0</v>
          </cell>
          <cell r="BO17">
            <v>0.061503453851017416</v>
          </cell>
        </row>
        <row r="18">
          <cell r="A18" t="str">
            <v>94TK9003</v>
          </cell>
          <cell r="B18" t="str">
            <v>Crude Oil</v>
          </cell>
          <cell r="C18">
            <v>37</v>
          </cell>
          <cell r="D18" t="str">
            <v>External Floating Roof Tank</v>
          </cell>
          <cell r="F18">
            <v>1303</v>
          </cell>
          <cell r="G18">
            <v>0</v>
          </cell>
          <cell r="H18">
            <v>0</v>
          </cell>
          <cell r="I18">
            <v>207.03771496349697</v>
          </cell>
          <cell r="J18">
            <v>313.55070398117647</v>
          </cell>
          <cell r="K18">
            <v>188.98364105990268</v>
          </cell>
          <cell r="L18">
            <v>709.5720600045761</v>
          </cell>
          <cell r="P18">
            <v>0</v>
          </cell>
          <cell r="R18">
            <v>0.49670044200320324</v>
          </cell>
          <cell r="T18">
            <v>0.019513231650125844</v>
          </cell>
          <cell r="Y18">
            <v>0.7095720600045761</v>
          </cell>
          <cell r="Z18">
            <v>0</v>
          </cell>
          <cell r="AE18">
            <v>0.6758673871543587</v>
          </cell>
          <cell r="AK18">
            <v>0.07095720600045761</v>
          </cell>
          <cell r="AM18">
            <v>0</v>
          </cell>
          <cell r="AN18">
            <v>0</v>
          </cell>
          <cell r="AP18">
            <v>0.0035478603000228806</v>
          </cell>
          <cell r="AR18">
            <v>0.07095720600045761</v>
          </cell>
          <cell r="AS18">
            <v>1.4191441200091521</v>
          </cell>
          <cell r="AT18">
            <v>1.4901013260096097</v>
          </cell>
          <cell r="AW18">
            <v>0</v>
          </cell>
          <cell r="AX18">
            <v>0.4612218390029744</v>
          </cell>
          <cell r="AY18">
            <v>3.5478603000228803</v>
          </cell>
          <cell r="AZ18">
            <v>0</v>
          </cell>
          <cell r="BA18">
            <v>0.35478603000228803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0.01064358090006864</v>
          </cell>
        </row>
        <row r="19">
          <cell r="A19" t="str">
            <v>94TK9004</v>
          </cell>
          <cell r="B19" t="str">
            <v>Diesel</v>
          </cell>
          <cell r="C19">
            <v>45</v>
          </cell>
          <cell r="D19" t="str">
            <v>External Floating Roof Tank</v>
          </cell>
          <cell r="F19">
            <v>290</v>
          </cell>
          <cell r="G19">
            <v>0</v>
          </cell>
          <cell r="H19">
            <v>0</v>
          </cell>
          <cell r="I19">
            <v>12.408317592751747</v>
          </cell>
          <cell r="J19">
            <v>291.0627932717647</v>
          </cell>
          <cell r="K19">
            <v>6.850694886862567</v>
          </cell>
          <cell r="L19">
            <v>310.32180575137903</v>
          </cell>
          <cell r="P19">
            <v>0</v>
          </cell>
          <cell r="R19">
            <v>0</v>
          </cell>
          <cell r="T19">
            <v>0</v>
          </cell>
          <cell r="Y19">
            <v>0</v>
          </cell>
          <cell r="Z19">
            <v>0</v>
          </cell>
          <cell r="AE19">
            <v>0</v>
          </cell>
          <cell r="AK19">
            <v>0.021860827521021753</v>
          </cell>
          <cell r="AM19">
            <v>0</v>
          </cell>
          <cell r="AN19">
            <v>0</v>
          </cell>
          <cell r="AP19">
            <v>0</v>
          </cell>
          <cell r="AR19">
            <v>0</v>
          </cell>
          <cell r="AS19">
            <v>1.5832145185521496</v>
          </cell>
          <cell r="AT19">
            <v>1.797205325243076</v>
          </cell>
          <cell r="AW19">
            <v>0</v>
          </cell>
          <cell r="AX19">
            <v>0.4436377175800751</v>
          </cell>
          <cell r="AY19">
            <v>2.4394086187418176</v>
          </cell>
          <cell r="AZ19">
            <v>0</v>
          </cell>
          <cell r="BA19">
            <v>0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 t="str">
            <v>94TK9005</v>
          </cell>
          <cell r="B20" t="str">
            <v>Gas Oil</v>
          </cell>
          <cell r="C20">
            <v>49</v>
          </cell>
          <cell r="D20" t="str">
            <v>External Floating Roof Tank</v>
          </cell>
          <cell r="F20">
            <v>260</v>
          </cell>
          <cell r="G20">
            <v>0</v>
          </cell>
          <cell r="H20">
            <v>0</v>
          </cell>
          <cell r="I20">
            <v>23.550841454727184</v>
          </cell>
          <cell r="J20">
            <v>221.39719181538462</v>
          </cell>
          <cell r="K20">
            <v>29.685513984587512</v>
          </cell>
          <cell r="L20">
            <v>274.6335472546993</v>
          </cell>
          <cell r="P20">
            <v>0</v>
          </cell>
          <cell r="R20">
            <v>0.21369611585449902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0.0014449774926299705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0.12340795871580248</v>
          </cell>
          <cell r="AT20">
            <v>0.06392687462764815</v>
          </cell>
          <cell r="AW20">
            <v>0</v>
          </cell>
          <cell r="AX20">
            <v>0.01612602527158606</v>
          </cell>
          <cell r="AY20">
            <v>75.39571450433712</v>
          </cell>
          <cell r="AZ20">
            <v>1.028040322937753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94TK9006</v>
          </cell>
          <cell r="B21" t="str">
            <v>Diesel</v>
          </cell>
          <cell r="C21">
            <v>45</v>
          </cell>
          <cell r="D21" t="str">
            <v>External Floating Roof Tank</v>
          </cell>
          <cell r="F21">
            <v>288</v>
          </cell>
          <cell r="G21">
            <v>0</v>
          </cell>
          <cell r="H21">
            <v>0</v>
          </cell>
          <cell r="I21">
            <v>6.496637645354372</v>
          </cell>
          <cell r="J21">
            <v>282.6290833538461</v>
          </cell>
          <cell r="K21">
            <v>5.388499258739743</v>
          </cell>
          <cell r="L21">
            <v>294.5142202579402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0.020747251569892076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1.502566628546903</v>
          </cell>
          <cell r="AT21">
            <v>1.7056568864884876</v>
          </cell>
          <cell r="AW21">
            <v>0</v>
          </cell>
          <cell r="AX21">
            <v>0.4210391085916382</v>
          </cell>
          <cell r="AY21">
            <v>2.3151467732011053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94TK9007</v>
          </cell>
          <cell r="B22" t="str">
            <v>Crude Oil</v>
          </cell>
          <cell r="C22">
            <v>37</v>
          </cell>
          <cell r="D22" t="str">
            <v>External Floating Roof Tank</v>
          </cell>
          <cell r="F22">
            <v>2684</v>
          </cell>
          <cell r="G22">
            <v>0</v>
          </cell>
          <cell r="H22">
            <v>0</v>
          </cell>
          <cell r="I22">
            <v>327.2007809030952</v>
          </cell>
          <cell r="J22">
            <v>943.7628322451612</v>
          </cell>
          <cell r="K22">
            <v>261.09844789120706</v>
          </cell>
          <cell r="L22">
            <v>1532.0620610394635</v>
          </cell>
          <cell r="P22">
            <v>0</v>
          </cell>
          <cell r="R22">
            <v>1.0724434427276244</v>
          </cell>
          <cell r="T22">
            <v>0.04213170667858525</v>
          </cell>
          <cell r="Y22">
            <v>1.5320620610394635</v>
          </cell>
          <cell r="Z22">
            <v>0</v>
          </cell>
          <cell r="AE22">
            <v>1.459289113140089</v>
          </cell>
          <cell r="AK22">
            <v>0.15320620610394636</v>
          </cell>
          <cell r="AM22">
            <v>0</v>
          </cell>
          <cell r="AN22">
            <v>0</v>
          </cell>
          <cell r="AP22">
            <v>0.007660310305197318</v>
          </cell>
          <cell r="AR22">
            <v>0.15320620610394636</v>
          </cell>
          <cell r="AS22">
            <v>3.064124122078927</v>
          </cell>
          <cell r="AT22">
            <v>3.2173303281828733</v>
          </cell>
          <cell r="AW22">
            <v>0</v>
          </cell>
          <cell r="AX22">
            <v>0.9958403396756512</v>
          </cell>
          <cell r="AY22">
            <v>7.660310305197318</v>
          </cell>
          <cell r="AZ22">
            <v>0</v>
          </cell>
          <cell r="BA22">
            <v>0.7660310305197318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0.022980930915591953</v>
          </cell>
        </row>
        <row r="23">
          <cell r="A23" t="str">
            <v>94TK9008</v>
          </cell>
          <cell r="B23" t="str">
            <v>Reformate</v>
          </cell>
          <cell r="C23">
            <v>44</v>
          </cell>
          <cell r="D23" t="str">
            <v>External Floating Roof Tank</v>
          </cell>
          <cell r="F23">
            <v>2204</v>
          </cell>
          <cell r="G23">
            <v>0</v>
          </cell>
          <cell r="H23">
            <v>0</v>
          </cell>
          <cell r="I23">
            <v>366.2823396869154</v>
          </cell>
          <cell r="J23">
            <v>137.84359967529412</v>
          </cell>
          <cell r="K23">
            <v>334.34183825965164</v>
          </cell>
          <cell r="L23">
            <v>838.4677776218612</v>
          </cell>
          <cell r="P23">
            <v>0</v>
          </cell>
          <cell r="R23">
            <v>3.7310013134906783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0.0022286481947861835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48.31281874313883</v>
          </cell>
          <cell r="AT23">
            <v>16.13225822276163</v>
          </cell>
          <cell r="AW23">
            <v>0</v>
          </cell>
          <cell r="AX23">
            <v>3.565328287869129</v>
          </cell>
          <cell r="AY23">
            <v>0.1134982343216909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94TK9009</v>
          </cell>
          <cell r="B24" t="str">
            <v>Crude Oil</v>
          </cell>
          <cell r="C24">
            <v>37</v>
          </cell>
          <cell r="D24" t="str">
            <v>External Floating Roof Tank</v>
          </cell>
          <cell r="F24">
            <v>2342</v>
          </cell>
          <cell r="G24">
            <v>0</v>
          </cell>
          <cell r="H24">
            <v>0</v>
          </cell>
          <cell r="I24">
            <v>327.2007809030952</v>
          </cell>
          <cell r="J24">
            <v>807.8621649498759</v>
          </cell>
          <cell r="K24">
            <v>247.71839629618427</v>
          </cell>
          <cell r="L24">
            <v>1382.7813421491553</v>
          </cell>
          <cell r="P24">
            <v>0</v>
          </cell>
          <cell r="R24">
            <v>0.9679469395044087</v>
          </cell>
          <cell r="T24">
            <v>0.03802648690910177</v>
          </cell>
          <cell r="Y24">
            <v>1.3827813421491553</v>
          </cell>
          <cell r="Z24">
            <v>0</v>
          </cell>
          <cell r="AE24">
            <v>1.3170992283970704</v>
          </cell>
          <cell r="AK24">
            <v>0.13827813421491553</v>
          </cell>
          <cell r="AM24">
            <v>0</v>
          </cell>
          <cell r="AN24">
            <v>0</v>
          </cell>
          <cell r="AP24">
            <v>0.006913906710745777</v>
          </cell>
          <cell r="AR24">
            <v>0.13827813421491553</v>
          </cell>
          <cell r="AS24">
            <v>2.7655626842983105</v>
          </cell>
          <cell r="AT24">
            <v>2.903840818513226</v>
          </cell>
          <cell r="AW24">
            <v>0</v>
          </cell>
          <cell r="AX24">
            <v>0.8988078723969509</v>
          </cell>
          <cell r="AY24">
            <v>6.913906710745777</v>
          </cell>
          <cell r="AZ24">
            <v>0</v>
          </cell>
          <cell r="BA24">
            <v>0.6913906710745776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0.02074172013223733</v>
          </cell>
        </row>
        <row r="25">
          <cell r="A25" t="str">
            <v>94TK901</v>
          </cell>
          <cell r="B25" t="str">
            <v>Emulsion</v>
          </cell>
          <cell r="C25">
            <v>52</v>
          </cell>
          <cell r="D25" t="str">
            <v>External Floating Roof Tank</v>
          </cell>
          <cell r="F25">
            <v>564</v>
          </cell>
          <cell r="G25">
            <v>0</v>
          </cell>
          <cell r="H25">
            <v>0</v>
          </cell>
          <cell r="I25">
            <v>426.63288288688494</v>
          </cell>
          <cell r="J25">
            <v>19.90072209736842</v>
          </cell>
          <cell r="K25">
            <v>754.6794256672582</v>
          </cell>
          <cell r="L25">
            <v>1201.2130306515116</v>
          </cell>
          <cell r="P25">
            <v>0.3093123553927643</v>
          </cell>
          <cell r="R25">
            <v>0.14217073755945286</v>
          </cell>
          <cell r="T25">
            <v>0</v>
          </cell>
          <cell r="Y25">
            <v>0</v>
          </cell>
          <cell r="Z25">
            <v>0.00019802777076718291</v>
          </cell>
          <cell r="AE25">
            <v>6.411453068586531E-07</v>
          </cell>
          <cell r="AK25">
            <v>0.0001075950887835027</v>
          </cell>
          <cell r="AM25">
            <v>0</v>
          </cell>
          <cell r="AN25">
            <v>0</v>
          </cell>
          <cell r="AP25">
            <v>0</v>
          </cell>
          <cell r="AR25">
            <v>0.0002612866419844774</v>
          </cell>
          <cell r="AS25">
            <v>0.23213255351041992</v>
          </cell>
          <cell r="AT25">
            <v>0.11982000316553011</v>
          </cell>
          <cell r="AW25">
            <v>0</v>
          </cell>
          <cell r="AX25">
            <v>0.029891191843024217</v>
          </cell>
          <cell r="AY25">
            <v>4.107227984225217</v>
          </cell>
          <cell r="AZ25">
            <v>0</v>
          </cell>
          <cell r="BA25">
            <v>0</v>
          </cell>
          <cell r="BC25">
            <v>0</v>
          </cell>
          <cell r="BI25">
            <v>3.9275507868824604E-11</v>
          </cell>
          <cell r="BJ25">
            <v>0</v>
          </cell>
          <cell r="BK25">
            <v>0</v>
          </cell>
          <cell r="BL25">
            <v>0</v>
          </cell>
          <cell r="BM25">
            <v>1.9976821484137003E-13</v>
          </cell>
          <cell r="BN25">
            <v>0</v>
          </cell>
          <cell r="BO25">
            <v>0</v>
          </cell>
        </row>
        <row r="26">
          <cell r="A26" t="str">
            <v>94TK9010</v>
          </cell>
          <cell r="B26" t="str">
            <v>Jet Fuel</v>
          </cell>
          <cell r="C26">
            <v>42</v>
          </cell>
          <cell r="D26" t="str">
            <v>External Floating Roof Tank</v>
          </cell>
          <cell r="F26">
            <v>209</v>
          </cell>
          <cell r="G26">
            <v>0</v>
          </cell>
          <cell r="H26">
            <v>0</v>
          </cell>
          <cell r="I26">
            <v>3.257180905889836</v>
          </cell>
          <cell r="J26">
            <v>228.7794903994475</v>
          </cell>
          <cell r="K26">
            <v>3.744895206121823</v>
          </cell>
          <cell r="L26">
            <v>235.78156651145912</v>
          </cell>
          <cell r="P26">
            <v>0</v>
          </cell>
          <cell r="R26">
            <v>0</v>
          </cell>
          <cell r="T26">
            <v>0</v>
          </cell>
          <cell r="Y26">
            <v>0</v>
          </cell>
          <cell r="Z26">
            <v>0</v>
          </cell>
          <cell r="AE26">
            <v>0</v>
          </cell>
          <cell r="AK26">
            <v>0</v>
          </cell>
          <cell r="AM26">
            <v>0</v>
          </cell>
          <cell r="AN26">
            <v>0</v>
          </cell>
          <cell r="AP26">
            <v>0</v>
          </cell>
          <cell r="AR26">
            <v>0</v>
          </cell>
          <cell r="AS26">
            <v>5.322526008982683</v>
          </cell>
          <cell r="AT26">
            <v>8.764953384759641</v>
          </cell>
          <cell r="AW26">
            <v>0</v>
          </cell>
          <cell r="AX26">
            <v>2.002705047791683</v>
          </cell>
          <cell r="AY26">
            <v>2.3460784587336505</v>
          </cell>
          <cell r="AZ26">
            <v>0</v>
          </cell>
          <cell r="BA26">
            <v>0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</row>
        <row r="27">
          <cell r="A27" t="str">
            <v>94TK9011</v>
          </cell>
          <cell r="B27" t="str">
            <v>Jet Fuel</v>
          </cell>
          <cell r="C27">
            <v>42</v>
          </cell>
          <cell r="D27" t="str">
            <v>External Floating Roof Tank</v>
          </cell>
          <cell r="F27">
            <v>222</v>
          </cell>
          <cell r="G27">
            <v>0</v>
          </cell>
          <cell r="H27">
            <v>0</v>
          </cell>
          <cell r="I27">
            <v>3.257180905889836</v>
          </cell>
          <cell r="J27">
            <v>158.03125352486185</v>
          </cell>
          <cell r="K27">
            <v>3.744895206121823</v>
          </cell>
          <cell r="L27">
            <v>165.0333296368735</v>
          </cell>
          <cell r="P27">
            <v>0</v>
          </cell>
          <cell r="R27">
            <v>0</v>
          </cell>
          <cell r="T27">
            <v>0</v>
          </cell>
          <cell r="Y27">
            <v>0</v>
          </cell>
          <cell r="Z27">
            <v>0</v>
          </cell>
          <cell r="AE27">
            <v>0</v>
          </cell>
          <cell r="AK27">
            <v>0</v>
          </cell>
          <cell r="AM27">
            <v>0</v>
          </cell>
          <cell r="AN27">
            <v>0</v>
          </cell>
          <cell r="AP27">
            <v>0</v>
          </cell>
          <cell r="AR27">
            <v>0</v>
          </cell>
          <cell r="AS27">
            <v>3.725457432222893</v>
          </cell>
          <cell r="AT27">
            <v>6.134955597254321</v>
          </cell>
          <cell r="AW27">
            <v>0</v>
          </cell>
          <cell r="AX27">
            <v>1.4017765986026398</v>
          </cell>
          <cell r="AY27">
            <v>1.6421179372194112</v>
          </cell>
          <cell r="AZ27">
            <v>0</v>
          </cell>
          <cell r="BA27">
            <v>0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94TK9012</v>
          </cell>
          <cell r="B28" t="str">
            <v>HT Gas Oil</v>
          </cell>
          <cell r="C28">
            <v>50</v>
          </cell>
          <cell r="D28" t="str">
            <v>External Floating Roof Tank</v>
          </cell>
          <cell r="F28">
            <v>195</v>
          </cell>
          <cell r="G28">
            <v>0</v>
          </cell>
          <cell r="H28">
            <v>0</v>
          </cell>
          <cell r="I28">
            <v>19.24828388126741</v>
          </cell>
          <cell r="J28">
            <v>170.06831488</v>
          </cell>
          <cell r="K28">
            <v>24.834327838890868</v>
          </cell>
          <cell r="L28">
            <v>214.15092660015827</v>
          </cell>
          <cell r="P28">
            <v>0</v>
          </cell>
          <cell r="R28">
            <v>0.08566037064006331</v>
          </cell>
          <cell r="T28">
            <v>0.0010707546330007915</v>
          </cell>
          <cell r="Y28">
            <v>0.21415092660015828</v>
          </cell>
          <cell r="Z28">
            <v>0</v>
          </cell>
          <cell r="AE28">
            <v>0.03265801630652414</v>
          </cell>
          <cell r="AK28">
            <v>0.021415092660015827</v>
          </cell>
          <cell r="AM28">
            <v>0</v>
          </cell>
          <cell r="AN28">
            <v>0</v>
          </cell>
          <cell r="AP28">
            <v>0.0010707546330007915</v>
          </cell>
          <cell r="AR28">
            <v>0.021415092660015827</v>
          </cell>
          <cell r="AS28">
            <v>0.09636791697007122</v>
          </cell>
          <cell r="AT28">
            <v>0.06424527798004748</v>
          </cell>
          <cell r="AW28">
            <v>0</v>
          </cell>
          <cell r="AX28">
            <v>0.021415092660015827</v>
          </cell>
          <cell r="AY28">
            <v>0.10707546330007914</v>
          </cell>
          <cell r="AZ28">
            <v>0</v>
          </cell>
          <cell r="BA28">
            <v>0.10707546330007914</v>
          </cell>
          <cell r="BC28">
            <v>0</v>
          </cell>
          <cell r="BI28">
            <v>0.002141509266001583</v>
          </cell>
          <cell r="BJ28">
            <v>0</v>
          </cell>
          <cell r="BK28">
            <v>0</v>
          </cell>
          <cell r="BL28">
            <v>0</v>
          </cell>
          <cell r="BM28">
            <v>0.013919810229010286</v>
          </cell>
          <cell r="BN28">
            <v>0.006424527798004748</v>
          </cell>
          <cell r="BO28">
            <v>0.005353773165003957</v>
          </cell>
        </row>
        <row r="29">
          <cell r="A29" t="str">
            <v>94TK9013</v>
          </cell>
          <cell r="B29" t="str">
            <v>Naphtha</v>
          </cell>
          <cell r="C29">
            <v>47</v>
          </cell>
          <cell r="D29" t="str">
            <v>External Floating Roof Tank</v>
          </cell>
          <cell r="F29">
            <v>5437</v>
          </cell>
          <cell r="G29">
            <v>0</v>
          </cell>
          <cell r="H29">
            <v>0</v>
          </cell>
          <cell r="I29">
            <v>756.1336084499885</v>
          </cell>
          <cell r="J29">
            <v>238.620492</v>
          </cell>
          <cell r="K29">
            <v>1040.4217666050938</v>
          </cell>
          <cell r="L29">
            <v>2035.1758670550823</v>
          </cell>
          <cell r="P29">
            <v>0</v>
          </cell>
          <cell r="R29">
            <v>12.312813995683248</v>
          </cell>
          <cell r="T29">
            <v>0.10175879335275412</v>
          </cell>
          <cell r="Y29">
            <v>5.596733634401476</v>
          </cell>
          <cell r="Z29">
            <v>0</v>
          </cell>
          <cell r="AE29">
            <v>0.7947361760850097</v>
          </cell>
          <cell r="AK29">
            <v>0.5596733634401477</v>
          </cell>
          <cell r="AM29">
            <v>0</v>
          </cell>
          <cell r="AN29">
            <v>0</v>
          </cell>
          <cell r="AP29">
            <v>0.07224874328045543</v>
          </cell>
          <cell r="AR29">
            <v>0.7123115534692788</v>
          </cell>
          <cell r="AS29">
            <v>35.615577673463946</v>
          </cell>
          <cell r="AT29">
            <v>34.5979897399364</v>
          </cell>
          <cell r="AW29">
            <v>0</v>
          </cell>
          <cell r="AX29">
            <v>9.463567781806132</v>
          </cell>
          <cell r="AY29">
            <v>62.07286394518001</v>
          </cell>
          <cell r="AZ29">
            <v>0</v>
          </cell>
          <cell r="BA29">
            <v>2.798366817200738</v>
          </cell>
          <cell r="BC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</row>
        <row r="30">
          <cell r="A30" t="str">
            <v>94TK902</v>
          </cell>
          <cell r="B30" t="str">
            <v>HCN</v>
          </cell>
          <cell r="C30">
            <v>43</v>
          </cell>
          <cell r="D30" t="str">
            <v>External Floating Roof Tank</v>
          </cell>
          <cell r="F30">
            <v>81</v>
          </cell>
          <cell r="G30">
            <v>0</v>
          </cell>
          <cell r="H30">
            <v>0</v>
          </cell>
          <cell r="I30">
            <v>2.7310083834375614</v>
          </cell>
          <cell r="J30">
            <v>38.7298587</v>
          </cell>
          <cell r="K30">
            <v>3.755659208135904</v>
          </cell>
          <cell r="L30">
            <v>45.216526291573466</v>
          </cell>
          <cell r="P30">
            <v>0</v>
          </cell>
          <cell r="R30">
            <v>0.009043305258314694</v>
          </cell>
          <cell r="T30">
            <v>0.00022608263145786734</v>
          </cell>
          <cell r="Y30">
            <v>0.022608263145786733</v>
          </cell>
          <cell r="Z30">
            <v>0</v>
          </cell>
          <cell r="AE30">
            <v>0.0011530214204351233</v>
          </cell>
          <cell r="AK30">
            <v>0.08591139995398958</v>
          </cell>
          <cell r="AM30">
            <v>0</v>
          </cell>
          <cell r="AN30">
            <v>0</v>
          </cell>
          <cell r="AP30">
            <v>0.00022608263145786734</v>
          </cell>
          <cell r="AR30">
            <v>0.0022608263145786735</v>
          </cell>
          <cell r="AS30">
            <v>0.02034743683120806</v>
          </cell>
          <cell r="AT30">
            <v>0.04973817892073081</v>
          </cell>
          <cell r="AW30">
            <v>0</v>
          </cell>
          <cell r="AX30">
            <v>0.011304131572893367</v>
          </cell>
          <cell r="AY30">
            <v>0.011304131572893367</v>
          </cell>
          <cell r="AZ30">
            <v>0</v>
          </cell>
          <cell r="BA30">
            <v>0.011304131572893367</v>
          </cell>
          <cell r="BC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</row>
        <row r="31">
          <cell r="A31" t="str">
            <v>94TK903</v>
          </cell>
          <cell r="B31" t="str">
            <v>Distillate Feed</v>
          </cell>
          <cell r="C31">
            <v>48</v>
          </cell>
          <cell r="D31" t="str">
            <v>External Floating Roof Tank</v>
          </cell>
          <cell r="F31">
            <v>3407</v>
          </cell>
          <cell r="G31">
            <v>0</v>
          </cell>
          <cell r="H31">
            <v>0</v>
          </cell>
          <cell r="I31">
            <v>177.83031219891586</v>
          </cell>
          <cell r="J31">
            <v>199.06405329084504</v>
          </cell>
          <cell r="K31">
            <v>81.02146223918473</v>
          </cell>
          <cell r="L31">
            <v>457.9158277289456</v>
          </cell>
          <cell r="P31">
            <v>0</v>
          </cell>
          <cell r="R31">
            <v>0.03434368707967092</v>
          </cell>
          <cell r="T31">
            <v>0.002289579138644728</v>
          </cell>
          <cell r="Y31">
            <v>0.2289579138644728</v>
          </cell>
          <cell r="Z31">
            <v>0</v>
          </cell>
          <cell r="AE31">
            <v>0.03915180327082485</v>
          </cell>
          <cell r="AK31">
            <v>0.6868737415934184</v>
          </cell>
          <cell r="AM31">
            <v>0</v>
          </cell>
          <cell r="AN31">
            <v>0</v>
          </cell>
          <cell r="AP31">
            <v>0.002289579138644728</v>
          </cell>
          <cell r="AR31">
            <v>0.022895791386447283</v>
          </cell>
          <cell r="AS31">
            <v>0.06868737415934184</v>
          </cell>
          <cell r="AT31">
            <v>0.4579158277289456</v>
          </cell>
          <cell r="AW31">
            <v>0</v>
          </cell>
          <cell r="AX31">
            <v>0.022895791386447283</v>
          </cell>
          <cell r="AY31">
            <v>0.1144789569322364</v>
          </cell>
          <cell r="AZ31">
            <v>0</v>
          </cell>
          <cell r="BA31">
            <v>0.1144789569322364</v>
          </cell>
          <cell r="BC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0.013737474831868369</v>
          </cell>
          <cell r="BN31">
            <v>0</v>
          </cell>
          <cell r="BO31">
            <v>0</v>
          </cell>
        </row>
        <row r="32">
          <cell r="A32" t="str">
            <v>94TK9030</v>
          </cell>
          <cell r="B32" t="str">
            <v>Gasoline</v>
          </cell>
          <cell r="C32">
            <v>58</v>
          </cell>
          <cell r="D32" t="str">
            <v>External Floating Roof Tank</v>
          </cell>
          <cell r="F32">
            <v>7102</v>
          </cell>
          <cell r="G32">
            <v>0</v>
          </cell>
          <cell r="H32">
            <v>0</v>
          </cell>
          <cell r="I32">
            <v>3437.5049063658944</v>
          </cell>
          <cell r="J32">
            <v>292.8903993042857</v>
          </cell>
          <cell r="K32">
            <v>1142.2187081359957</v>
          </cell>
          <cell r="L32">
            <v>4872.614013806176</v>
          </cell>
          <cell r="P32">
            <v>0</v>
          </cell>
          <cell r="R32">
            <v>36.544605103546324</v>
          </cell>
          <cell r="T32">
            <v>0.24363070069030884</v>
          </cell>
          <cell r="Y32">
            <v>13.399688537966984</v>
          </cell>
          <cell r="Z32">
            <v>0</v>
          </cell>
          <cell r="AE32">
            <v>0.3435192879733355</v>
          </cell>
          <cell r="AK32">
            <v>9.501597326922044</v>
          </cell>
          <cell r="AM32">
            <v>0</v>
          </cell>
          <cell r="AN32">
            <v>0</v>
          </cell>
          <cell r="AP32">
            <v>0.46533463831848987</v>
          </cell>
          <cell r="AR32">
            <v>2.9235684082837055</v>
          </cell>
          <cell r="AS32">
            <v>153.48734143489455</v>
          </cell>
          <cell r="AT32">
            <v>190.03194653844088</v>
          </cell>
          <cell r="AW32">
            <v>0</v>
          </cell>
          <cell r="AX32">
            <v>33.86466739595292</v>
          </cell>
          <cell r="AY32">
            <v>47.75161733530053</v>
          </cell>
          <cell r="AZ32">
            <v>0</v>
          </cell>
          <cell r="BA32">
            <v>6.699844268983492</v>
          </cell>
          <cell r="BC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A33" t="str">
            <v>94TK9031</v>
          </cell>
          <cell r="B33" t="str">
            <v>Gasoline</v>
          </cell>
          <cell r="C33">
            <v>58</v>
          </cell>
          <cell r="D33" t="str">
            <v>External Floating Roof Tank</v>
          </cell>
          <cell r="F33">
            <v>7343</v>
          </cell>
          <cell r="G33">
            <v>0</v>
          </cell>
          <cell r="H33">
            <v>0</v>
          </cell>
          <cell r="I33">
            <v>3437.5049063658944</v>
          </cell>
          <cell r="J33">
            <v>288.1655004985714</v>
          </cell>
          <cell r="K33">
            <v>1142.2187081359957</v>
          </cell>
          <cell r="L33">
            <v>4867.889115000462</v>
          </cell>
          <cell r="P33">
            <v>0</v>
          </cell>
          <cell r="R33">
            <v>36.509168362503466</v>
          </cell>
          <cell r="T33">
            <v>0.2433944557500231</v>
          </cell>
          <cell r="Y33">
            <v>13.386695066251269</v>
          </cell>
          <cell r="Z33">
            <v>0</v>
          </cell>
          <cell r="AE33">
            <v>0.3431861826075326</v>
          </cell>
          <cell r="AK33">
            <v>9.4923837742509</v>
          </cell>
          <cell r="AM33">
            <v>0</v>
          </cell>
          <cell r="AN33">
            <v>0</v>
          </cell>
          <cell r="AP33">
            <v>0.4648834104825441</v>
          </cell>
          <cell r="AR33">
            <v>2.920733469000277</v>
          </cell>
          <cell r="AS33">
            <v>153.33850712251456</v>
          </cell>
          <cell r="AT33">
            <v>189.84767548501802</v>
          </cell>
          <cell r="AW33">
            <v>0</v>
          </cell>
          <cell r="AX33">
            <v>33.83182934925321</v>
          </cell>
          <cell r="AY33">
            <v>47.705313327004525</v>
          </cell>
          <cell r="AZ33">
            <v>0</v>
          </cell>
          <cell r="BA33">
            <v>6.6933475331256345</v>
          </cell>
          <cell r="BC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A34" t="str">
            <v>94TK909A</v>
          </cell>
          <cell r="B34" t="str">
            <v>Slop Oil</v>
          </cell>
          <cell r="C34">
            <v>52</v>
          </cell>
          <cell r="D34" t="str">
            <v>Vertical Fixed Roof Tank</v>
          </cell>
          <cell r="E34">
            <v>99.95</v>
          </cell>
          <cell r="F34">
            <v>4.16</v>
          </cell>
          <cell r="G34">
            <v>496.4897546209572</v>
          </cell>
          <cell r="H34">
            <v>7485.63654</v>
          </cell>
          <cell r="I34">
            <v>0</v>
          </cell>
          <cell r="J34">
            <v>0</v>
          </cell>
          <cell r="K34">
            <v>0</v>
          </cell>
          <cell r="L34">
            <v>3.9910631473102516</v>
          </cell>
          <cell r="P34">
            <v>0.0010276987604323899</v>
          </cell>
          <cell r="R34">
            <v>0.00047236616388659857</v>
          </cell>
          <cell r="T34">
            <v>0</v>
          </cell>
          <cell r="Y34">
            <v>0</v>
          </cell>
          <cell r="Z34">
            <v>6.579526843995708E-07</v>
          </cell>
          <cell r="AE34">
            <v>2.1302228172521807E-09</v>
          </cell>
          <cell r="AK34">
            <v>3.5748762519043346E-07</v>
          </cell>
          <cell r="AM34">
            <v>0</v>
          </cell>
          <cell r="AN34">
            <v>0</v>
          </cell>
          <cell r="AP34">
            <v>0</v>
          </cell>
          <cell r="AR34">
            <v>8.681320141383226E-07</v>
          </cell>
          <cell r="AS34">
            <v>0.0007712667578239412</v>
          </cell>
          <cell r="AT34">
            <v>0.0003981052375740336</v>
          </cell>
          <cell r="AW34">
            <v>0</v>
          </cell>
          <cell r="AX34">
            <v>9.93143024174241E-05</v>
          </cell>
          <cell r="AY34">
            <v>0.013646377309570029</v>
          </cell>
          <cell r="AZ34">
            <v>0</v>
          </cell>
          <cell r="BA34">
            <v>0</v>
          </cell>
          <cell r="BC34">
            <v>0</v>
          </cell>
          <cell r="BI34">
            <v>1.3049394907258154E-13</v>
          </cell>
          <cell r="BJ34">
            <v>0</v>
          </cell>
          <cell r="BK34">
            <v>0</v>
          </cell>
          <cell r="BL34">
            <v>0</v>
          </cell>
          <cell r="BM34">
            <v>6.637353574369048E-16</v>
          </cell>
          <cell r="BN34">
            <v>0</v>
          </cell>
          <cell r="BO34">
            <v>0</v>
          </cell>
        </row>
        <row r="35">
          <cell r="A35" t="str">
            <v>94TK909B</v>
          </cell>
          <cell r="B35" t="str">
            <v>Slop Oil</v>
          </cell>
          <cell r="C35">
            <v>52</v>
          </cell>
          <cell r="D35" t="str">
            <v>Vertical Fixed Roof Tank</v>
          </cell>
          <cell r="E35">
            <v>99.95</v>
          </cell>
          <cell r="F35">
            <v>8</v>
          </cell>
          <cell r="G35">
            <v>659.2734487528039</v>
          </cell>
          <cell r="H35">
            <v>16952.349260000003</v>
          </cell>
          <cell r="I35">
            <v>0</v>
          </cell>
          <cell r="J35">
            <v>0</v>
          </cell>
          <cell r="K35">
            <v>0</v>
          </cell>
          <cell r="L35">
            <v>8.805811354375901</v>
          </cell>
          <cell r="P35">
            <v>0.002267496423751795</v>
          </cell>
          <cell r="R35">
            <v>0.0010422203748339358</v>
          </cell>
          <cell r="T35">
            <v>0</v>
          </cell>
          <cell r="Y35">
            <v>0</v>
          </cell>
          <cell r="Z35">
            <v>1.4516952012730092E-06</v>
          </cell>
          <cell r="AE35">
            <v>4.700086062068931E-09</v>
          </cell>
          <cell r="AK35">
            <v>7.887543926916682E-07</v>
          </cell>
          <cell r="AM35">
            <v>0</v>
          </cell>
          <cell r="AN35">
            <v>0</v>
          </cell>
          <cell r="AP35">
            <v>0</v>
          </cell>
          <cell r="AR35">
            <v>1.9154311683463313E-06</v>
          </cell>
          <cell r="AS35">
            <v>0.0017017093748255825</v>
          </cell>
          <cell r="AT35">
            <v>0.0008783723764502552</v>
          </cell>
          <cell r="AW35">
            <v>0</v>
          </cell>
          <cell r="AX35">
            <v>0.0002191253256588203</v>
          </cell>
          <cell r="AY35">
            <v>0.03010912627120305</v>
          </cell>
          <cell r="AZ35">
            <v>0</v>
          </cell>
          <cell r="BA35">
            <v>0</v>
          </cell>
          <cell r="BC35">
            <v>0</v>
          </cell>
          <cell r="BI35">
            <v>2.879195482524801E-13</v>
          </cell>
          <cell r="BJ35">
            <v>0</v>
          </cell>
          <cell r="BK35">
            <v>0</v>
          </cell>
          <cell r="BL35">
            <v>0</v>
          </cell>
          <cell r="BM35">
            <v>1.4644539890975307E-15</v>
          </cell>
          <cell r="BN35">
            <v>0</v>
          </cell>
          <cell r="BO35">
            <v>0</v>
          </cell>
        </row>
        <row r="36">
          <cell r="A36" t="str">
            <v>95TK1</v>
          </cell>
          <cell r="B36" t="str">
            <v>Emulsion</v>
          </cell>
          <cell r="C36">
            <v>52</v>
          </cell>
          <cell r="D36" t="str">
            <v>Vertical Fixed Roof Tank</v>
          </cell>
          <cell r="E36">
            <v>99.95</v>
          </cell>
          <cell r="F36">
            <v>24.02</v>
          </cell>
          <cell r="G36">
            <v>7535.473229279754</v>
          </cell>
          <cell r="H36">
            <v>114567.01530266665</v>
          </cell>
          <cell r="I36">
            <v>0</v>
          </cell>
          <cell r="J36">
            <v>0</v>
          </cell>
          <cell r="K36">
            <v>0</v>
          </cell>
          <cell r="L36">
            <v>61.051244265969736</v>
          </cell>
          <cell r="P36">
            <v>0.01572069539848721</v>
          </cell>
          <cell r="R36">
            <v>0.007225779445222597</v>
          </cell>
          <cell r="T36">
            <v>0</v>
          </cell>
          <cell r="Y36">
            <v>0</v>
          </cell>
          <cell r="Z36">
            <v>1.0064694185006867E-05</v>
          </cell>
          <cell r="AE36">
            <v>3.258599244280392E-08</v>
          </cell>
          <cell r="AK36">
            <v>5.468483840520397E-06</v>
          </cell>
          <cell r="AM36">
            <v>0</v>
          </cell>
          <cell r="AN36">
            <v>0</v>
          </cell>
          <cell r="AP36">
            <v>0</v>
          </cell>
          <cell r="AR36">
            <v>1.3279804827439615E-05</v>
          </cell>
          <cell r="AS36">
            <v>0.011798058183535826</v>
          </cell>
          <cell r="AT36">
            <v>0.006089810961541487</v>
          </cell>
          <cell r="AW36">
            <v>0</v>
          </cell>
          <cell r="AX36">
            <v>0.001519209672259092</v>
          </cell>
          <cell r="AY36">
            <v>0.2087484671931657</v>
          </cell>
          <cell r="AZ36">
            <v>0</v>
          </cell>
          <cell r="BA36">
            <v>0</v>
          </cell>
          <cell r="BC36">
            <v>0</v>
          </cell>
          <cell r="BI36">
            <v>1.9961643466930284E-12</v>
          </cell>
          <cell r="BJ36">
            <v>0</v>
          </cell>
          <cell r="BK36">
            <v>0</v>
          </cell>
          <cell r="BL36">
            <v>0</v>
          </cell>
          <cell r="BM36">
            <v>1.0153151663899538E-14</v>
          </cell>
          <cell r="BN36">
            <v>0</v>
          </cell>
          <cell r="BO36">
            <v>0</v>
          </cell>
        </row>
        <row r="37">
          <cell r="A37" t="str">
            <v>95TK9014</v>
          </cell>
          <cell r="B37" t="str">
            <v>Effluent Water</v>
          </cell>
          <cell r="C37">
            <v>41</v>
          </cell>
          <cell r="D37" t="str">
            <v>Vertical Fixed Roof Tank</v>
          </cell>
          <cell r="G37">
            <v>22707.53715403149</v>
          </cell>
          <cell r="H37">
            <v>105023.34018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P37">
            <v>0</v>
          </cell>
          <cell r="R37">
            <v>0</v>
          </cell>
          <cell r="T37">
            <v>0</v>
          </cell>
          <cell r="Y37">
            <v>0</v>
          </cell>
          <cell r="Z37">
            <v>0</v>
          </cell>
          <cell r="AE37">
            <v>0</v>
          </cell>
          <cell r="AK37">
            <v>0</v>
          </cell>
          <cell r="AM37">
            <v>0</v>
          </cell>
          <cell r="AN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</row>
        <row r="38">
          <cell r="A38" t="str">
            <v>95TK9017</v>
          </cell>
          <cell r="B38" t="str">
            <v>Effluent Water</v>
          </cell>
          <cell r="C38">
            <v>41</v>
          </cell>
          <cell r="D38" t="str">
            <v>Vertical Fixed Roof Tank</v>
          </cell>
          <cell r="G38">
            <v>0.0317042032570936</v>
          </cell>
          <cell r="H38">
            <v>0.24267668110710502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P38">
            <v>0</v>
          </cell>
          <cell r="R38">
            <v>0</v>
          </cell>
          <cell r="T38">
            <v>0</v>
          </cell>
          <cell r="Y38">
            <v>0</v>
          </cell>
          <cell r="Z38">
            <v>0</v>
          </cell>
          <cell r="AE38">
            <v>0</v>
          </cell>
          <cell r="AK38">
            <v>0</v>
          </cell>
          <cell r="AM38">
            <v>0</v>
          </cell>
          <cell r="AN38">
            <v>0</v>
          </cell>
          <cell r="AP38">
            <v>0</v>
          </cell>
          <cell r="AR38">
            <v>0</v>
          </cell>
          <cell r="AS38">
            <v>0</v>
          </cell>
          <cell r="AT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</row>
        <row r="39">
          <cell r="A39" t="str">
            <v>95TK9018</v>
          </cell>
          <cell r="B39" t="str">
            <v>Water/oil</v>
          </cell>
          <cell r="C39">
            <v>53</v>
          </cell>
          <cell r="D39" t="str">
            <v>Vertical Fixed Roof Tank</v>
          </cell>
          <cell r="E39">
            <v>99.95</v>
          </cell>
          <cell r="G39">
            <v>757.4477708894383</v>
          </cell>
          <cell r="H39">
            <v>451.33796</v>
          </cell>
          <cell r="I39">
            <v>0</v>
          </cell>
          <cell r="J39">
            <v>0</v>
          </cell>
          <cell r="K39">
            <v>0</v>
          </cell>
          <cell r="L39">
            <v>0.6043928654446848</v>
          </cell>
          <cell r="P39">
            <v>0.22758611733455308</v>
          </cell>
          <cell r="R39">
            <v>0.002120383619788076</v>
          </cell>
          <cell r="T39">
            <v>0</v>
          </cell>
          <cell r="Y39">
            <v>0</v>
          </cell>
          <cell r="Z39">
            <v>0</v>
          </cell>
          <cell r="AE39">
            <v>5.247172592758181E-06</v>
          </cell>
          <cell r="AK39">
            <v>6.814823387748639E-07</v>
          </cell>
          <cell r="AM39">
            <v>0</v>
          </cell>
          <cell r="AN39">
            <v>0</v>
          </cell>
          <cell r="AP39">
            <v>0.006163587000952801</v>
          </cell>
          <cell r="AR39">
            <v>0</v>
          </cell>
          <cell r="AS39">
            <v>0.004977442158974872</v>
          </cell>
          <cell r="AT39">
            <v>0.004251026918742325</v>
          </cell>
          <cell r="AW39">
            <v>0</v>
          </cell>
          <cell r="AX39">
            <v>0.0008567206544598288</v>
          </cell>
          <cell r="AY39">
            <v>0.3546054657594305</v>
          </cell>
          <cell r="AZ39">
            <v>0</v>
          </cell>
          <cell r="BA39">
            <v>0</v>
          </cell>
          <cell r="BC39">
            <v>0</v>
          </cell>
          <cell r="BI39">
            <v>4.3622358498500903E-13</v>
          </cell>
          <cell r="BJ39">
            <v>1.0421138058742304E-09</v>
          </cell>
          <cell r="BK39">
            <v>6.699993613665074E-14</v>
          </cell>
          <cell r="BL39">
            <v>7.134970310634633E-17</v>
          </cell>
          <cell r="BM39">
            <v>1.946593142038971E-15</v>
          </cell>
          <cell r="BN39">
            <v>0</v>
          </cell>
          <cell r="BO39">
            <v>0</v>
          </cell>
        </row>
        <row r="40">
          <cell r="A40" t="str">
            <v>95TK9019</v>
          </cell>
          <cell r="B40" t="str">
            <v>Wet Slop</v>
          </cell>
          <cell r="C40">
            <v>52</v>
          </cell>
          <cell r="D40" t="str">
            <v>Vertical Fixed Roof Tank</v>
          </cell>
          <cell r="E40">
            <v>99.95</v>
          </cell>
          <cell r="G40">
            <v>8551.068870927087</v>
          </cell>
          <cell r="H40">
            <v>88687.30871</v>
          </cell>
          <cell r="I40">
            <v>0</v>
          </cell>
          <cell r="J40">
            <v>0</v>
          </cell>
          <cell r="K40">
            <v>0</v>
          </cell>
          <cell r="L40">
            <v>48.61918879046078</v>
          </cell>
          <cell r="P40">
            <v>0.012519441113543653</v>
          </cell>
          <cell r="R40">
            <v>0.005754371417477091</v>
          </cell>
          <cell r="T40">
            <v>0</v>
          </cell>
          <cell r="Y40">
            <v>0</v>
          </cell>
          <cell r="Z40">
            <v>8.015189085537782E-06</v>
          </cell>
          <cell r="AE40">
            <v>2.5950405066261873E-08</v>
          </cell>
          <cell r="AK40">
            <v>4.354919403142194E-06</v>
          </cell>
          <cell r="AM40">
            <v>0</v>
          </cell>
          <cell r="AN40">
            <v>0</v>
          </cell>
          <cell r="AP40">
            <v>0</v>
          </cell>
          <cell r="AR40">
            <v>1.0575596710084572E-05</v>
          </cell>
          <cell r="AS40">
            <v>0.009395582761380398</v>
          </cell>
          <cell r="AT40">
            <v>0.004849723742689393</v>
          </cell>
          <cell r="AW40">
            <v>0</v>
          </cell>
          <cell r="AX40">
            <v>0.001209848263633675</v>
          </cell>
          <cell r="AY40">
            <v>0.1662403650934439</v>
          </cell>
          <cell r="AZ40">
            <v>0</v>
          </cell>
          <cell r="BA40">
            <v>0</v>
          </cell>
          <cell r="BC40">
            <v>0</v>
          </cell>
          <cell r="BI40">
            <v>1.5896791686316597E-12</v>
          </cell>
          <cell r="BJ40">
            <v>0</v>
          </cell>
          <cell r="BK40">
            <v>0</v>
          </cell>
          <cell r="BL40">
            <v>0</v>
          </cell>
          <cell r="BM40">
            <v>8.085633691834007E-15</v>
          </cell>
          <cell r="BN40">
            <v>0</v>
          </cell>
          <cell r="BO40">
            <v>0</v>
          </cell>
        </row>
        <row r="41">
          <cell r="A41" t="str">
            <v>95TK950</v>
          </cell>
          <cell r="B41" t="str">
            <v>Emulsion</v>
          </cell>
          <cell r="C41">
            <v>52</v>
          </cell>
          <cell r="D41" t="str">
            <v>Vertical Fixed Roof Tank</v>
          </cell>
          <cell r="E41">
            <v>99.95</v>
          </cell>
          <cell r="F41">
            <v>5.4</v>
          </cell>
          <cell r="G41">
            <v>6758.271264871917</v>
          </cell>
          <cell r="H41">
            <v>96968.240457</v>
          </cell>
          <cell r="I41">
            <v>0</v>
          </cell>
          <cell r="J41">
            <v>0</v>
          </cell>
          <cell r="K41">
            <v>0</v>
          </cell>
          <cell r="L41">
            <v>51.863255860933016</v>
          </cell>
          <cell r="P41">
            <v>0.013354788384190254</v>
          </cell>
          <cell r="R41">
            <v>0.006138326133528765</v>
          </cell>
          <cell r="T41">
            <v>0</v>
          </cell>
          <cell r="Y41">
            <v>0</v>
          </cell>
          <cell r="Z41">
            <v>8.549994614442518E-06</v>
          </cell>
          <cell r="AE41">
            <v>2.7681920063430916E-08</v>
          </cell>
          <cell r="AK41">
            <v>4.6454970738471E-06</v>
          </cell>
          <cell r="AM41">
            <v>0</v>
          </cell>
          <cell r="AN41">
            <v>0</v>
          </cell>
          <cell r="AP41">
            <v>0</v>
          </cell>
          <cell r="AR41">
            <v>1.1281242894056098E-05</v>
          </cell>
          <cell r="AS41">
            <v>0.010022493686929838</v>
          </cell>
          <cell r="AT41">
            <v>0.005173316741378685</v>
          </cell>
          <cell r="AW41">
            <v>0</v>
          </cell>
          <cell r="AX41">
            <v>0.0012905741870800176</v>
          </cell>
          <cell r="AY41">
            <v>0.17733258829994739</v>
          </cell>
          <cell r="AZ41">
            <v>0</v>
          </cell>
          <cell r="BA41">
            <v>0</v>
          </cell>
          <cell r="BC41">
            <v>0</v>
          </cell>
          <cell r="BI41">
            <v>1.6957489318644323E-12</v>
          </cell>
          <cell r="BJ41">
            <v>0</v>
          </cell>
          <cell r="BK41">
            <v>0</v>
          </cell>
          <cell r="BL41">
            <v>0</v>
          </cell>
          <cell r="BM41">
            <v>8.625139567109451E-15</v>
          </cell>
          <cell r="BN41">
            <v>0</v>
          </cell>
          <cell r="BO41">
            <v>0</v>
          </cell>
        </row>
        <row r="42">
          <cell r="A42" t="str">
            <v>95TK952</v>
          </cell>
          <cell r="B42" t="str">
            <v>Effluent Water</v>
          </cell>
          <cell r="C42">
            <v>53</v>
          </cell>
          <cell r="D42" t="str">
            <v>Vertical Fixed Roof Tank</v>
          </cell>
          <cell r="E42">
            <v>99.95</v>
          </cell>
          <cell r="F42">
            <v>1.63</v>
          </cell>
          <cell r="G42">
            <v>1778.7877131967919</v>
          </cell>
          <cell r="H42">
            <v>25525.65225833333</v>
          </cell>
          <cell r="I42">
            <v>0</v>
          </cell>
          <cell r="J42">
            <v>0</v>
          </cell>
          <cell r="K42">
            <v>0</v>
          </cell>
          <cell r="L42">
            <v>13.652219985764283</v>
          </cell>
          <cell r="P42">
            <v>5.140788247510583</v>
          </cell>
          <cell r="R42">
            <v>0.0478959056048079</v>
          </cell>
          <cell r="T42">
            <v>0</v>
          </cell>
          <cell r="Y42">
            <v>0</v>
          </cell>
          <cell r="Z42">
            <v>0</v>
          </cell>
          <cell r="AE42">
            <v>0.00011852481826849766</v>
          </cell>
          <cell r="AK42">
            <v>1.5393541746265168E-05</v>
          </cell>
          <cell r="AM42">
            <v>0</v>
          </cell>
          <cell r="AN42">
            <v>0</v>
          </cell>
          <cell r="AP42">
            <v>0.13922508098518582</v>
          </cell>
          <cell r="AR42">
            <v>0</v>
          </cell>
          <cell r="AS42">
            <v>0.11243206067752907</v>
          </cell>
          <cell r="AT42">
            <v>0.09602356013480685</v>
          </cell>
          <cell r="AW42">
            <v>0</v>
          </cell>
          <cell r="AX42">
            <v>0.019351881052447638</v>
          </cell>
          <cell r="AY42">
            <v>8.009942048439386</v>
          </cell>
          <cell r="AZ42">
            <v>0</v>
          </cell>
          <cell r="BA42">
            <v>0</v>
          </cell>
          <cell r="BC42">
            <v>0</v>
          </cell>
          <cell r="BI42">
            <v>9.853558315603802E-12</v>
          </cell>
          <cell r="BJ42">
            <v>2.3539601046629405E-08</v>
          </cell>
          <cell r="BK42">
            <v>1.51341605678406E-12</v>
          </cell>
          <cell r="BL42">
            <v>1.6116699888740813E-15</v>
          </cell>
          <cell r="BM42">
            <v>4.3970270526511286E-14</v>
          </cell>
          <cell r="BN42">
            <v>0</v>
          </cell>
          <cell r="BO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50SCH1"/>
      <sheetName val="Combustion Source Test 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nk Summary"/>
      <sheetName val="Speciated Avg Emissions (lb yr)"/>
      <sheetName val="Speciated Avg Emissions (g s)"/>
      <sheetName val="TAC Totals (lb yr)"/>
      <sheetName val="TAC Totals (g s)"/>
    </sheetNames>
    <sheetDataSet>
      <sheetData sheetId="0">
        <row r="1">
          <cell r="A1" t="str">
            <v>Description</v>
          </cell>
          <cell r="B1" t="str">
            <v>SCAQMD Id #</v>
          </cell>
          <cell r="C1" t="str">
            <v>Unit #</v>
          </cell>
          <cell r="D1" t="str">
            <v>Tank Type</v>
          </cell>
          <cell r="E1" t="str">
            <v>UTME</v>
          </cell>
          <cell r="F1" t="str">
            <v>UTMN</v>
          </cell>
          <cell r="G1" t="str">
            <v>Height (ft)</v>
          </cell>
          <cell r="H1" t="str">
            <v>Diameter (ft)</v>
          </cell>
          <cell r="I1" t="str">
            <v>Speciation No.</v>
          </cell>
          <cell r="J1" t="str">
            <v>1997/98 Emissions (lb/yr)</v>
          </cell>
          <cell r="K1" t="str">
            <v>1998/99 Emissions (lb/yr)</v>
          </cell>
          <cell r="L1" t="str">
            <v>Average Emissions (lb/yr)</v>
          </cell>
          <cell r="M1" t="str">
            <v>Contents (97/98 / 98/99)</v>
          </cell>
          <cell r="N1" t="str">
            <v>Post Project Contents</v>
          </cell>
          <cell r="O1" t="str">
            <v>Calculated Emissions (lb/yr)</v>
          </cell>
          <cell r="P1" t="str">
            <v>Notes</v>
          </cell>
          <cell r="Q1" t="str">
            <v>Delta Change</v>
          </cell>
        </row>
        <row r="2">
          <cell r="A2" t="str">
            <v>21TK1000</v>
          </cell>
          <cell r="B2" t="str">
            <v>D253</v>
          </cell>
          <cell r="C2">
            <v>21</v>
          </cell>
          <cell r="D2" t="str">
            <v>FRT</v>
          </cell>
          <cell r="G2">
            <v>48</v>
          </cell>
          <cell r="H2">
            <v>150</v>
          </cell>
          <cell r="I2">
            <v>41</v>
          </cell>
          <cell r="J2">
            <v>1088.542163825458</v>
          </cell>
          <cell r="K2">
            <v>462.63923801830475</v>
          </cell>
          <cell r="L2">
            <v>775.5907009218813</v>
          </cell>
          <cell r="M2" t="str">
            <v>Water</v>
          </cell>
          <cell r="N2" t="str">
            <v>Effluent Water</v>
          </cell>
          <cell r="O2">
            <v>1088.542163825458</v>
          </cell>
          <cell r="Q2">
            <v>312.9514629035766</v>
          </cell>
        </row>
        <row r="3">
          <cell r="A3" t="str">
            <v>48TK1</v>
          </cell>
          <cell r="B3" t="str">
            <v>D221</v>
          </cell>
          <cell r="C3">
            <v>48</v>
          </cell>
          <cell r="D3" t="str">
            <v>FRT</v>
          </cell>
          <cell r="G3">
            <v>58</v>
          </cell>
          <cell r="H3">
            <v>50</v>
          </cell>
          <cell r="I3">
            <v>38</v>
          </cell>
          <cell r="J3">
            <v>622.7002782057178</v>
          </cell>
          <cell r="K3">
            <v>529.2281412057179</v>
          </cell>
          <cell r="L3">
            <v>575.9642097057178</v>
          </cell>
          <cell r="M3" t="str">
            <v>Sour Oil/H2O</v>
          </cell>
          <cell r="N3" t="str">
            <v>Sour Oil/H2O</v>
          </cell>
          <cell r="O3">
            <v>622.7002782057178</v>
          </cell>
          <cell r="Q3">
            <v>46.73606849999999</v>
          </cell>
        </row>
        <row r="4">
          <cell r="A4" t="str">
            <v>81TK1</v>
          </cell>
          <cell r="B4" t="str">
            <v>D217</v>
          </cell>
          <cell r="C4">
            <v>81</v>
          </cell>
          <cell r="D4" t="str">
            <v>FRT</v>
          </cell>
          <cell r="G4">
            <v>48</v>
          </cell>
          <cell r="H4">
            <v>64</v>
          </cell>
          <cell r="I4">
            <v>51</v>
          </cell>
          <cell r="J4">
            <v>603.4874854427218</v>
          </cell>
          <cell r="K4">
            <v>441.8635672527216</v>
          </cell>
          <cell r="L4">
            <v>522.6755263477216</v>
          </cell>
          <cell r="M4" t="str">
            <v>Decant</v>
          </cell>
          <cell r="N4" t="str">
            <v>Decant</v>
          </cell>
          <cell r="O4">
            <v>505.97704983272166</v>
          </cell>
          <cell r="Q4">
            <v>-16.69847651499998</v>
          </cell>
        </row>
        <row r="5">
          <cell r="A5" t="str">
            <v>81TK3</v>
          </cell>
          <cell r="B5" t="str">
            <v>D274</v>
          </cell>
          <cell r="C5">
            <v>81</v>
          </cell>
          <cell r="D5" t="str">
            <v>EFR</v>
          </cell>
          <cell r="G5">
            <v>48</v>
          </cell>
          <cell r="H5">
            <v>90.5</v>
          </cell>
          <cell r="I5">
            <v>45</v>
          </cell>
          <cell r="J5">
            <v>738.1627417332093</v>
          </cell>
          <cell r="K5">
            <v>270.7756435155734</v>
          </cell>
          <cell r="L5">
            <v>504.4691926243913</v>
          </cell>
          <cell r="M5" t="str">
            <v>Naphtha/Diesel</v>
          </cell>
          <cell r="N5" t="str">
            <v>CARB Diesel Base</v>
          </cell>
          <cell r="O5">
            <v>3163.4051391275443</v>
          </cell>
          <cell r="Q5">
            <v>2658.935946503153</v>
          </cell>
        </row>
        <row r="6">
          <cell r="A6" t="str">
            <v>81TK4</v>
          </cell>
          <cell r="B6" t="str">
            <v>D218</v>
          </cell>
          <cell r="C6">
            <v>81</v>
          </cell>
          <cell r="D6" t="str">
            <v>FRT</v>
          </cell>
          <cell r="G6">
            <v>48</v>
          </cell>
          <cell r="H6">
            <v>64</v>
          </cell>
          <cell r="I6">
            <v>46</v>
          </cell>
          <cell r="J6">
            <v>0.16339158686497463</v>
          </cell>
          <cell r="K6">
            <v>0.11899578519830793</v>
          </cell>
          <cell r="L6">
            <v>0.14119368603164129</v>
          </cell>
          <cell r="M6" t="str">
            <v>LCO</v>
          </cell>
          <cell r="N6" t="str">
            <v>LCO</v>
          </cell>
          <cell r="O6">
            <v>0.16955016353164126</v>
          </cell>
          <cell r="Q6">
            <v>0.028356477499999977</v>
          </cell>
        </row>
        <row r="7">
          <cell r="A7" t="str">
            <v>82TK1</v>
          </cell>
          <cell r="B7" t="str">
            <v>D268</v>
          </cell>
          <cell r="C7">
            <v>82</v>
          </cell>
          <cell r="D7" t="str">
            <v>EFR</v>
          </cell>
          <cell r="G7">
            <v>48</v>
          </cell>
          <cell r="H7">
            <v>127.5</v>
          </cell>
          <cell r="I7">
            <v>55</v>
          </cell>
          <cell r="J7">
            <v>13679.110247871027</v>
          </cell>
          <cell r="K7">
            <v>12830.75138497061</v>
          </cell>
          <cell r="L7">
            <v>13254.93081642082</v>
          </cell>
          <cell r="M7" t="str">
            <v>Gasoline</v>
          </cell>
          <cell r="N7" t="str">
            <v>FCC Gasoline (untreated)</v>
          </cell>
          <cell r="O7">
            <v>14178.77011870173</v>
          </cell>
          <cell r="Q7">
            <v>923.8393022809105</v>
          </cell>
        </row>
        <row r="8">
          <cell r="A8" t="str">
            <v>82TK2</v>
          </cell>
          <cell r="B8" t="str">
            <v>D269</v>
          </cell>
          <cell r="C8">
            <v>82</v>
          </cell>
          <cell r="D8" t="str">
            <v>EFR</v>
          </cell>
          <cell r="G8">
            <v>48</v>
          </cell>
          <cell r="H8">
            <v>127.5</v>
          </cell>
          <cell r="I8">
            <v>58</v>
          </cell>
          <cell r="J8">
            <v>13575.874870080424</v>
          </cell>
          <cell r="K8">
            <v>13393.941664156724</v>
          </cell>
          <cell r="L8">
            <v>13484.908267118575</v>
          </cell>
          <cell r="M8" t="str">
            <v>Gasoline</v>
          </cell>
          <cell r="N8" t="str">
            <v>Alkylate</v>
          </cell>
          <cell r="O8">
            <v>14494.520840076513</v>
          </cell>
          <cell r="P8" t="str">
            <v>(1)</v>
          </cell>
          <cell r="Q8">
            <v>1009.612572957938</v>
          </cell>
        </row>
        <row r="9">
          <cell r="A9" t="str">
            <v>82TK3</v>
          </cell>
          <cell r="B9" t="str">
            <v>D270</v>
          </cell>
          <cell r="C9">
            <v>82</v>
          </cell>
          <cell r="D9" t="str">
            <v>EFR</v>
          </cell>
          <cell r="G9">
            <v>48</v>
          </cell>
          <cell r="H9">
            <v>127.5</v>
          </cell>
          <cell r="I9">
            <v>56</v>
          </cell>
          <cell r="J9">
            <v>17534.630729009536</v>
          </cell>
          <cell r="K9">
            <v>18041.47860494967</v>
          </cell>
          <cell r="L9">
            <v>17788.054666979602</v>
          </cell>
          <cell r="M9" t="str">
            <v>Naphtha</v>
          </cell>
          <cell r="N9" t="str">
            <v>LSR Naphtha (U56)</v>
          </cell>
          <cell r="O9">
            <v>33063.92615179123</v>
          </cell>
          <cell r="Q9">
            <v>15275.871484811629</v>
          </cell>
        </row>
        <row r="10">
          <cell r="A10" t="str">
            <v>82TK4</v>
          </cell>
          <cell r="B10" t="str">
            <v>D271</v>
          </cell>
          <cell r="C10">
            <v>82</v>
          </cell>
          <cell r="D10" t="str">
            <v>EFR</v>
          </cell>
          <cell r="G10">
            <v>48</v>
          </cell>
          <cell r="H10">
            <v>91</v>
          </cell>
          <cell r="I10">
            <v>54</v>
          </cell>
          <cell r="J10">
            <v>11664.92880659976</v>
          </cell>
          <cell r="K10">
            <v>14348.219201408454</v>
          </cell>
          <cell r="L10">
            <v>13006.574004004107</v>
          </cell>
          <cell r="M10" t="str">
            <v>Alky</v>
          </cell>
          <cell r="N10" t="str">
            <v>FCC Gasoline (untreated)</v>
          </cell>
          <cell r="O10">
            <v>13479.536498056601</v>
          </cell>
          <cell r="P10" t="str">
            <v>(2)</v>
          </cell>
          <cell r="Q10">
            <v>472.96249405249364</v>
          </cell>
        </row>
        <row r="11">
          <cell r="A11" t="str">
            <v>82TK7</v>
          </cell>
          <cell r="B11" t="str">
            <v>D272</v>
          </cell>
          <cell r="C11">
            <v>82</v>
          </cell>
          <cell r="D11" t="str">
            <v>EFR</v>
          </cell>
          <cell r="G11">
            <v>32</v>
          </cell>
          <cell r="H11">
            <v>36</v>
          </cell>
          <cell r="I11">
            <v>46</v>
          </cell>
          <cell r="J11">
            <v>113.16724980734162</v>
          </cell>
          <cell r="K11">
            <v>28.042085202678134</v>
          </cell>
          <cell r="L11">
            <v>70.60466750500987</v>
          </cell>
          <cell r="M11" t="str">
            <v>LCO</v>
          </cell>
          <cell r="N11" t="str">
            <v>LCO</v>
          </cell>
          <cell r="O11">
            <v>778.6151006435916</v>
          </cell>
          <cell r="Q11">
            <v>708.0104331385818</v>
          </cell>
        </row>
        <row r="12">
          <cell r="A12" t="str">
            <v>82TK8</v>
          </cell>
          <cell r="B12" t="str">
            <v>D273</v>
          </cell>
          <cell r="C12">
            <v>82</v>
          </cell>
          <cell r="D12" t="str">
            <v>EFR</v>
          </cell>
          <cell r="G12">
            <v>32</v>
          </cell>
          <cell r="H12">
            <v>36</v>
          </cell>
          <cell r="I12">
            <v>46</v>
          </cell>
          <cell r="J12">
            <v>72.76548300473547</v>
          </cell>
          <cell r="K12">
            <v>44.978885148368754</v>
          </cell>
          <cell r="L12">
            <v>58.87218407655212</v>
          </cell>
          <cell r="M12" t="str">
            <v>Dyed Diesel</v>
          </cell>
          <cell r="N12" t="str">
            <v>DPK</v>
          </cell>
          <cell r="O12">
            <v>100.73994858586876</v>
          </cell>
          <cell r="P12" t="str">
            <v>(8)</v>
          </cell>
          <cell r="Q12">
            <v>41.86776450931664</v>
          </cell>
        </row>
        <row r="13">
          <cell r="A13" t="str">
            <v>82TK9</v>
          </cell>
          <cell r="B13" t="str">
            <v>D448</v>
          </cell>
          <cell r="C13">
            <v>82</v>
          </cell>
          <cell r="D13" t="str">
            <v>EFR</v>
          </cell>
          <cell r="G13">
            <v>48</v>
          </cell>
          <cell r="H13">
            <v>130.5</v>
          </cell>
          <cell r="I13">
            <v>93</v>
          </cell>
          <cell r="J13">
            <v>13254.998299255301</v>
          </cell>
          <cell r="K13">
            <v>14296.726523168318</v>
          </cell>
          <cell r="L13">
            <v>13775.862411211809</v>
          </cell>
          <cell r="M13" t="str">
            <v>MTBE</v>
          </cell>
          <cell r="N13" t="str">
            <v>High Octane Blend</v>
          </cell>
          <cell r="O13">
            <v>12552.646514668108</v>
          </cell>
          <cell r="Q13">
            <v>-1223.215896543701</v>
          </cell>
        </row>
        <row r="14">
          <cell r="A14" t="str">
            <v>83TK5</v>
          </cell>
          <cell r="B14" t="str">
            <v>D252</v>
          </cell>
          <cell r="C14">
            <v>83</v>
          </cell>
          <cell r="D14" t="str">
            <v>FRT</v>
          </cell>
          <cell r="G14">
            <v>30</v>
          </cell>
          <cell r="H14">
            <v>36</v>
          </cell>
          <cell r="I14">
            <v>38</v>
          </cell>
          <cell r="J14">
            <v>364.3872999197278</v>
          </cell>
          <cell r="K14">
            <v>336.5563741697278</v>
          </cell>
          <cell r="L14">
            <v>350.4718370447278</v>
          </cell>
          <cell r="M14" t="str">
            <v>Sour Oil/H2O</v>
          </cell>
          <cell r="N14" t="str">
            <v>Sour Oil</v>
          </cell>
          <cell r="O14">
            <v>364.3872999197278</v>
          </cell>
          <cell r="Q14">
            <v>13.915462875000003</v>
          </cell>
        </row>
        <row r="15">
          <cell r="A15" t="str">
            <v>94TK900</v>
          </cell>
          <cell r="B15" t="str">
            <v>D275</v>
          </cell>
          <cell r="C15">
            <v>94</v>
          </cell>
          <cell r="D15" t="str">
            <v>EFR</v>
          </cell>
          <cell r="G15">
            <v>44.67</v>
          </cell>
          <cell r="H15">
            <v>98</v>
          </cell>
          <cell r="I15">
            <v>52</v>
          </cell>
          <cell r="J15">
            <v>687.0146554883681</v>
          </cell>
          <cell r="K15">
            <v>2441.469035241407</v>
          </cell>
          <cell r="L15">
            <v>1564.2418453648875</v>
          </cell>
          <cell r="M15" t="str">
            <v>Crude/Slop</v>
          </cell>
          <cell r="N15" t="str">
            <v>Distillate Feed</v>
          </cell>
          <cell r="O15">
            <v>6693.747295339269</v>
          </cell>
          <cell r="Q15">
            <v>5129.505449974382</v>
          </cell>
        </row>
        <row r="16">
          <cell r="A16" t="str">
            <v>94TK9001</v>
          </cell>
          <cell r="B16" t="str">
            <v>D255</v>
          </cell>
          <cell r="C16">
            <v>94</v>
          </cell>
          <cell r="D16" t="str">
            <v>EFR</v>
          </cell>
          <cell r="G16">
            <v>48</v>
          </cell>
          <cell r="H16">
            <v>221</v>
          </cell>
          <cell r="I16">
            <v>34</v>
          </cell>
          <cell r="J16">
            <v>4048.1173271290877</v>
          </cell>
          <cell r="K16">
            <v>3078.4021044129277</v>
          </cell>
          <cell r="L16">
            <v>3563.259715771008</v>
          </cell>
          <cell r="M16" t="str">
            <v>Sour Crude</v>
          </cell>
          <cell r="N16" t="str">
            <v>RGO</v>
          </cell>
          <cell r="O16">
            <v>342.8807703191035</v>
          </cell>
          <cell r="P16" t="str">
            <v>(5)</v>
          </cell>
          <cell r="Q16">
            <v>-3220.3789454519047</v>
          </cell>
        </row>
        <row r="17">
          <cell r="A17" t="str">
            <v>94TK9002</v>
          </cell>
          <cell r="B17" t="str">
            <v>D256</v>
          </cell>
          <cell r="C17">
            <v>94</v>
          </cell>
          <cell r="D17" t="str">
            <v>EFR</v>
          </cell>
          <cell r="G17">
            <v>48</v>
          </cell>
          <cell r="H17">
            <v>221</v>
          </cell>
          <cell r="I17">
            <v>34</v>
          </cell>
          <cell r="J17">
            <v>4280.299429624404</v>
          </cell>
          <cell r="K17">
            <v>4557.862645284469</v>
          </cell>
          <cell r="L17">
            <v>4419.081037454436</v>
          </cell>
          <cell r="M17" t="str">
            <v>Sweet Crude</v>
          </cell>
          <cell r="N17" t="str">
            <v>HTGO</v>
          </cell>
          <cell r="O17">
            <v>109.5760756025262</v>
          </cell>
          <cell r="P17" t="str">
            <v>(6)</v>
          </cell>
          <cell r="Q17">
            <v>-4309.50496185191</v>
          </cell>
        </row>
        <row r="18">
          <cell r="A18" t="str">
            <v>94TK9003</v>
          </cell>
          <cell r="B18" t="str">
            <v>D257</v>
          </cell>
          <cell r="C18">
            <v>94</v>
          </cell>
          <cell r="D18" t="str">
            <v>EFR</v>
          </cell>
          <cell r="G18">
            <v>48</v>
          </cell>
          <cell r="H18">
            <v>127.5</v>
          </cell>
          <cell r="I18">
            <v>37</v>
          </cell>
          <cell r="J18">
            <v>2207.5343595498202</v>
          </cell>
          <cell r="K18">
            <v>1892.785569947569</v>
          </cell>
          <cell r="L18">
            <v>2050.1599647486946</v>
          </cell>
          <cell r="M18" t="str">
            <v>Crude</v>
          </cell>
          <cell r="N18" t="str">
            <v>Diesel</v>
          </cell>
          <cell r="O18">
            <v>782.5201266217985</v>
          </cell>
          <cell r="P18" t="str">
            <v>(7)</v>
          </cell>
          <cell r="Q18">
            <v>-1267.6398381268962</v>
          </cell>
        </row>
        <row r="19">
          <cell r="A19" t="str">
            <v>94TK9004</v>
          </cell>
          <cell r="B19" t="str">
            <v>D258</v>
          </cell>
          <cell r="C19">
            <v>94</v>
          </cell>
          <cell r="D19" t="str">
            <v>EFR</v>
          </cell>
          <cell r="G19">
            <v>48</v>
          </cell>
          <cell r="H19">
            <v>127.5</v>
          </cell>
          <cell r="I19">
            <v>45</v>
          </cell>
          <cell r="J19">
            <v>32.91845129300376</v>
          </cell>
          <cell r="K19">
            <v>314.7005683294836</v>
          </cell>
          <cell r="L19">
            <v>173.8095098112437</v>
          </cell>
          <cell r="M19" t="str">
            <v>Diesel</v>
          </cell>
          <cell r="N19" t="str">
            <v>Diesel</v>
          </cell>
          <cell r="O19">
            <v>788.6348487207778</v>
          </cell>
          <cell r="Q19">
            <v>614.8253389095341</v>
          </cell>
        </row>
        <row r="20">
          <cell r="A20" t="str">
            <v>94TK9005</v>
          </cell>
          <cell r="B20" t="str">
            <v>D259</v>
          </cell>
          <cell r="C20">
            <v>94</v>
          </cell>
          <cell r="D20" t="str">
            <v>EFR</v>
          </cell>
          <cell r="G20">
            <v>48</v>
          </cell>
          <cell r="H20">
            <v>156</v>
          </cell>
          <cell r="I20">
            <v>49</v>
          </cell>
          <cell r="J20">
            <v>1045.1668993573633</v>
          </cell>
          <cell r="K20">
            <v>262.11224504581526</v>
          </cell>
          <cell r="L20">
            <v>653.6395722015893</v>
          </cell>
          <cell r="M20" t="str">
            <v>RGO</v>
          </cell>
          <cell r="N20" t="str">
            <v>RGO</v>
          </cell>
          <cell r="O20">
            <v>320.5504844150556</v>
          </cell>
          <cell r="Q20">
            <v>-333.0890877865337</v>
          </cell>
        </row>
        <row r="21">
          <cell r="A21" t="str">
            <v>94TK9006</v>
          </cell>
          <cell r="B21" t="str">
            <v>D260</v>
          </cell>
          <cell r="C21">
            <v>94</v>
          </cell>
          <cell r="D21" t="str">
            <v>EFR</v>
          </cell>
          <cell r="G21">
            <v>48</v>
          </cell>
          <cell r="H21">
            <v>156</v>
          </cell>
          <cell r="I21">
            <v>45</v>
          </cell>
          <cell r="J21">
            <v>707.9424392221554</v>
          </cell>
          <cell r="K21">
            <v>266.2214652799544</v>
          </cell>
          <cell r="L21">
            <v>487.0819522510549</v>
          </cell>
          <cell r="M21" t="str">
            <v>Diesel</v>
          </cell>
          <cell r="N21" t="str">
            <v>Diesel</v>
          </cell>
          <cell r="O21">
            <v>609.0986864324543</v>
          </cell>
          <cell r="Q21">
            <v>122.01673418139944</v>
          </cell>
        </row>
        <row r="22">
          <cell r="A22" t="str">
            <v>94TK9007</v>
          </cell>
          <cell r="B22" t="str">
            <v>D261</v>
          </cell>
          <cell r="C22">
            <v>94</v>
          </cell>
          <cell r="D22" t="str">
            <v>EFR</v>
          </cell>
          <cell r="G22">
            <v>48</v>
          </cell>
          <cell r="H22">
            <v>201.5</v>
          </cell>
          <cell r="I22">
            <v>37</v>
          </cell>
          <cell r="J22">
            <v>4104.885917153124</v>
          </cell>
          <cell r="K22">
            <v>3536.3203074857915</v>
          </cell>
          <cell r="L22">
            <v>3820.603112319458</v>
          </cell>
          <cell r="M22" t="str">
            <v>Crude</v>
          </cell>
          <cell r="N22" t="str">
            <v>Dom. Crude Blend</v>
          </cell>
          <cell r="O22">
            <v>9803.723881368507</v>
          </cell>
          <cell r="Q22">
            <v>5983.120769049049</v>
          </cell>
        </row>
        <row r="23">
          <cell r="A23" t="str">
            <v>94TK9008</v>
          </cell>
          <cell r="B23" t="str">
            <v>D262</v>
          </cell>
          <cell r="C23">
            <v>94</v>
          </cell>
          <cell r="D23" t="str">
            <v>EFR</v>
          </cell>
          <cell r="G23">
            <v>48</v>
          </cell>
          <cell r="H23">
            <v>127.5</v>
          </cell>
          <cell r="I23">
            <v>44</v>
          </cell>
          <cell r="J23">
            <v>4851.4590854851285</v>
          </cell>
          <cell r="K23">
            <v>3329.8874825238</v>
          </cell>
          <cell r="L23">
            <v>4090.673284004464</v>
          </cell>
          <cell r="M23" t="str">
            <v>Reformate</v>
          </cell>
          <cell r="N23" t="str">
            <v>Reformate</v>
          </cell>
          <cell r="O23">
            <v>6573.0779272752625</v>
          </cell>
          <cell r="Q23">
            <v>2482.4046432707983</v>
          </cell>
        </row>
        <row r="24">
          <cell r="A24" t="str">
            <v>94TK9009</v>
          </cell>
          <cell r="B24" t="str">
            <v>D263</v>
          </cell>
          <cell r="C24">
            <v>94</v>
          </cell>
          <cell r="D24" t="str">
            <v>EFR</v>
          </cell>
          <cell r="G24">
            <v>48</v>
          </cell>
          <cell r="H24">
            <v>210.5</v>
          </cell>
          <cell r="I24">
            <v>37</v>
          </cell>
          <cell r="J24">
            <v>6880.636027997151</v>
          </cell>
          <cell r="K24">
            <v>3071.506359673456</v>
          </cell>
          <cell r="L24">
            <v>4976.071193835303</v>
          </cell>
          <cell r="M24" t="str">
            <v>Sweet Crude</v>
          </cell>
          <cell r="N24" t="str">
            <v>H/S Crude</v>
          </cell>
          <cell r="O24">
            <v>11719.267333178475</v>
          </cell>
          <cell r="Q24">
            <v>6743.196139343172</v>
          </cell>
        </row>
        <row r="25">
          <cell r="A25" t="str">
            <v>94TK901</v>
          </cell>
          <cell r="B25" t="str">
            <v>D276</v>
          </cell>
          <cell r="C25">
            <v>94</v>
          </cell>
          <cell r="D25" t="str">
            <v>EFR</v>
          </cell>
          <cell r="G25">
            <v>47</v>
          </cell>
          <cell r="H25">
            <v>57</v>
          </cell>
          <cell r="I25">
            <v>52</v>
          </cell>
          <cell r="J25">
            <v>1938.6405699414593</v>
          </cell>
          <cell r="K25">
            <v>969.9198429884008</v>
          </cell>
          <cell r="L25">
            <v>1454.28020646493</v>
          </cell>
          <cell r="M25" t="str">
            <v>Emulsion</v>
          </cell>
          <cell r="N25" t="str">
            <v>Dist. Feed</v>
          </cell>
          <cell r="O25">
            <v>6121.720924838401</v>
          </cell>
          <cell r="P25" t="str">
            <v>(3)</v>
          </cell>
          <cell r="Q25">
            <v>4667.440718373471</v>
          </cell>
        </row>
        <row r="26">
          <cell r="A26" t="str">
            <v>94TK9010</v>
          </cell>
          <cell r="B26" t="str">
            <v>D264</v>
          </cell>
          <cell r="C26">
            <v>94</v>
          </cell>
          <cell r="D26" t="str">
            <v>EFR</v>
          </cell>
          <cell r="G26">
            <v>48</v>
          </cell>
          <cell r="H26">
            <v>90.5</v>
          </cell>
          <cell r="I26">
            <v>42</v>
          </cell>
          <cell r="J26">
            <v>733.1723274602064</v>
          </cell>
          <cell r="K26">
            <v>225.28435995908643</v>
          </cell>
          <cell r="L26">
            <v>479.2283437096464</v>
          </cell>
          <cell r="M26" t="str">
            <v>Jet</v>
          </cell>
          <cell r="N26" t="str">
            <v>Jet</v>
          </cell>
          <cell r="O26">
            <v>371.19107102374227</v>
          </cell>
          <cell r="Q26">
            <v>-108.03727268590416</v>
          </cell>
        </row>
        <row r="27">
          <cell r="A27" t="str">
            <v>94TK9011</v>
          </cell>
          <cell r="B27" t="str">
            <v>D265</v>
          </cell>
          <cell r="C27">
            <v>94</v>
          </cell>
          <cell r="D27" t="str">
            <v>EFR</v>
          </cell>
          <cell r="G27">
            <v>48</v>
          </cell>
          <cell r="H27">
            <v>90.5</v>
          </cell>
          <cell r="I27">
            <v>42</v>
          </cell>
          <cell r="J27">
            <v>965.933159192786</v>
          </cell>
          <cell r="K27">
            <v>237.99888157952842</v>
          </cell>
          <cell r="L27">
            <v>601.9660203861572</v>
          </cell>
          <cell r="M27" t="str">
            <v>Jet</v>
          </cell>
          <cell r="N27" t="str">
            <v>Jet</v>
          </cell>
          <cell r="O27">
            <v>524.8952789386424</v>
          </cell>
          <cell r="Q27">
            <v>-77.07074144751482</v>
          </cell>
        </row>
        <row r="28">
          <cell r="A28" t="str">
            <v>94TK9012</v>
          </cell>
          <cell r="B28" t="str">
            <v>D266</v>
          </cell>
          <cell r="C28">
            <v>94</v>
          </cell>
          <cell r="D28" t="str">
            <v>EFR</v>
          </cell>
          <cell r="G28">
            <v>48</v>
          </cell>
          <cell r="H28">
            <v>127.5</v>
          </cell>
          <cell r="I28">
            <v>50</v>
          </cell>
          <cell r="J28">
            <v>807.6106265941917</v>
          </cell>
          <cell r="K28">
            <v>197.41926675061373</v>
          </cell>
          <cell r="L28">
            <v>502.5149466724027</v>
          </cell>
          <cell r="M28" t="str">
            <v>HTGO</v>
          </cell>
          <cell r="N28" t="str">
            <v>Dist. Feed</v>
          </cell>
          <cell r="O28">
            <v>6011.229077325857</v>
          </cell>
          <cell r="P28" t="str">
            <v>(9)</v>
          </cell>
          <cell r="Q28">
            <v>5508.714130653455</v>
          </cell>
        </row>
        <row r="29">
          <cell r="A29" t="str">
            <v>94TK9013</v>
          </cell>
          <cell r="B29" t="str">
            <v>D267</v>
          </cell>
          <cell r="C29">
            <v>94</v>
          </cell>
          <cell r="D29" t="str">
            <v>EFR</v>
          </cell>
          <cell r="G29">
            <v>48</v>
          </cell>
          <cell r="H29">
            <v>70</v>
          </cell>
          <cell r="I29">
            <v>47</v>
          </cell>
          <cell r="J29">
            <v>7762.697865806246</v>
          </cell>
          <cell r="K29">
            <v>10374.190123452574</v>
          </cell>
          <cell r="L29">
            <v>9068.44399462941</v>
          </cell>
          <cell r="M29" t="str">
            <v>Heavy Naphtha</v>
          </cell>
          <cell r="N29" t="str">
            <v>Heavy Naphtha</v>
          </cell>
          <cell r="O29">
            <v>8628.837165894187</v>
          </cell>
          <cell r="Q29">
            <v>-439.60682873522273</v>
          </cell>
        </row>
        <row r="30">
          <cell r="A30" t="str">
            <v>94TK902</v>
          </cell>
          <cell r="B30" t="str">
            <v>D277</v>
          </cell>
          <cell r="C30">
            <v>94</v>
          </cell>
          <cell r="D30" t="str">
            <v>EFR</v>
          </cell>
          <cell r="G30">
            <v>52.42</v>
          </cell>
          <cell r="H30">
            <v>54</v>
          </cell>
          <cell r="I30">
            <v>43</v>
          </cell>
          <cell r="J30">
            <v>296.2448827977646</v>
          </cell>
          <cell r="K30">
            <v>110.84240596146739</v>
          </cell>
          <cell r="L30">
            <v>203.543644379616</v>
          </cell>
          <cell r="M30" t="str">
            <v>Jet</v>
          </cell>
          <cell r="N30" t="str">
            <v>HCN</v>
          </cell>
          <cell r="O30">
            <v>496.1710034246322</v>
          </cell>
          <cell r="P30" t="str">
            <v>(4)</v>
          </cell>
          <cell r="Q30">
            <v>292.6273590450162</v>
          </cell>
        </row>
        <row r="31">
          <cell r="A31" t="str">
            <v>94TK903</v>
          </cell>
          <cell r="B31" t="str">
            <v>D278</v>
          </cell>
          <cell r="C31">
            <v>94</v>
          </cell>
          <cell r="D31" t="str">
            <v>EFR</v>
          </cell>
          <cell r="G31">
            <v>52</v>
          </cell>
          <cell r="H31">
            <v>71</v>
          </cell>
          <cell r="I31">
            <v>48</v>
          </cell>
          <cell r="J31">
            <v>6387.497950230848</v>
          </cell>
          <cell r="K31">
            <v>6164.555638291991</v>
          </cell>
          <cell r="L31">
            <v>6276.026794261419</v>
          </cell>
          <cell r="M31" t="str">
            <v>LCGO</v>
          </cell>
          <cell r="N31" t="str">
            <v>Dist. Feed</v>
          </cell>
          <cell r="O31">
            <v>5982.512639600352</v>
          </cell>
          <cell r="Q31">
            <v>-293.51415466106755</v>
          </cell>
        </row>
        <row r="32">
          <cell r="A32" t="str">
            <v>94TK9030</v>
          </cell>
          <cell r="B32" t="str">
            <v>D864</v>
          </cell>
          <cell r="C32">
            <v>94</v>
          </cell>
          <cell r="D32" t="str">
            <v>EFR</v>
          </cell>
          <cell r="G32">
            <v>56</v>
          </cell>
          <cell r="H32">
            <v>140</v>
          </cell>
          <cell r="I32">
            <v>58</v>
          </cell>
          <cell r="J32">
            <v>7630.076560962663</v>
          </cell>
          <cell r="K32">
            <v>12516.521224109392</v>
          </cell>
          <cell r="L32">
            <v>10073.298892536028</v>
          </cell>
          <cell r="M32" t="str">
            <v>Gasoline</v>
          </cell>
          <cell r="N32" t="str">
            <v>Gasoline</v>
          </cell>
          <cell r="O32">
            <v>20044.080204480662</v>
          </cell>
          <cell r="Q32">
            <v>9970.781311944635</v>
          </cell>
        </row>
        <row r="33">
          <cell r="A33" t="str">
            <v>94TK9031</v>
          </cell>
          <cell r="B33" t="str">
            <v>D868</v>
          </cell>
          <cell r="C33">
            <v>94</v>
          </cell>
          <cell r="D33" t="str">
            <v>EFR</v>
          </cell>
          <cell r="G33">
            <v>56</v>
          </cell>
          <cell r="H33">
            <v>140</v>
          </cell>
          <cell r="I33">
            <v>58</v>
          </cell>
          <cell r="J33">
            <v>7770.915722398547</v>
          </cell>
          <cell r="K33">
            <v>12887.152125433224</v>
          </cell>
          <cell r="L33">
            <v>10329.033923915886</v>
          </cell>
          <cell r="M33" t="str">
            <v>Gasoline</v>
          </cell>
          <cell r="N33" t="str">
            <v>CARB Gasoline</v>
          </cell>
          <cell r="O33">
            <v>20044.080204480662</v>
          </cell>
          <cell r="Q33">
            <v>9715.046280564777</v>
          </cell>
        </row>
        <row r="34">
          <cell r="A34" t="str">
            <v>94TK909A</v>
          </cell>
          <cell r="B34" t="str">
            <v>D219</v>
          </cell>
          <cell r="C34">
            <v>94</v>
          </cell>
          <cell r="D34" t="str">
            <v>FRT</v>
          </cell>
          <cell r="G34">
            <v>24</v>
          </cell>
          <cell r="H34">
            <v>25</v>
          </cell>
          <cell r="I34">
            <v>52</v>
          </cell>
          <cell r="J34">
            <v>455.90365355623595</v>
          </cell>
          <cell r="K34">
            <v>321.3976733772167</v>
          </cell>
          <cell r="L34">
            <v>388.6506634667263</v>
          </cell>
          <cell r="M34" t="str">
            <v>Dry Slop</v>
          </cell>
          <cell r="N34" t="str">
            <v>Dry Slop</v>
          </cell>
          <cell r="O34">
            <v>719.7688077295693</v>
          </cell>
          <cell r="Q34">
            <v>331.118144262843</v>
          </cell>
        </row>
        <row r="35">
          <cell r="A35" t="str">
            <v>94TK909B</v>
          </cell>
          <cell r="B35" t="str">
            <v>D220</v>
          </cell>
          <cell r="C35">
            <v>94</v>
          </cell>
          <cell r="D35" t="str">
            <v>FRT</v>
          </cell>
          <cell r="G35">
            <v>24</v>
          </cell>
          <cell r="H35">
            <v>25</v>
          </cell>
          <cell r="I35">
            <v>52</v>
          </cell>
          <cell r="J35">
            <v>1128.3631843139563</v>
          </cell>
          <cell r="K35">
            <v>1024.8249019618224</v>
          </cell>
          <cell r="L35">
            <v>1076.5940431378895</v>
          </cell>
          <cell r="M35" t="str">
            <v>Dry Slop</v>
          </cell>
          <cell r="N35" t="str">
            <v>Dry Slop</v>
          </cell>
          <cell r="O35">
            <v>1256.5551590418224</v>
          </cell>
          <cell r="Q35">
            <v>179.96111590393298</v>
          </cell>
        </row>
        <row r="36">
          <cell r="A36" t="str">
            <v>95TK1</v>
          </cell>
          <cell r="B36" t="str">
            <v>D222</v>
          </cell>
          <cell r="C36">
            <v>95</v>
          </cell>
          <cell r="D36" t="str">
            <v>FRT</v>
          </cell>
          <cell r="G36">
            <v>31</v>
          </cell>
          <cell r="H36">
            <v>48</v>
          </cell>
          <cell r="I36">
            <v>52</v>
          </cell>
          <cell r="J36">
            <v>576.9997125081885</v>
          </cell>
          <cell r="K36">
            <v>1555.4229464153002</v>
          </cell>
          <cell r="L36">
            <v>1066.2113294617443</v>
          </cell>
          <cell r="M36" t="str">
            <v>Emulsion</v>
          </cell>
          <cell r="N36" t="str">
            <v>Emulsion</v>
          </cell>
          <cell r="O36">
            <v>1838.3464436353004</v>
          </cell>
          <cell r="P36" t="str">
            <v>(10)</v>
          </cell>
          <cell r="Q36">
            <v>772.1351141735561</v>
          </cell>
        </row>
        <row r="37">
          <cell r="A37" t="str">
            <v>95TK9014</v>
          </cell>
          <cell r="B37" t="str">
            <v>D202</v>
          </cell>
          <cell r="C37">
            <v>95</v>
          </cell>
          <cell r="D37" t="str">
            <v>FRT</v>
          </cell>
          <cell r="G37">
            <v>48</v>
          </cell>
          <cell r="H37">
            <v>73</v>
          </cell>
          <cell r="I37">
            <v>41</v>
          </cell>
          <cell r="J37">
            <v>576.9997125081885</v>
          </cell>
          <cell r="K37">
            <v>1555.4229464153002</v>
          </cell>
          <cell r="L37">
            <v>1066.2113294617443</v>
          </cell>
          <cell r="O37">
            <v>1838.3464436353004</v>
          </cell>
          <cell r="Q37">
            <v>772.1351141735561</v>
          </cell>
        </row>
        <row r="38">
          <cell r="A38" t="str">
            <v>95TK9017</v>
          </cell>
          <cell r="B38" t="str">
            <v>None Required</v>
          </cell>
          <cell r="C38">
            <v>95</v>
          </cell>
          <cell r="D38" t="str">
            <v>FRT</v>
          </cell>
          <cell r="G38">
            <v>24</v>
          </cell>
          <cell r="H38">
            <v>30</v>
          </cell>
          <cell r="I38">
            <v>41</v>
          </cell>
          <cell r="J38">
            <v>576.9997125081885</v>
          </cell>
          <cell r="K38">
            <v>1555.4229464153002</v>
          </cell>
          <cell r="L38">
            <v>1066.2113294617443</v>
          </cell>
          <cell r="O38">
            <v>1838.3464436353004</v>
          </cell>
          <cell r="Q38">
            <v>772.1351141735561</v>
          </cell>
        </row>
        <row r="39">
          <cell r="A39" t="str">
            <v>95TK9018</v>
          </cell>
          <cell r="B39" t="str">
            <v>D1000</v>
          </cell>
          <cell r="C39">
            <v>95</v>
          </cell>
          <cell r="D39" t="str">
            <v>FRT</v>
          </cell>
          <cell r="G39">
            <v>12</v>
          </cell>
          <cell r="H39">
            <v>12</v>
          </cell>
          <cell r="I39">
            <v>53</v>
          </cell>
          <cell r="J39">
            <v>576.9997125081885</v>
          </cell>
          <cell r="K39">
            <v>1555.4229464153002</v>
          </cell>
          <cell r="L39">
            <v>1066.2113294617443</v>
          </cell>
          <cell r="O39">
            <v>1838.3464436353004</v>
          </cell>
          <cell r="Q39">
            <v>772.1351141735561</v>
          </cell>
        </row>
        <row r="40">
          <cell r="A40" t="str">
            <v>95TK9019</v>
          </cell>
          <cell r="B40" t="str">
            <v>D213</v>
          </cell>
          <cell r="C40">
            <v>95</v>
          </cell>
          <cell r="D40" t="str">
            <v>FRT</v>
          </cell>
          <cell r="G40">
            <v>24</v>
          </cell>
          <cell r="H40">
            <v>25</v>
          </cell>
          <cell r="I40">
            <v>52</v>
          </cell>
          <cell r="J40">
            <v>576.9997125081885</v>
          </cell>
          <cell r="K40">
            <v>1555.4229464153002</v>
          </cell>
          <cell r="L40">
            <v>1066.2113294617443</v>
          </cell>
          <cell r="O40">
            <v>1838.3464436353004</v>
          </cell>
          <cell r="Q40">
            <v>772.1351141735561</v>
          </cell>
        </row>
        <row r="41">
          <cell r="A41" t="str">
            <v>95TK950</v>
          </cell>
          <cell r="B41" t="str">
            <v>D223</v>
          </cell>
          <cell r="C41">
            <v>95</v>
          </cell>
          <cell r="D41" t="str">
            <v>FRT</v>
          </cell>
          <cell r="G41">
            <v>31</v>
          </cell>
          <cell r="H41">
            <v>48</v>
          </cell>
          <cell r="I41">
            <v>52</v>
          </cell>
          <cell r="J41">
            <v>1065.2429266146557</v>
          </cell>
          <cell r="K41">
            <v>833.514728817989</v>
          </cell>
          <cell r="L41">
            <v>949.3788277163223</v>
          </cell>
          <cell r="M41" t="str">
            <v>Emulsion</v>
          </cell>
          <cell r="N41" t="str">
            <v>Emulsion</v>
          </cell>
          <cell r="O41">
            <v>1402.4300207351596</v>
          </cell>
          <cell r="P41" t="str">
            <v>(11)</v>
          </cell>
          <cell r="Q41">
            <v>453.05119301883724</v>
          </cell>
        </row>
        <row r="42">
          <cell r="A42" t="str">
            <v>95TK952</v>
          </cell>
          <cell r="B42" t="str">
            <v>D224</v>
          </cell>
          <cell r="C42">
            <v>95</v>
          </cell>
          <cell r="D42" t="str">
            <v>FRT</v>
          </cell>
          <cell r="G42">
            <v>31</v>
          </cell>
          <cell r="H42">
            <v>48</v>
          </cell>
          <cell r="I42">
            <v>53</v>
          </cell>
          <cell r="J42">
            <v>432.8766614330746</v>
          </cell>
          <cell r="K42">
            <v>379.63192878307456</v>
          </cell>
          <cell r="L42">
            <v>406.2542951080746</v>
          </cell>
          <cell r="M42" t="str">
            <v>Emulsion</v>
          </cell>
          <cell r="N42" t="str">
            <v>Effluent Water</v>
          </cell>
          <cell r="O42">
            <v>595.1651994913459</v>
          </cell>
          <cell r="P42" t="str">
            <v>(12)</v>
          </cell>
          <cell r="Q42">
            <v>188.91090438327132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H18"/>
  <sheetViews>
    <sheetView zoomScalePageLayoutView="0" workbookViewId="0" topLeftCell="A1">
      <selection activeCell="G21" sqref="G21"/>
    </sheetView>
  </sheetViews>
  <sheetFormatPr defaultColWidth="9.140625" defaultRowHeight="12.75"/>
  <sheetData>
    <row r="16" spans="1:8" ht="15.75" thickBot="1">
      <c r="A16" s="211" t="s">
        <v>139</v>
      </c>
      <c r="B16" s="212"/>
      <c r="C16" s="212"/>
      <c r="D16" s="212"/>
      <c r="E16" s="212"/>
      <c r="F16" s="212"/>
      <c r="G16" s="212"/>
      <c r="H16" s="212"/>
    </row>
    <row r="18" ht="15">
      <c r="A18" s="51" t="s">
        <v>136</v>
      </c>
    </row>
  </sheetData>
  <sheetProtection/>
  <mergeCells count="1">
    <mergeCell ref="A16:H16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N33"/>
  <sheetViews>
    <sheetView view="pageBreakPreview" zoomScale="60" zoomScalePageLayoutView="0" workbookViewId="0" topLeftCell="A1">
      <selection activeCell="B3" sqref="B3:L3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10.421875" style="0" customWidth="1"/>
    <col min="4" max="4" width="9.57421875" style="0" customWidth="1"/>
    <col min="5" max="5" width="9.7109375" style="0" customWidth="1"/>
    <col min="6" max="7" width="9.57421875" style="0" customWidth="1"/>
    <col min="8" max="8" width="9.7109375" style="0" customWidth="1"/>
    <col min="9" max="9" width="9.57421875" style="0" customWidth="1"/>
    <col min="10" max="12" width="9.7109375" style="0" customWidth="1"/>
    <col min="13" max="13" width="4.7109375" style="0" customWidth="1"/>
  </cols>
  <sheetData>
    <row r="1" spans="1:13" ht="12.75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2:12" ht="15">
      <c r="B2" s="213" t="s">
        <v>182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2:12" ht="15">
      <c r="B3" s="213" t="s">
        <v>183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ht="13.5" thickBot="1"/>
    <row r="5" spans="2:12" ht="30" customHeight="1" thickBot="1">
      <c r="B5" s="113" t="s">
        <v>9</v>
      </c>
      <c r="C5" s="227" t="s">
        <v>23</v>
      </c>
      <c r="D5" s="229"/>
      <c r="E5" s="227" t="s">
        <v>71</v>
      </c>
      <c r="F5" s="228"/>
      <c r="G5" s="227" t="s">
        <v>24</v>
      </c>
      <c r="H5" s="229"/>
      <c r="I5" s="227" t="s">
        <v>25</v>
      </c>
      <c r="J5" s="228"/>
      <c r="K5" s="227" t="s">
        <v>26</v>
      </c>
      <c r="L5" s="229"/>
    </row>
    <row r="6" spans="2:12" ht="15">
      <c r="B6" s="61" t="s">
        <v>104</v>
      </c>
      <c r="C6" s="225">
        <v>0.011798</v>
      </c>
      <c r="D6" s="225"/>
      <c r="E6" s="225">
        <v>0.001277</v>
      </c>
      <c r="F6" s="225"/>
      <c r="G6" s="225">
        <v>0.001245</v>
      </c>
      <c r="H6" s="225"/>
      <c r="I6" s="225">
        <v>9E-06</v>
      </c>
      <c r="J6" s="225"/>
      <c r="K6" s="225">
        <v>8E-05</v>
      </c>
      <c r="L6" s="226"/>
    </row>
    <row r="7" spans="2:12" ht="15">
      <c r="B7" s="62" t="s">
        <v>98</v>
      </c>
      <c r="C7" s="223">
        <v>0.011798</v>
      </c>
      <c r="D7" s="223"/>
      <c r="E7" s="223">
        <v>0.001277</v>
      </c>
      <c r="F7" s="223"/>
      <c r="G7" s="223">
        <v>0.001245</v>
      </c>
      <c r="H7" s="223"/>
      <c r="I7" s="223">
        <v>9E-06</v>
      </c>
      <c r="J7" s="223"/>
      <c r="K7" s="223">
        <v>8E-05</v>
      </c>
      <c r="L7" s="224"/>
    </row>
    <row r="8" spans="2:12" ht="15">
      <c r="B8" s="63" t="s">
        <v>58</v>
      </c>
      <c r="C8" s="223">
        <v>0.015942</v>
      </c>
      <c r="D8" s="223"/>
      <c r="E8" s="223">
        <v>0.00245</v>
      </c>
      <c r="F8" s="223"/>
      <c r="G8" s="223">
        <v>0.023199</v>
      </c>
      <c r="H8" s="223"/>
      <c r="I8" s="223">
        <v>3.3E-05</v>
      </c>
      <c r="J8" s="223"/>
      <c r="K8" s="223">
        <v>0.000419</v>
      </c>
      <c r="L8" s="224"/>
    </row>
    <row r="9" spans="2:12" ht="15">
      <c r="B9" s="62" t="s">
        <v>111</v>
      </c>
      <c r="C9" s="223">
        <v>0.015942</v>
      </c>
      <c r="D9" s="223"/>
      <c r="E9" s="223">
        <v>0.00245</v>
      </c>
      <c r="F9" s="223"/>
      <c r="G9" s="223">
        <v>0.023199</v>
      </c>
      <c r="H9" s="223"/>
      <c r="I9" s="223">
        <v>3.3E-05</v>
      </c>
      <c r="J9" s="223"/>
      <c r="K9" s="223">
        <v>0.000419</v>
      </c>
      <c r="L9" s="224"/>
    </row>
    <row r="10" spans="2:12" ht="15">
      <c r="B10" s="62" t="s">
        <v>127</v>
      </c>
      <c r="C10" s="223">
        <v>0.015942</v>
      </c>
      <c r="D10" s="223"/>
      <c r="E10" s="223">
        <v>0.00245</v>
      </c>
      <c r="F10" s="223"/>
      <c r="G10" s="223">
        <v>0.023199</v>
      </c>
      <c r="H10" s="223"/>
      <c r="I10" s="223">
        <v>3.3E-05</v>
      </c>
      <c r="J10" s="223"/>
      <c r="K10" s="223">
        <v>0.000419</v>
      </c>
      <c r="L10" s="224"/>
    </row>
    <row r="11" spans="2:12" ht="15">
      <c r="B11" s="62" t="s">
        <v>69</v>
      </c>
      <c r="C11" s="223">
        <v>0.005117</v>
      </c>
      <c r="D11" s="223"/>
      <c r="E11" s="223">
        <v>0.001133</v>
      </c>
      <c r="F11" s="223"/>
      <c r="G11" s="223">
        <v>0.032442</v>
      </c>
      <c r="H11" s="223"/>
      <c r="I11" s="223">
        <v>4.6E-05</v>
      </c>
      <c r="J11" s="223"/>
      <c r="K11" s="223">
        <v>0.000598</v>
      </c>
      <c r="L11" s="224"/>
    </row>
    <row r="12" spans="2:12" ht="15.75" thickBot="1">
      <c r="B12" s="64" t="s">
        <v>73</v>
      </c>
      <c r="C12" s="231">
        <v>0.005117</v>
      </c>
      <c r="D12" s="231"/>
      <c r="E12" s="231">
        <v>0.001133</v>
      </c>
      <c r="F12" s="231"/>
      <c r="G12" s="231">
        <v>0.032442</v>
      </c>
      <c r="H12" s="231"/>
      <c r="I12" s="231">
        <v>4.6E-05</v>
      </c>
      <c r="J12" s="231"/>
      <c r="K12" s="231">
        <v>0.000598</v>
      </c>
      <c r="L12" s="240"/>
    </row>
    <row r="13" spans="2:13" ht="12.75">
      <c r="B13" s="236" t="s">
        <v>60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99"/>
    </row>
    <row r="14" spans="2:13" ht="12.75">
      <c r="B14" s="237" t="s">
        <v>61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99"/>
    </row>
    <row r="15" spans="2:12" ht="12.75">
      <c r="B15" s="94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ht="13.5" thickBot="1"/>
    <row r="17" spans="2:13" ht="15.75" thickBot="1">
      <c r="B17" s="114"/>
      <c r="C17" s="233" t="s">
        <v>10</v>
      </c>
      <c r="D17" s="234"/>
      <c r="E17" s="234"/>
      <c r="F17" s="235"/>
      <c r="G17" s="233" t="s">
        <v>59</v>
      </c>
      <c r="H17" s="234"/>
      <c r="I17" s="234"/>
      <c r="J17" s="234"/>
      <c r="K17" s="235"/>
      <c r="L17" s="8"/>
      <c r="M17" s="8"/>
    </row>
    <row r="18" spans="1:14" ht="55.5" thickBot="1">
      <c r="A18" s="241"/>
      <c r="B18" s="115" t="s">
        <v>11</v>
      </c>
      <c r="C18" s="116" t="s">
        <v>43</v>
      </c>
      <c r="D18" s="117" t="s">
        <v>42</v>
      </c>
      <c r="E18" s="118" t="s">
        <v>137</v>
      </c>
      <c r="F18" s="119" t="s">
        <v>138</v>
      </c>
      <c r="G18" s="120" t="s">
        <v>27</v>
      </c>
      <c r="H18" s="121" t="s">
        <v>28</v>
      </c>
      <c r="I18" s="120" t="s">
        <v>29</v>
      </c>
      <c r="J18" s="120" t="s">
        <v>30</v>
      </c>
      <c r="K18" s="121" t="s">
        <v>31</v>
      </c>
      <c r="L18" s="9"/>
      <c r="M18" s="17"/>
      <c r="N18" s="17"/>
    </row>
    <row r="19" spans="1:14" ht="12.75">
      <c r="A19" s="241"/>
      <c r="B19" s="61" t="s">
        <v>105</v>
      </c>
      <c r="C19" s="33">
        <v>30</v>
      </c>
      <c r="D19" s="33">
        <v>2</v>
      </c>
      <c r="E19" s="65">
        <v>16.2</v>
      </c>
      <c r="F19" s="65">
        <f aca="true" t="shared" si="0" ref="F19:F25">E19*D19*C19</f>
        <v>972</v>
      </c>
      <c r="G19" s="66">
        <f aca="true" t="shared" si="1" ref="G19:G25">F19*C6</f>
        <v>11.467656</v>
      </c>
      <c r="H19" s="66">
        <f aca="true" t="shared" si="2" ref="H19:H25">F19*E6</f>
        <v>1.241244</v>
      </c>
      <c r="I19" s="66">
        <f aca="true" t="shared" si="3" ref="I19:I25">F19*G6</f>
        <v>1.21014</v>
      </c>
      <c r="J19" s="66">
        <f aca="true" t="shared" si="4" ref="J19:J25">F19*I6</f>
        <v>0.008748</v>
      </c>
      <c r="K19" s="67">
        <f aca="true" t="shared" si="5" ref="K19:K25">F19*K6</f>
        <v>0.07776000000000001</v>
      </c>
      <c r="L19" s="31"/>
      <c r="M19" s="32"/>
      <c r="N19" s="32"/>
    </row>
    <row r="20" spans="2:14" ht="12.75">
      <c r="B20" s="62" t="s">
        <v>99</v>
      </c>
      <c r="C20" s="22">
        <v>4</v>
      </c>
      <c r="D20" s="22">
        <v>1</v>
      </c>
      <c r="E20" s="68">
        <v>5</v>
      </c>
      <c r="F20" s="68">
        <f t="shared" si="0"/>
        <v>20</v>
      </c>
      <c r="G20" s="6">
        <f t="shared" si="1"/>
        <v>0.23596</v>
      </c>
      <c r="H20" s="6">
        <f t="shared" si="2"/>
        <v>0.02554</v>
      </c>
      <c r="I20" s="6">
        <f t="shared" si="3"/>
        <v>0.0249</v>
      </c>
      <c r="J20" s="147">
        <f t="shared" si="4"/>
        <v>0.00018</v>
      </c>
      <c r="K20" s="148">
        <f t="shared" si="5"/>
        <v>0.0016</v>
      </c>
      <c r="L20" s="31"/>
      <c r="M20" s="32"/>
      <c r="N20" s="32"/>
    </row>
    <row r="21" spans="2:14" ht="12.75">
      <c r="B21" s="63" t="s">
        <v>100</v>
      </c>
      <c r="C21" s="22">
        <v>2</v>
      </c>
      <c r="D21" s="22">
        <v>2</v>
      </c>
      <c r="E21" s="68">
        <v>10</v>
      </c>
      <c r="F21" s="22">
        <f t="shared" si="0"/>
        <v>40</v>
      </c>
      <c r="G21" s="6">
        <f t="shared" si="1"/>
        <v>0.63768</v>
      </c>
      <c r="H21" s="6">
        <f t="shared" si="2"/>
        <v>0.098</v>
      </c>
      <c r="I21" s="6">
        <f t="shared" si="3"/>
        <v>0.92796</v>
      </c>
      <c r="J21" s="146">
        <f t="shared" si="4"/>
        <v>0.00132</v>
      </c>
      <c r="K21" s="69">
        <f t="shared" si="5"/>
        <v>0.01676</v>
      </c>
      <c r="L21" s="16"/>
      <c r="M21" s="20"/>
      <c r="N21" s="20"/>
    </row>
    <row r="22" spans="1:14" s="12" customFormat="1" ht="12.75">
      <c r="A22" s="232"/>
      <c r="B22" s="62" t="s">
        <v>101</v>
      </c>
      <c r="C22" s="22">
        <v>2</v>
      </c>
      <c r="D22" s="22">
        <v>1</v>
      </c>
      <c r="E22" s="68">
        <v>5</v>
      </c>
      <c r="F22" s="68">
        <f t="shared" si="0"/>
        <v>10</v>
      </c>
      <c r="G22" s="6">
        <f t="shared" si="1"/>
        <v>0.15942</v>
      </c>
      <c r="H22" s="6">
        <f t="shared" si="2"/>
        <v>0.0245</v>
      </c>
      <c r="I22" s="6">
        <f t="shared" si="3"/>
        <v>0.23199</v>
      </c>
      <c r="J22" s="147">
        <f t="shared" si="4"/>
        <v>0.00033</v>
      </c>
      <c r="K22" s="148">
        <f t="shared" si="5"/>
        <v>0.00419</v>
      </c>
      <c r="L22" s="16"/>
      <c r="M22" s="20"/>
      <c r="N22" s="20"/>
    </row>
    <row r="23" spans="1:14" s="12" customFormat="1" ht="12.75">
      <c r="A23" s="232"/>
      <c r="B23" s="62" t="s">
        <v>102</v>
      </c>
      <c r="C23" s="22">
        <v>1</v>
      </c>
      <c r="D23" s="22">
        <v>1</v>
      </c>
      <c r="E23" s="68">
        <v>5</v>
      </c>
      <c r="F23" s="68">
        <f t="shared" si="0"/>
        <v>5</v>
      </c>
      <c r="G23" s="6">
        <f t="shared" si="1"/>
        <v>0.07971</v>
      </c>
      <c r="H23" s="6">
        <f t="shared" si="2"/>
        <v>0.01225</v>
      </c>
      <c r="I23" s="6">
        <f t="shared" si="3"/>
        <v>0.115995</v>
      </c>
      <c r="J23" s="147">
        <f t="shared" si="4"/>
        <v>0.000165</v>
      </c>
      <c r="K23" s="148">
        <f t="shared" si="5"/>
        <v>0.002095</v>
      </c>
      <c r="L23" s="16"/>
      <c r="M23" s="20"/>
      <c r="N23" s="20"/>
    </row>
    <row r="24" spans="1:14" s="12" customFormat="1" ht="12.75">
      <c r="A24" s="49"/>
      <c r="B24" s="62" t="s">
        <v>70</v>
      </c>
      <c r="C24" s="22">
        <v>0</v>
      </c>
      <c r="D24" s="22">
        <v>0</v>
      </c>
      <c r="E24" s="152">
        <v>0</v>
      </c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145">
        <f t="shared" si="5"/>
        <v>0</v>
      </c>
      <c r="L24" s="20"/>
      <c r="M24" s="20"/>
      <c r="N24" s="20"/>
    </row>
    <row r="25" spans="1:14" s="12" customFormat="1" ht="13.5" thickBot="1">
      <c r="A25" s="49"/>
      <c r="B25" s="70" t="s">
        <v>103</v>
      </c>
      <c r="C25" s="34">
        <v>0</v>
      </c>
      <c r="D25" s="34">
        <v>0</v>
      </c>
      <c r="E25" s="153">
        <v>0</v>
      </c>
      <c r="F25" s="34">
        <f t="shared" si="0"/>
        <v>0</v>
      </c>
      <c r="G25" s="34">
        <f t="shared" si="1"/>
        <v>0</v>
      </c>
      <c r="H25" s="34">
        <f t="shared" si="2"/>
        <v>0</v>
      </c>
      <c r="I25" s="34">
        <f t="shared" si="3"/>
        <v>0</v>
      </c>
      <c r="J25" s="34">
        <f t="shared" si="4"/>
        <v>0</v>
      </c>
      <c r="K25" s="151">
        <f t="shared" si="5"/>
        <v>0</v>
      </c>
      <c r="L25" s="20"/>
      <c r="M25" s="20"/>
      <c r="N25" s="20"/>
    </row>
    <row r="26" spans="2:14" ht="14.25" thickBot="1" thickTop="1">
      <c r="B26" s="143" t="s">
        <v>33</v>
      </c>
      <c r="C26" s="144"/>
      <c r="D26" s="144"/>
      <c r="E26" s="144"/>
      <c r="F26" s="144"/>
      <c r="G26" s="149">
        <f>SUM(G19:G25)</f>
        <v>12.580426000000001</v>
      </c>
      <c r="H26" s="149">
        <f>SUM(H19:H25)</f>
        <v>1.401534</v>
      </c>
      <c r="I26" s="149">
        <f>SUM(I19:I25)</f>
        <v>2.510985</v>
      </c>
      <c r="J26" s="149">
        <f>SUM(J19:J25)</f>
        <v>0.010743</v>
      </c>
      <c r="K26" s="154">
        <f>SUM(K19:K25)</f>
        <v>0.10240500000000001</v>
      </c>
      <c r="L26" s="20"/>
      <c r="M26" s="20"/>
      <c r="N26" s="20"/>
    </row>
    <row r="27" spans="2:11" ht="12.75">
      <c r="B27" s="99" t="s">
        <v>72</v>
      </c>
      <c r="C27" s="99"/>
      <c r="D27" s="99"/>
      <c r="E27" s="99"/>
      <c r="F27" s="99"/>
      <c r="G27" s="99"/>
      <c r="H27" s="99"/>
      <c r="I27" s="99"/>
      <c r="J27" s="99"/>
      <c r="K27" s="99"/>
    </row>
    <row r="28" spans="2:13" ht="12.75">
      <c r="B28" s="99" t="s">
        <v>94</v>
      </c>
      <c r="C28" s="99"/>
      <c r="D28" s="99"/>
      <c r="E28" s="99"/>
      <c r="F28" s="99"/>
      <c r="G28" s="99"/>
      <c r="H28" s="99"/>
      <c r="I28" s="99"/>
      <c r="J28" s="99"/>
      <c r="K28" s="99"/>
      <c r="M28" s="10"/>
    </row>
    <row r="29" spans="2:11" ht="12.75">
      <c r="B29" s="238" t="s">
        <v>166</v>
      </c>
      <c r="C29" s="217"/>
      <c r="D29" s="217"/>
      <c r="E29" s="217"/>
      <c r="F29" s="217"/>
      <c r="G29" s="217"/>
      <c r="H29" s="217"/>
      <c r="I29" s="217"/>
      <c r="J29" s="217"/>
      <c r="K29" s="217"/>
    </row>
    <row r="30" spans="2:11" ht="12.75">
      <c r="B30" s="239" t="s">
        <v>167</v>
      </c>
      <c r="C30" s="239"/>
      <c r="D30" s="239"/>
      <c r="E30" s="239"/>
      <c r="F30" s="239"/>
      <c r="G30" s="239"/>
      <c r="H30" s="239"/>
      <c r="I30" s="239"/>
      <c r="J30" s="239"/>
      <c r="K30" s="239"/>
    </row>
    <row r="33" spans="1:13" ht="12.75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</row>
  </sheetData>
  <sheetProtection/>
  <mergeCells count="50">
    <mergeCell ref="B30:K30"/>
    <mergeCell ref="K11:L11"/>
    <mergeCell ref="C12:D12"/>
    <mergeCell ref="E12:F12"/>
    <mergeCell ref="G12:H12"/>
    <mergeCell ref="I12:J12"/>
    <mergeCell ref="K12:L12"/>
    <mergeCell ref="K9:L9"/>
    <mergeCell ref="K10:L10"/>
    <mergeCell ref="B2:L2"/>
    <mergeCell ref="B3:L3"/>
    <mergeCell ref="B29:K29"/>
    <mergeCell ref="A18:A19"/>
    <mergeCell ref="E9:F9"/>
    <mergeCell ref="G8:H8"/>
    <mergeCell ref="I8:J8"/>
    <mergeCell ref="G9:H9"/>
    <mergeCell ref="C9:D9"/>
    <mergeCell ref="C10:D10"/>
    <mergeCell ref="E10:F10"/>
    <mergeCell ref="I9:J9"/>
    <mergeCell ref="G10:H10"/>
    <mergeCell ref="C11:D11"/>
    <mergeCell ref="E11:F11"/>
    <mergeCell ref="I10:J10"/>
    <mergeCell ref="G11:H11"/>
    <mergeCell ref="I11:J11"/>
    <mergeCell ref="K6:L6"/>
    <mergeCell ref="K7:L7"/>
    <mergeCell ref="K8:L8"/>
    <mergeCell ref="G6:H6"/>
    <mergeCell ref="G7:H7"/>
    <mergeCell ref="I7:J7"/>
    <mergeCell ref="I6:J6"/>
    <mergeCell ref="A22:A23"/>
    <mergeCell ref="C7:D7"/>
    <mergeCell ref="E7:F7"/>
    <mergeCell ref="G5:H5"/>
    <mergeCell ref="C8:D8"/>
    <mergeCell ref="E8:F8"/>
    <mergeCell ref="C17:F17"/>
    <mergeCell ref="G17:K17"/>
    <mergeCell ref="B13:L13"/>
    <mergeCell ref="B14:L14"/>
    <mergeCell ref="K5:L5"/>
    <mergeCell ref="I5:J5"/>
    <mergeCell ref="C6:D6"/>
    <mergeCell ref="E5:F5"/>
    <mergeCell ref="E6:F6"/>
    <mergeCell ref="C5:D5"/>
  </mergeCells>
  <printOptions horizontalCentered="1"/>
  <pageMargins left="0.25" right="0.25" top="1" bottom="0.5" header="0.75" footer="0.5"/>
  <pageSetup firstPageNumber="3" useFirstPageNumber="1" fitToHeight="1" fitToWidth="1" horizontalDpi="600" verticalDpi="600" orientation="landscape" r:id="rId1"/>
  <headerFooter alignWithMargins="0">
    <oddHeader>&amp;RExxonMobil Rule 1105.1 Compliance Project</oddHeader>
    <oddFooter>&amp;LFinal EIR&amp;CC-9&amp;RMarch 2007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1">
    <pageSetUpPr fitToPage="1"/>
  </sheetPr>
  <dimension ref="A1:N37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3.7109375" style="0" customWidth="1"/>
    <col min="2" max="2" width="36.7109375" style="0" customWidth="1"/>
    <col min="3" max="4" width="16.28125" style="0" customWidth="1"/>
    <col min="5" max="5" width="18.57421875" style="0" customWidth="1"/>
    <col min="6" max="6" width="15.7109375" style="0" customWidth="1"/>
    <col min="7" max="8" width="17.140625" style="0" customWidth="1"/>
    <col min="9" max="9" width="14.57421875" style="0" customWidth="1"/>
    <col min="10" max="10" width="12.00390625" style="0" customWidth="1"/>
    <col min="11" max="11" width="11.57421875" style="0" customWidth="1"/>
    <col min="12" max="12" width="11.421875" style="0" customWidth="1"/>
    <col min="13" max="13" width="12.28125" style="0" customWidth="1"/>
    <col min="14" max="14" width="12.00390625" style="0" customWidth="1"/>
    <col min="15" max="15" width="12.57421875" style="0" customWidth="1"/>
    <col min="16" max="16" width="11.00390625" style="0" customWidth="1"/>
    <col min="17" max="17" width="11.28125" style="0" customWidth="1"/>
  </cols>
  <sheetData>
    <row r="1" spans="1:10" ht="15">
      <c r="A1" s="242" t="s">
        <v>184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s="13" customFormat="1" ht="15">
      <c r="A2" s="213" t="s">
        <v>65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4" s="13" customFormat="1" ht="15">
      <c r="A3" s="213" t="s">
        <v>131</v>
      </c>
      <c r="B3" s="213"/>
      <c r="C3" s="213"/>
      <c r="D3" s="213"/>
      <c r="E3" s="213"/>
      <c r="F3" s="213"/>
      <c r="G3" s="213"/>
      <c r="H3" s="213"/>
      <c r="I3" s="213"/>
      <c r="J3" s="213"/>
      <c r="M3" s="14"/>
      <c r="N3" s="14"/>
    </row>
    <row r="4" spans="2:14" s="13" customFormat="1" ht="15.75" thickBot="1">
      <c r="B4" s="60"/>
      <c r="C4" s="60"/>
      <c r="D4" s="60"/>
      <c r="E4" s="60"/>
      <c r="F4" s="60"/>
      <c r="G4" s="60"/>
      <c r="H4" s="60"/>
      <c r="M4" s="14"/>
      <c r="N4" s="14"/>
    </row>
    <row r="5" spans="2:6" ht="54.75">
      <c r="B5" s="122" t="s">
        <v>75</v>
      </c>
      <c r="C5" s="123" t="s">
        <v>113</v>
      </c>
      <c r="D5" s="123" t="s">
        <v>77</v>
      </c>
      <c r="E5" s="123" t="s">
        <v>114</v>
      </c>
      <c r="F5" s="124" t="s">
        <v>78</v>
      </c>
    </row>
    <row r="6" spans="2:6" ht="13.5" thickBot="1">
      <c r="B6" s="74" t="s">
        <v>76</v>
      </c>
      <c r="C6" s="56">
        <v>58</v>
      </c>
      <c r="D6" s="75">
        <f>C6*2000</f>
        <v>116000</v>
      </c>
      <c r="E6" s="157">
        <f>0.00112*((12/5)^1.3)/((2/2)^1.4)*D6/2000</f>
        <v>0.20273121839745736</v>
      </c>
      <c r="F6" s="59" t="s">
        <v>19</v>
      </c>
    </row>
    <row r="7" spans="2:6" s="5" customFormat="1" ht="26.25" customHeight="1">
      <c r="B7" s="245" t="s">
        <v>112</v>
      </c>
      <c r="C7" s="245"/>
      <c r="D7" s="245"/>
      <c r="E7" s="245"/>
      <c r="F7" s="245"/>
    </row>
    <row r="8" spans="3:6" s="5" customFormat="1" ht="13.5" thickBot="1">
      <c r="C8" s="8"/>
      <c r="D8" s="82"/>
      <c r="E8" s="83"/>
      <c r="F8" s="8"/>
    </row>
    <row r="9" spans="2:8" ht="68.25">
      <c r="B9" s="125" t="s">
        <v>79</v>
      </c>
      <c r="C9" s="123" t="s">
        <v>6</v>
      </c>
      <c r="D9" s="123" t="s">
        <v>88</v>
      </c>
      <c r="E9" s="123" t="s">
        <v>81</v>
      </c>
      <c r="F9" s="123" t="s">
        <v>89</v>
      </c>
      <c r="G9" s="123" t="s">
        <v>90</v>
      </c>
      <c r="H9" s="124" t="s">
        <v>78</v>
      </c>
    </row>
    <row r="10" spans="2:8" ht="13.5" thickBot="1">
      <c r="B10" s="74" t="s">
        <v>80</v>
      </c>
      <c r="C10" s="56">
        <v>1</v>
      </c>
      <c r="D10" s="76">
        <v>26.4</v>
      </c>
      <c r="E10" s="76">
        <v>0.5</v>
      </c>
      <c r="F10" s="157">
        <f>C10*D10</f>
        <v>26.4</v>
      </c>
      <c r="G10" s="158">
        <f>C10*D10*E10</f>
        <v>13.2</v>
      </c>
      <c r="H10" s="59" t="s">
        <v>5</v>
      </c>
    </row>
    <row r="11" spans="1:8" ht="24.75" customHeight="1">
      <c r="A11" s="73"/>
      <c r="B11" s="244" t="s">
        <v>123</v>
      </c>
      <c r="C11" s="244"/>
      <c r="D11" s="244"/>
      <c r="E11" s="244"/>
      <c r="F11" s="244"/>
      <c r="G11" s="244"/>
      <c r="H11" s="98"/>
    </row>
    <row r="12" spans="1:8" ht="12.75">
      <c r="A12" s="73"/>
      <c r="B12" s="101" t="s">
        <v>82</v>
      </c>
      <c r="C12" s="102"/>
      <c r="D12" s="102"/>
      <c r="E12" s="102"/>
      <c r="F12" s="102"/>
      <c r="G12" s="102"/>
      <c r="H12" s="98"/>
    </row>
    <row r="13" ht="13.5" thickBot="1"/>
    <row r="14" spans="1:10" ht="54.75">
      <c r="A14" s="84"/>
      <c r="B14" s="122" t="s">
        <v>83</v>
      </c>
      <c r="C14" s="123" t="s">
        <v>116</v>
      </c>
      <c r="D14" s="123" t="s">
        <v>64</v>
      </c>
      <c r="E14" s="123" t="s">
        <v>63</v>
      </c>
      <c r="F14" s="123" t="s">
        <v>117</v>
      </c>
      <c r="G14" s="126" t="s">
        <v>81</v>
      </c>
      <c r="H14" s="124" t="s">
        <v>120</v>
      </c>
      <c r="I14" s="123" t="s">
        <v>121</v>
      </c>
      <c r="J14" s="124" t="s">
        <v>78</v>
      </c>
    </row>
    <row r="15" spans="2:10" ht="27" thickBot="1">
      <c r="B15" s="74" t="s">
        <v>84</v>
      </c>
      <c r="C15" s="78">
        <v>5</v>
      </c>
      <c r="D15" s="56">
        <v>1</v>
      </c>
      <c r="E15" s="79">
        <v>10</v>
      </c>
      <c r="F15" s="159">
        <f>0.77*(0.04*0.35)^0.3</f>
        <v>0.21395829867699712</v>
      </c>
      <c r="G15" s="80">
        <v>0.5</v>
      </c>
      <c r="H15" s="160">
        <f>C15*D15*E15*F15</f>
        <v>10.697914933849855</v>
      </c>
      <c r="I15" s="158">
        <f>C15*D15*E15*F15*G15</f>
        <v>5.348957466924928</v>
      </c>
      <c r="J15" s="77" t="s">
        <v>86</v>
      </c>
    </row>
    <row r="16" spans="2:10" ht="12.75">
      <c r="B16" s="243" t="s">
        <v>115</v>
      </c>
      <c r="C16" s="243"/>
      <c r="D16" s="243"/>
      <c r="E16" s="243"/>
      <c r="F16" s="243"/>
      <c r="G16" s="243"/>
      <c r="H16" s="243"/>
      <c r="I16" s="83"/>
      <c r="J16" s="100"/>
    </row>
    <row r="17" spans="2:8" s="5" customFormat="1" ht="13.5">
      <c r="B17" s="103" t="s">
        <v>122</v>
      </c>
      <c r="C17" s="103"/>
      <c r="D17" s="103"/>
      <c r="E17" s="103"/>
      <c r="F17" s="103"/>
      <c r="G17" s="103"/>
      <c r="H17" s="104"/>
    </row>
    <row r="18" spans="2:8" s="5" customFormat="1" ht="12.75">
      <c r="B18" s="103" t="s">
        <v>118</v>
      </c>
      <c r="C18" s="103"/>
      <c r="D18" s="103"/>
      <c r="E18" s="103"/>
      <c r="F18" s="103"/>
      <c r="G18" s="103"/>
      <c r="H18" s="104"/>
    </row>
    <row r="19" spans="2:8" s="5" customFormat="1" ht="12.75">
      <c r="B19" s="103" t="s">
        <v>119</v>
      </c>
      <c r="C19" s="103"/>
      <c r="D19" s="103"/>
      <c r="E19" s="103"/>
      <c r="F19" s="103"/>
      <c r="G19" s="103"/>
      <c r="H19" s="104"/>
    </row>
    <row r="21" spans="2:6" ht="12.75">
      <c r="B21" s="99" t="s">
        <v>87</v>
      </c>
      <c r="C21" s="99"/>
      <c r="D21" s="99"/>
      <c r="E21" s="99"/>
      <c r="F21" s="99"/>
    </row>
    <row r="22" ht="13.5" thickBot="1">
      <c r="G22" s="5"/>
    </row>
    <row r="23" spans="2:8" ht="39">
      <c r="B23" s="184" t="s">
        <v>83</v>
      </c>
      <c r="C23" s="185" t="s">
        <v>149</v>
      </c>
      <c r="D23" s="185" t="s">
        <v>7</v>
      </c>
      <c r="E23" s="185" t="s">
        <v>64</v>
      </c>
      <c r="F23" s="185" t="s">
        <v>150</v>
      </c>
      <c r="G23" s="185" t="s">
        <v>151</v>
      </c>
      <c r="H23" s="186" t="s">
        <v>152</v>
      </c>
    </row>
    <row r="24" spans="2:8" ht="12.75">
      <c r="B24" s="62" t="s">
        <v>153</v>
      </c>
      <c r="C24" s="187">
        <v>45</v>
      </c>
      <c r="D24" s="187" t="s">
        <v>154</v>
      </c>
      <c r="E24" s="187">
        <v>2</v>
      </c>
      <c r="F24" s="204">
        <f>C24*E24*16.2</f>
        <v>1458</v>
      </c>
      <c r="G24" s="188">
        <f>0.016*((0.037/2)^0.65)*((2.4/3)^1.5)-0.00047</f>
        <v>0.00038588730870570007</v>
      </c>
      <c r="H24" s="189">
        <f>F24*G24</f>
        <v>0.5626236960929107</v>
      </c>
    </row>
    <row r="25" spans="2:8" ht="12.75">
      <c r="B25" s="190" t="s">
        <v>155</v>
      </c>
      <c r="C25" s="187">
        <v>4</v>
      </c>
      <c r="D25" s="187" t="s">
        <v>154</v>
      </c>
      <c r="E25" s="187">
        <v>1</v>
      </c>
      <c r="F25" s="187">
        <f>C25*E25*5</f>
        <v>20</v>
      </c>
      <c r="G25" s="191">
        <f>0.016*((0.037/2)^0.65)*((5/3)^1.5)-0.00047</f>
        <v>0.0021036810837355225</v>
      </c>
      <c r="H25" s="189">
        <f>F25*G25</f>
        <v>0.042073621674710446</v>
      </c>
    </row>
    <row r="26" spans="2:8" ht="12.75">
      <c r="B26" s="62" t="s">
        <v>164</v>
      </c>
      <c r="C26" s="187">
        <v>18</v>
      </c>
      <c r="D26" s="187" t="s">
        <v>8</v>
      </c>
      <c r="E26" s="187">
        <v>2</v>
      </c>
      <c r="F26" s="187">
        <f>C26*E26*10</f>
        <v>360</v>
      </c>
      <c r="G26" s="191">
        <f>0.016*((0.037/2)^0.65)*((20/3)^1.5)-0.00047</f>
        <v>0.020119448669884177</v>
      </c>
      <c r="H26" s="189">
        <f>F26*G26</f>
        <v>7.243001521158304</v>
      </c>
    </row>
    <row r="27" spans="2:8" ht="12.75">
      <c r="B27" s="62" t="s">
        <v>165</v>
      </c>
      <c r="C27" s="187">
        <v>5</v>
      </c>
      <c r="D27" s="187" t="s">
        <v>8</v>
      </c>
      <c r="E27" s="203">
        <v>2</v>
      </c>
      <c r="F27" s="187">
        <f>C27*E27*15</f>
        <v>150</v>
      </c>
      <c r="G27" s="191">
        <f>0.016*((0.037/2)^0.65)*((20/3)^1.5)-0.00047</f>
        <v>0.020119448669884177</v>
      </c>
      <c r="H27" s="189">
        <f>F27*G27</f>
        <v>3.0179173004826265</v>
      </c>
    </row>
    <row r="28" spans="2:8" ht="14.25" thickBot="1">
      <c r="B28" s="192" t="s">
        <v>156</v>
      </c>
      <c r="C28" s="200"/>
      <c r="D28" s="201"/>
      <c r="E28" s="202"/>
      <c r="F28" s="200"/>
      <c r="G28" s="200"/>
      <c r="H28" s="193">
        <f>SUM(H24:H27)</f>
        <v>10.865616139408552</v>
      </c>
    </row>
    <row r="29" spans="2:8" ht="12.75">
      <c r="B29" s="194" t="s">
        <v>157</v>
      </c>
      <c r="C29" s="195"/>
      <c r="D29" s="195"/>
      <c r="E29" s="195"/>
      <c r="F29" s="195"/>
      <c r="G29" s="195"/>
      <c r="H29" s="195"/>
    </row>
    <row r="30" spans="2:8" ht="13.5">
      <c r="B30" s="196" t="s">
        <v>158</v>
      </c>
      <c r="C30" s="5"/>
      <c r="D30" s="5"/>
      <c r="E30" s="5"/>
      <c r="F30" s="5"/>
      <c r="G30" s="5"/>
      <c r="H30" s="5"/>
    </row>
    <row r="31" spans="2:8" ht="12.75">
      <c r="B31" s="197" t="s">
        <v>159</v>
      </c>
      <c r="C31" s="5"/>
      <c r="D31" s="5"/>
      <c r="E31" s="5"/>
      <c r="F31" s="5"/>
      <c r="G31" s="198"/>
      <c r="H31" s="5"/>
    </row>
    <row r="32" spans="2:8" ht="12.75">
      <c r="B32" s="199" t="s">
        <v>160</v>
      </c>
      <c r="C32" s="5"/>
      <c r="D32" s="5"/>
      <c r="E32" s="5"/>
      <c r="F32" s="5"/>
      <c r="G32" s="5"/>
      <c r="H32" s="5"/>
    </row>
    <row r="33" spans="2:8" ht="13.5">
      <c r="B33" s="197" t="s">
        <v>161</v>
      </c>
      <c r="C33" s="5"/>
      <c r="D33" s="5"/>
      <c r="E33" s="5"/>
      <c r="F33" s="5"/>
      <c r="G33" s="5"/>
      <c r="H33" s="5"/>
    </row>
    <row r="34" spans="2:8" ht="12.75">
      <c r="B34" s="197" t="s">
        <v>162</v>
      </c>
      <c r="C34" s="5"/>
      <c r="D34" s="5"/>
      <c r="E34" s="5"/>
      <c r="F34" s="5"/>
      <c r="G34" s="5"/>
      <c r="H34" s="5"/>
    </row>
    <row r="35" spans="2:8" ht="12.75">
      <c r="B35" s="197" t="s">
        <v>163</v>
      </c>
      <c r="C35" s="5"/>
      <c r="D35" s="5"/>
      <c r="E35" s="5"/>
      <c r="F35" s="5"/>
      <c r="G35" s="5"/>
      <c r="H35" s="5"/>
    </row>
    <row r="37" spans="1:10" ht="12.75">
      <c r="A37" s="210"/>
      <c r="B37" s="210"/>
      <c r="C37" s="210"/>
      <c r="D37" s="210"/>
      <c r="E37" s="210"/>
      <c r="F37" s="210"/>
      <c r="G37" s="210"/>
      <c r="H37" s="210"/>
      <c r="I37" s="210"/>
      <c r="J37" s="210"/>
    </row>
  </sheetData>
  <sheetProtection/>
  <mergeCells count="6">
    <mergeCell ref="A1:J1"/>
    <mergeCell ref="B16:H16"/>
    <mergeCell ref="B11:G11"/>
    <mergeCell ref="A2:J2"/>
    <mergeCell ref="A3:J3"/>
    <mergeCell ref="B7:F7"/>
  </mergeCells>
  <printOptions horizontalCentered="1"/>
  <pageMargins left="0.25" right="0.25" top="0.56" bottom="0.5" header="0.39" footer="0.5"/>
  <pageSetup fitToHeight="1" fitToWidth="1" horizontalDpi="300" verticalDpi="300" orientation="landscape" scale="80" r:id="rId1"/>
  <headerFooter alignWithMargins="0">
    <oddHeader>&amp;RExxonMobil Rule 1105.1 Compliance Project</oddHeader>
    <oddFooter>&amp;LFinal EIR&amp;CC-10&amp;RMarch 2007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12">
    <pageSetUpPr fitToPage="1"/>
  </sheetPr>
  <dimension ref="A1:N36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36.7109375" style="0" customWidth="1"/>
    <col min="3" max="3" width="16.28125" style="0" customWidth="1"/>
    <col min="4" max="4" width="15.421875" style="0" customWidth="1"/>
    <col min="5" max="5" width="18.00390625" style="0" customWidth="1"/>
    <col min="6" max="6" width="15.7109375" style="0" customWidth="1"/>
    <col min="7" max="8" width="17.140625" style="0" customWidth="1"/>
    <col min="9" max="9" width="14.57421875" style="0" customWidth="1"/>
    <col min="10" max="10" width="12.00390625" style="0" customWidth="1"/>
    <col min="11" max="11" width="11.57421875" style="0" customWidth="1"/>
    <col min="12" max="12" width="11.421875" style="0" customWidth="1"/>
    <col min="13" max="13" width="12.28125" style="0" customWidth="1"/>
    <col min="14" max="14" width="12.00390625" style="0" customWidth="1"/>
    <col min="15" max="15" width="12.57421875" style="0" customWidth="1"/>
    <col min="16" max="16" width="11.00390625" style="0" customWidth="1"/>
    <col min="17" max="17" width="11.28125" style="0" customWidth="1"/>
  </cols>
  <sheetData>
    <row r="1" spans="1:10" ht="15">
      <c r="A1" s="246" t="s">
        <v>185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s="13" customFormat="1" ht="15">
      <c r="A2" s="213" t="s">
        <v>65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4" s="13" customFormat="1" ht="15">
      <c r="A3" s="213" t="s">
        <v>132</v>
      </c>
      <c r="B3" s="213"/>
      <c r="C3" s="213"/>
      <c r="D3" s="213"/>
      <c r="E3" s="213"/>
      <c r="F3" s="213"/>
      <c r="G3" s="213"/>
      <c r="H3" s="213"/>
      <c r="I3" s="213"/>
      <c r="J3" s="213"/>
      <c r="M3" s="14"/>
      <c r="N3" s="14"/>
    </row>
    <row r="4" spans="2:14" s="13" customFormat="1" ht="15.75" thickBot="1">
      <c r="B4" s="60"/>
      <c r="C4" s="60"/>
      <c r="D4" s="60"/>
      <c r="E4" s="60"/>
      <c r="F4" s="60"/>
      <c r="G4" s="60"/>
      <c r="H4" s="60"/>
      <c r="M4" s="14"/>
      <c r="N4" s="14"/>
    </row>
    <row r="5" spans="2:6" ht="54.75">
      <c r="B5" s="122" t="s">
        <v>75</v>
      </c>
      <c r="C5" s="123" t="s">
        <v>113</v>
      </c>
      <c r="D5" s="123" t="s">
        <v>77</v>
      </c>
      <c r="E5" s="123" t="s">
        <v>114</v>
      </c>
      <c r="F5" s="124" t="s">
        <v>78</v>
      </c>
    </row>
    <row r="6" spans="2:6" ht="13.5" thickBot="1">
      <c r="B6" s="74" t="s">
        <v>76</v>
      </c>
      <c r="C6" s="56">
        <v>0</v>
      </c>
      <c r="D6" s="75">
        <f>C6*2000</f>
        <v>0</v>
      </c>
      <c r="E6" s="75">
        <f>0.00112*((12/5)^1.3)/((2/2)^1.4)*D6/2000</f>
        <v>0</v>
      </c>
      <c r="F6" s="59" t="s">
        <v>19</v>
      </c>
    </row>
    <row r="7" spans="2:6" s="5" customFormat="1" ht="24.75" customHeight="1">
      <c r="B7" s="247" t="s">
        <v>112</v>
      </c>
      <c r="C7" s="247"/>
      <c r="D7" s="247"/>
      <c r="E7" s="247"/>
      <c r="F7" s="247"/>
    </row>
    <row r="8" spans="2:6" s="5" customFormat="1" ht="13.5" thickBot="1">
      <c r="B8" s="81"/>
      <c r="C8" s="8"/>
      <c r="D8" s="82"/>
      <c r="E8" s="83"/>
      <c r="F8" s="8"/>
    </row>
    <row r="9" spans="2:8" ht="68.25">
      <c r="B9" s="125" t="s">
        <v>79</v>
      </c>
      <c r="C9" s="123" t="s">
        <v>6</v>
      </c>
      <c r="D9" s="123" t="s">
        <v>88</v>
      </c>
      <c r="E9" s="123" t="s">
        <v>81</v>
      </c>
      <c r="F9" s="123" t="s">
        <v>89</v>
      </c>
      <c r="G9" s="123" t="s">
        <v>90</v>
      </c>
      <c r="H9" s="124" t="s">
        <v>78</v>
      </c>
    </row>
    <row r="10" spans="2:8" ht="13.5" thickBot="1">
      <c r="B10" s="74" t="s">
        <v>80</v>
      </c>
      <c r="C10" s="56">
        <v>1</v>
      </c>
      <c r="D10" s="76">
        <v>26.4</v>
      </c>
      <c r="E10" s="76">
        <v>0.5</v>
      </c>
      <c r="F10" s="157">
        <f>C10*D10</f>
        <v>26.4</v>
      </c>
      <c r="G10" s="158">
        <f>C10*D10*E10</f>
        <v>13.2</v>
      </c>
      <c r="H10" s="59" t="s">
        <v>5</v>
      </c>
    </row>
    <row r="11" spans="1:7" ht="24.75" customHeight="1">
      <c r="A11" s="73"/>
      <c r="B11" s="244" t="s">
        <v>123</v>
      </c>
      <c r="C11" s="244"/>
      <c r="D11" s="244"/>
      <c r="E11" s="244"/>
      <c r="F11" s="244"/>
      <c r="G11" s="244"/>
    </row>
    <row r="12" spans="1:7" ht="12.75">
      <c r="A12" s="73"/>
      <c r="B12" s="101" t="s">
        <v>82</v>
      </c>
      <c r="C12" s="102"/>
      <c r="D12" s="102"/>
      <c r="E12" s="102"/>
      <c r="F12" s="102"/>
      <c r="G12" s="102"/>
    </row>
    <row r="13" ht="13.5" thickBot="1"/>
    <row r="14" spans="1:10" ht="54.75">
      <c r="A14" s="84"/>
      <c r="B14" s="122" t="s">
        <v>83</v>
      </c>
      <c r="C14" s="123" t="s">
        <v>124</v>
      </c>
      <c r="D14" s="123" t="s">
        <v>64</v>
      </c>
      <c r="E14" s="123" t="s">
        <v>63</v>
      </c>
      <c r="F14" s="123" t="s">
        <v>117</v>
      </c>
      <c r="G14" s="126" t="s">
        <v>81</v>
      </c>
      <c r="H14" s="124" t="s">
        <v>120</v>
      </c>
      <c r="I14" s="123" t="s">
        <v>121</v>
      </c>
      <c r="J14" s="124" t="s">
        <v>78</v>
      </c>
    </row>
    <row r="15" spans="2:10" ht="27" thickBot="1">
      <c r="B15" s="74" t="s">
        <v>84</v>
      </c>
      <c r="C15" s="78">
        <v>8</v>
      </c>
      <c r="D15" s="56">
        <v>1</v>
      </c>
      <c r="E15" s="79">
        <v>10</v>
      </c>
      <c r="F15" s="159">
        <f>0.77*(0.04*0.35)^0.3</f>
        <v>0.21395829867699712</v>
      </c>
      <c r="G15" s="80">
        <v>0.5</v>
      </c>
      <c r="H15" s="160">
        <f>C15*D15*E15*F15</f>
        <v>17.11666389415977</v>
      </c>
      <c r="I15" s="158">
        <f>C15*D15*E15*F15*G15</f>
        <v>8.558331947079886</v>
      </c>
      <c r="J15" s="77" t="s">
        <v>86</v>
      </c>
    </row>
    <row r="16" spans="2:10" ht="12.75">
      <c r="B16" s="243" t="s">
        <v>115</v>
      </c>
      <c r="C16" s="243"/>
      <c r="D16" s="243"/>
      <c r="E16" s="243"/>
      <c r="F16" s="243"/>
      <c r="G16" s="243"/>
      <c r="H16" s="243"/>
      <c r="I16" s="83"/>
      <c r="J16" s="100"/>
    </row>
    <row r="17" spans="2:8" s="5" customFormat="1" ht="13.5">
      <c r="B17" s="103" t="s">
        <v>122</v>
      </c>
      <c r="C17" s="103"/>
      <c r="D17" s="103"/>
      <c r="E17" s="103"/>
      <c r="F17" s="103"/>
      <c r="G17" s="103"/>
      <c r="H17" s="8"/>
    </row>
    <row r="18" spans="2:8" s="5" customFormat="1" ht="12.75">
      <c r="B18" s="103" t="s">
        <v>118</v>
      </c>
      <c r="C18" s="103"/>
      <c r="D18" s="103"/>
      <c r="E18" s="103"/>
      <c r="F18" s="103"/>
      <c r="G18" s="103"/>
      <c r="H18" s="8"/>
    </row>
    <row r="19" spans="2:8" s="5" customFormat="1" ht="12.75">
      <c r="B19" s="103" t="s">
        <v>119</v>
      </c>
      <c r="C19" s="103"/>
      <c r="D19" s="103"/>
      <c r="E19" s="103"/>
      <c r="F19" s="103"/>
      <c r="G19" s="103"/>
      <c r="H19" s="8"/>
    </row>
    <row r="21" ht="12.75">
      <c r="B21" s="85" t="s">
        <v>87</v>
      </c>
    </row>
    <row r="22" ht="13.5" thickBot="1"/>
    <row r="23" spans="2:8" ht="39">
      <c r="B23" s="184" t="s">
        <v>83</v>
      </c>
      <c r="C23" s="185" t="s">
        <v>149</v>
      </c>
      <c r="D23" s="185" t="s">
        <v>7</v>
      </c>
      <c r="E23" s="185" t="s">
        <v>64</v>
      </c>
      <c r="F23" s="185" t="s">
        <v>150</v>
      </c>
      <c r="G23" s="185" t="s">
        <v>151</v>
      </c>
      <c r="H23" s="186" t="s">
        <v>152</v>
      </c>
    </row>
    <row r="24" spans="2:8" ht="12.75">
      <c r="B24" s="62" t="s">
        <v>153</v>
      </c>
      <c r="C24" s="187">
        <v>115</v>
      </c>
      <c r="D24" s="187" t="s">
        <v>154</v>
      </c>
      <c r="E24" s="187">
        <v>2</v>
      </c>
      <c r="F24" s="204">
        <f>C24*E24*16.2</f>
        <v>3726</v>
      </c>
      <c r="G24" s="188">
        <f>0.016*((0.037/2)^0.65)*((2.4/3)^1.5)-0.00047</f>
        <v>0.00038588730870570007</v>
      </c>
      <c r="H24" s="189">
        <f>F24*G24</f>
        <v>1.4378161122374384</v>
      </c>
    </row>
    <row r="25" spans="2:8" ht="12.75">
      <c r="B25" s="190" t="s">
        <v>155</v>
      </c>
      <c r="C25" s="187">
        <v>5</v>
      </c>
      <c r="D25" s="187" t="s">
        <v>154</v>
      </c>
      <c r="E25" s="187">
        <v>1</v>
      </c>
      <c r="F25" s="187">
        <f>C25*E25*5</f>
        <v>25</v>
      </c>
      <c r="G25" s="191">
        <f>0.016*((0.037/2)^0.65)*((5/3)^1.5)-0.00047</f>
        <v>0.0021036810837355225</v>
      </c>
      <c r="H25" s="189">
        <f>F25*G25</f>
        <v>0.05259202709338806</v>
      </c>
    </row>
    <row r="26" spans="2:8" ht="12.75">
      <c r="B26" s="62" t="s">
        <v>164</v>
      </c>
      <c r="C26" s="187">
        <v>15</v>
      </c>
      <c r="D26" s="187" t="s">
        <v>8</v>
      </c>
      <c r="E26" s="187">
        <v>2</v>
      </c>
      <c r="F26" s="187">
        <f>C26*E26*10</f>
        <v>300</v>
      </c>
      <c r="G26" s="191">
        <f>0.016*((0.037/2)^0.65)*((20/3)^1.5)-0.00047</f>
        <v>0.020119448669884177</v>
      </c>
      <c r="H26" s="189">
        <f>F26*G26</f>
        <v>6.035834600965253</v>
      </c>
    </row>
    <row r="27" spans="2:8" ht="12.75">
      <c r="B27" s="62" t="s">
        <v>165</v>
      </c>
      <c r="C27" s="203">
        <v>0</v>
      </c>
      <c r="D27" s="203" t="s">
        <v>8</v>
      </c>
      <c r="E27" s="203">
        <v>0</v>
      </c>
      <c r="F27" s="187">
        <f>C27*E27*0</f>
        <v>0</v>
      </c>
      <c r="G27" s="191">
        <f>0.016*((0.037/2)^0.65)*((20/3)^1.5)-0.00047</f>
        <v>0.020119448669884177</v>
      </c>
      <c r="H27" s="189">
        <f>F27*G27</f>
        <v>0</v>
      </c>
    </row>
    <row r="28" spans="2:8" ht="14.25" thickBot="1">
      <c r="B28" s="192" t="s">
        <v>156</v>
      </c>
      <c r="C28" s="200"/>
      <c r="D28" s="201"/>
      <c r="E28" s="202"/>
      <c r="F28" s="200"/>
      <c r="G28" s="200"/>
      <c r="H28" s="193">
        <f>SUM(H24:H27)</f>
        <v>7.526242740296079</v>
      </c>
    </row>
    <row r="29" spans="2:8" ht="12.75">
      <c r="B29" s="194" t="s">
        <v>157</v>
      </c>
      <c r="C29" s="195"/>
      <c r="D29" s="195"/>
      <c r="E29" s="195"/>
      <c r="F29" s="195"/>
      <c r="G29" s="195"/>
      <c r="H29" s="195"/>
    </row>
    <row r="30" spans="2:8" ht="13.5">
      <c r="B30" s="196" t="s">
        <v>158</v>
      </c>
      <c r="C30" s="5"/>
      <c r="D30" s="5"/>
      <c r="E30" s="5"/>
      <c r="F30" s="5"/>
      <c r="G30" s="5"/>
      <c r="H30" s="5"/>
    </row>
    <row r="31" spans="2:8" ht="12.75">
      <c r="B31" s="197" t="s">
        <v>159</v>
      </c>
      <c r="C31" s="5"/>
      <c r="D31" s="5"/>
      <c r="E31" s="5"/>
      <c r="F31" s="5"/>
      <c r="G31" s="198"/>
      <c r="H31" s="5"/>
    </row>
    <row r="32" spans="2:8" ht="12.75">
      <c r="B32" s="199" t="s">
        <v>160</v>
      </c>
      <c r="C32" s="5"/>
      <c r="D32" s="5"/>
      <c r="E32" s="5"/>
      <c r="F32" s="5"/>
      <c r="G32" s="5"/>
      <c r="H32" s="5"/>
    </row>
    <row r="33" spans="2:8" ht="13.5">
      <c r="B33" s="197" t="s">
        <v>161</v>
      </c>
      <c r="C33" s="5"/>
      <c r="D33" s="5"/>
      <c r="E33" s="5"/>
      <c r="F33" s="5"/>
      <c r="G33" s="5"/>
      <c r="H33" s="5"/>
    </row>
    <row r="34" spans="2:8" ht="12.75">
      <c r="B34" s="197" t="s">
        <v>162</v>
      </c>
      <c r="C34" s="5"/>
      <c r="D34" s="5"/>
      <c r="E34" s="5"/>
      <c r="F34" s="5"/>
      <c r="G34" s="5"/>
      <c r="H34" s="5"/>
    </row>
    <row r="35" spans="1:10" ht="12.75">
      <c r="A35" s="5"/>
      <c r="B35" s="197" t="s">
        <v>163</v>
      </c>
      <c r="C35" s="5"/>
      <c r="D35" s="5"/>
      <c r="E35" s="5"/>
      <c r="F35" s="5"/>
      <c r="G35" s="5"/>
      <c r="H35" s="5"/>
      <c r="I35" s="5"/>
      <c r="J35" s="5"/>
    </row>
    <row r="36" spans="1:10" ht="12.75">
      <c r="A36" s="205"/>
      <c r="B36" s="205"/>
      <c r="C36" s="205"/>
      <c r="D36" s="205"/>
      <c r="E36" s="205"/>
      <c r="F36" s="205"/>
      <c r="G36" s="205"/>
      <c r="H36" s="205"/>
      <c r="I36" s="205"/>
      <c r="J36" s="205"/>
    </row>
  </sheetData>
  <sheetProtection/>
  <mergeCells count="6">
    <mergeCell ref="A1:J1"/>
    <mergeCell ref="B16:H16"/>
    <mergeCell ref="B11:G11"/>
    <mergeCell ref="A2:J2"/>
    <mergeCell ref="A3:J3"/>
    <mergeCell ref="B7:F7"/>
  </mergeCells>
  <printOptions horizontalCentered="1"/>
  <pageMargins left="0.25" right="0.25" top="0.56" bottom="0.5" header="0.39" footer="0.25"/>
  <pageSetup fitToHeight="1" fitToWidth="1" horizontalDpi="300" verticalDpi="300" orientation="landscape" scale="82" r:id="rId1"/>
  <headerFooter alignWithMargins="0">
    <oddHeader>&amp;RExxonMobil Rule 1105.1 Compliance Project</oddHeader>
    <oddFooter>&amp;L
Final EIR&amp;C
C-11&amp;R
March 2007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13">
    <pageSetUpPr fitToPage="1"/>
  </sheetPr>
  <dimension ref="A1:N36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.8515625" style="0" customWidth="1"/>
    <col min="2" max="2" width="36.7109375" style="0" customWidth="1"/>
    <col min="3" max="3" width="16.28125" style="0" customWidth="1"/>
    <col min="4" max="4" width="15.421875" style="0" customWidth="1"/>
    <col min="5" max="5" width="18.00390625" style="0" customWidth="1"/>
    <col min="6" max="6" width="15.7109375" style="0" customWidth="1"/>
    <col min="7" max="8" width="17.140625" style="0" customWidth="1"/>
    <col min="9" max="9" width="14.57421875" style="0" customWidth="1"/>
    <col min="10" max="10" width="12.00390625" style="0" customWidth="1"/>
    <col min="11" max="11" width="11.57421875" style="0" customWidth="1"/>
    <col min="12" max="12" width="11.421875" style="0" customWidth="1"/>
    <col min="13" max="13" width="12.28125" style="0" customWidth="1"/>
    <col min="14" max="14" width="12.00390625" style="0" customWidth="1"/>
    <col min="15" max="15" width="12.57421875" style="0" customWidth="1"/>
    <col min="16" max="16" width="11.00390625" style="0" customWidth="1"/>
    <col min="17" max="17" width="11.28125" style="0" customWidth="1"/>
  </cols>
  <sheetData>
    <row r="1" spans="1:10" ht="15">
      <c r="A1" s="246" t="s">
        <v>186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s="13" customFormat="1" ht="15">
      <c r="A2" s="213" t="s">
        <v>65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4" s="13" customFormat="1" ht="15">
      <c r="A3" s="213" t="s">
        <v>133</v>
      </c>
      <c r="B3" s="213"/>
      <c r="C3" s="213"/>
      <c r="D3" s="213"/>
      <c r="E3" s="213"/>
      <c r="F3" s="213"/>
      <c r="G3" s="213"/>
      <c r="H3" s="213"/>
      <c r="I3" s="213"/>
      <c r="J3" s="213"/>
      <c r="M3" s="14"/>
      <c r="N3" s="14"/>
    </row>
    <row r="4" spans="2:14" s="13" customFormat="1" ht="15.75" thickBot="1">
      <c r="B4" s="60"/>
      <c r="C4" s="60"/>
      <c r="D4" s="60"/>
      <c r="E4" s="60"/>
      <c r="F4" s="60"/>
      <c r="G4" s="60"/>
      <c r="H4" s="60"/>
      <c r="M4" s="14"/>
      <c r="N4" s="14"/>
    </row>
    <row r="5" spans="2:6" ht="54.75">
      <c r="B5" s="122" t="s">
        <v>75</v>
      </c>
      <c r="C5" s="123" t="s">
        <v>113</v>
      </c>
      <c r="D5" s="123" t="s">
        <v>77</v>
      </c>
      <c r="E5" s="123" t="s">
        <v>114</v>
      </c>
      <c r="F5" s="124" t="s">
        <v>78</v>
      </c>
    </row>
    <row r="6" spans="2:6" ht="13.5" thickBot="1">
      <c r="B6" s="74" t="s">
        <v>76</v>
      </c>
      <c r="C6" s="56">
        <v>0</v>
      </c>
      <c r="D6" s="75">
        <f>C6*2000</f>
        <v>0</v>
      </c>
      <c r="E6" s="75">
        <f>0.00112*((12/5)^1.3)/((2/2)^1.4)*D6/2000</f>
        <v>0</v>
      </c>
      <c r="F6" s="59" t="s">
        <v>19</v>
      </c>
    </row>
    <row r="7" spans="2:6" s="5" customFormat="1" ht="24.75" customHeight="1">
      <c r="B7" s="247" t="s">
        <v>112</v>
      </c>
      <c r="C7" s="247"/>
      <c r="D7" s="247"/>
      <c r="E7" s="247"/>
      <c r="F7" s="247"/>
    </row>
    <row r="8" spans="2:6" s="5" customFormat="1" ht="13.5" thickBot="1">
      <c r="B8" s="81"/>
      <c r="C8" s="8"/>
      <c r="D8" s="82"/>
      <c r="E8" s="83"/>
      <c r="F8" s="8"/>
    </row>
    <row r="9" spans="2:8" ht="68.25">
      <c r="B9" s="125" t="s">
        <v>79</v>
      </c>
      <c r="C9" s="123" t="s">
        <v>6</v>
      </c>
      <c r="D9" s="123" t="s">
        <v>88</v>
      </c>
      <c r="E9" s="123" t="s">
        <v>81</v>
      </c>
      <c r="F9" s="123" t="s">
        <v>89</v>
      </c>
      <c r="G9" s="123" t="s">
        <v>90</v>
      </c>
      <c r="H9" s="124" t="s">
        <v>78</v>
      </c>
    </row>
    <row r="10" spans="2:8" ht="13.5" thickBot="1">
      <c r="B10" s="74" t="s">
        <v>80</v>
      </c>
      <c r="C10" s="56">
        <v>0</v>
      </c>
      <c r="D10" s="76">
        <v>26.4</v>
      </c>
      <c r="E10" s="76">
        <v>0.5</v>
      </c>
      <c r="F10" s="75">
        <f>C10*D10</f>
        <v>0</v>
      </c>
      <c r="G10" s="161">
        <f>C10*D10*E10</f>
        <v>0</v>
      </c>
      <c r="H10" s="59" t="s">
        <v>5</v>
      </c>
    </row>
    <row r="11" spans="1:7" ht="24.75" customHeight="1">
      <c r="A11" s="73"/>
      <c r="B11" s="244" t="s">
        <v>123</v>
      </c>
      <c r="C11" s="244"/>
      <c r="D11" s="244"/>
      <c r="E11" s="244"/>
      <c r="F11" s="244"/>
      <c r="G11" s="244"/>
    </row>
    <row r="12" spans="1:7" ht="12.75">
      <c r="A12" s="73"/>
      <c r="B12" s="101" t="s">
        <v>82</v>
      </c>
      <c r="C12" s="102"/>
      <c r="D12" s="102"/>
      <c r="E12" s="102"/>
      <c r="F12" s="102"/>
      <c r="G12" s="102"/>
    </row>
    <row r="13" ht="13.5" thickBot="1"/>
    <row r="14" spans="1:10" ht="54.75">
      <c r="A14" s="84"/>
      <c r="B14" s="122" t="s">
        <v>83</v>
      </c>
      <c r="C14" s="123" t="s">
        <v>125</v>
      </c>
      <c r="D14" s="123" t="s">
        <v>64</v>
      </c>
      <c r="E14" s="123" t="s">
        <v>63</v>
      </c>
      <c r="F14" s="123" t="s">
        <v>117</v>
      </c>
      <c r="G14" s="126" t="s">
        <v>81</v>
      </c>
      <c r="H14" s="124" t="s">
        <v>120</v>
      </c>
      <c r="I14" s="123" t="s">
        <v>121</v>
      </c>
      <c r="J14" s="124" t="s">
        <v>78</v>
      </c>
    </row>
    <row r="15" spans="2:10" ht="27" thickBot="1">
      <c r="B15" s="74" t="s">
        <v>84</v>
      </c>
      <c r="C15" s="78">
        <v>3</v>
      </c>
      <c r="D15" s="56">
        <v>1</v>
      </c>
      <c r="E15" s="79">
        <v>10</v>
      </c>
      <c r="F15" s="159">
        <f>0.77*(0.04*0.35)^0.3</f>
        <v>0.21395829867699712</v>
      </c>
      <c r="G15" s="80">
        <v>0.5</v>
      </c>
      <c r="H15" s="160">
        <f>C15*D15*E15*F15</f>
        <v>6.418748960309913</v>
      </c>
      <c r="I15" s="158">
        <f>C15*D15*E15*F15*G15</f>
        <v>3.2093744801549566</v>
      </c>
      <c r="J15" s="77" t="s">
        <v>86</v>
      </c>
    </row>
    <row r="16" spans="2:10" ht="12.75">
      <c r="B16" s="243" t="s">
        <v>115</v>
      </c>
      <c r="C16" s="243"/>
      <c r="D16" s="243"/>
      <c r="E16" s="243"/>
      <c r="F16" s="243"/>
      <c r="G16" s="243"/>
      <c r="H16" s="243"/>
      <c r="I16" s="83"/>
      <c r="J16" s="100"/>
    </row>
    <row r="17" spans="2:8" s="5" customFormat="1" ht="13.5">
      <c r="B17" s="103" t="s">
        <v>122</v>
      </c>
      <c r="C17" s="103"/>
      <c r="D17" s="103"/>
      <c r="E17" s="103"/>
      <c r="F17" s="103"/>
      <c r="G17" s="103"/>
      <c r="H17" s="8"/>
    </row>
    <row r="18" spans="2:8" s="5" customFormat="1" ht="12.75">
      <c r="B18" s="103" t="s">
        <v>118</v>
      </c>
      <c r="C18" s="103"/>
      <c r="D18" s="103"/>
      <c r="E18" s="103"/>
      <c r="F18" s="103"/>
      <c r="G18" s="103"/>
      <c r="H18" s="8"/>
    </row>
    <row r="19" spans="2:8" s="5" customFormat="1" ht="12.75">
      <c r="B19" s="103" t="s">
        <v>119</v>
      </c>
      <c r="C19" s="103"/>
      <c r="D19" s="103"/>
      <c r="E19" s="103"/>
      <c r="F19" s="103"/>
      <c r="G19" s="103"/>
      <c r="H19" s="8"/>
    </row>
    <row r="21" ht="12.75">
      <c r="B21" s="85" t="s">
        <v>87</v>
      </c>
    </row>
    <row r="22" ht="13.5" thickBot="1"/>
    <row r="23" spans="2:8" ht="39">
      <c r="B23" s="184" t="s">
        <v>83</v>
      </c>
      <c r="C23" s="185" t="s">
        <v>149</v>
      </c>
      <c r="D23" s="185" t="s">
        <v>7</v>
      </c>
      <c r="E23" s="185" t="s">
        <v>64</v>
      </c>
      <c r="F23" s="185" t="s">
        <v>150</v>
      </c>
      <c r="G23" s="185" t="s">
        <v>151</v>
      </c>
      <c r="H23" s="186" t="s">
        <v>152</v>
      </c>
    </row>
    <row r="24" spans="2:8" ht="12.75">
      <c r="B24" s="62" t="s">
        <v>153</v>
      </c>
      <c r="C24" s="187">
        <v>15</v>
      </c>
      <c r="D24" s="187" t="s">
        <v>154</v>
      </c>
      <c r="E24" s="187">
        <v>2</v>
      </c>
      <c r="F24" s="187">
        <f>C24*E24*16.2</f>
        <v>486</v>
      </c>
      <c r="G24" s="188">
        <f>0.016*((0.037/2)^0.65)*((2.4/3)^1.5)-0.00047</f>
        <v>0.00038588730870570007</v>
      </c>
      <c r="H24" s="189">
        <f>F24*G24</f>
        <v>0.18754123203097023</v>
      </c>
    </row>
    <row r="25" spans="2:8" ht="12.75">
      <c r="B25" s="190" t="s">
        <v>155</v>
      </c>
      <c r="C25" s="187">
        <v>2</v>
      </c>
      <c r="D25" s="187" t="s">
        <v>154</v>
      </c>
      <c r="E25" s="187">
        <v>1</v>
      </c>
      <c r="F25" s="187">
        <f>C25*E25*5</f>
        <v>10</v>
      </c>
      <c r="G25" s="191">
        <f>0.016*((0.037/2)^0.65)*((5/3)^1.5)-0.00047</f>
        <v>0.0021036810837355225</v>
      </c>
      <c r="H25" s="189">
        <f>F25*G25</f>
        <v>0.021036810837355223</v>
      </c>
    </row>
    <row r="26" spans="2:8" ht="12.75">
      <c r="B26" s="62" t="s">
        <v>164</v>
      </c>
      <c r="C26" s="187">
        <v>1</v>
      </c>
      <c r="D26" s="187" t="s">
        <v>8</v>
      </c>
      <c r="E26" s="187">
        <v>2</v>
      </c>
      <c r="F26" s="187">
        <f>C26*E26*10</f>
        <v>20</v>
      </c>
      <c r="G26" s="191">
        <f>0.016*((0.037/2)^0.65)*((20/3)^1.5)-0.00047</f>
        <v>0.020119448669884177</v>
      </c>
      <c r="H26" s="189">
        <f>F26*G26</f>
        <v>0.40238897339768354</v>
      </c>
    </row>
    <row r="27" spans="2:8" ht="12.75">
      <c r="B27" s="62" t="s">
        <v>165</v>
      </c>
      <c r="C27" s="187">
        <v>0</v>
      </c>
      <c r="D27" s="187" t="s">
        <v>8</v>
      </c>
      <c r="E27" s="187">
        <v>0</v>
      </c>
      <c r="F27" s="187">
        <f>C27*E27*0</f>
        <v>0</v>
      </c>
      <c r="G27" s="191">
        <f>0.016*((0.037/2)^0.65)*((20/3)^1.5)-0.00047</f>
        <v>0.020119448669884177</v>
      </c>
      <c r="H27" s="189">
        <f>F27*G27</f>
        <v>0</v>
      </c>
    </row>
    <row r="28" spans="2:8" ht="14.25" thickBot="1">
      <c r="B28" s="192" t="s">
        <v>156</v>
      </c>
      <c r="C28" s="200"/>
      <c r="D28" s="201"/>
      <c r="E28" s="202"/>
      <c r="F28" s="200"/>
      <c r="G28" s="200"/>
      <c r="H28" s="193">
        <f>SUM(H24:H27)</f>
        <v>0.610967016266009</v>
      </c>
    </row>
    <row r="29" spans="2:8" ht="12.75">
      <c r="B29" s="194" t="s">
        <v>157</v>
      </c>
      <c r="C29" s="195"/>
      <c r="D29" s="195"/>
      <c r="E29" s="195"/>
      <c r="F29" s="195"/>
      <c r="G29" s="195"/>
      <c r="H29" s="195"/>
    </row>
    <row r="30" spans="2:8" ht="13.5">
      <c r="B30" s="196" t="s">
        <v>158</v>
      </c>
      <c r="C30" s="5"/>
      <c r="D30" s="5"/>
      <c r="E30" s="5"/>
      <c r="F30" s="5"/>
      <c r="G30" s="5"/>
      <c r="H30" s="5"/>
    </row>
    <row r="31" spans="2:8" ht="12.75">
      <c r="B31" s="197" t="s">
        <v>159</v>
      </c>
      <c r="C31" s="5"/>
      <c r="D31" s="5"/>
      <c r="E31" s="5"/>
      <c r="F31" s="5"/>
      <c r="G31" s="198"/>
      <c r="H31" s="5"/>
    </row>
    <row r="32" spans="2:8" ht="12.75">
      <c r="B32" s="199" t="s">
        <v>160</v>
      </c>
      <c r="C32" s="5"/>
      <c r="D32" s="5"/>
      <c r="E32" s="5"/>
      <c r="F32" s="5"/>
      <c r="G32" s="5"/>
      <c r="H32" s="5"/>
    </row>
    <row r="33" spans="2:8" ht="13.5">
      <c r="B33" s="197" t="s">
        <v>161</v>
      </c>
      <c r="C33" s="5"/>
      <c r="D33" s="5"/>
      <c r="E33" s="5"/>
      <c r="F33" s="5"/>
      <c r="G33" s="5"/>
      <c r="H33" s="5"/>
    </row>
    <row r="34" spans="2:8" ht="12.75">
      <c r="B34" s="197" t="s">
        <v>162</v>
      </c>
      <c r="C34" s="5"/>
      <c r="D34" s="5"/>
      <c r="E34" s="5"/>
      <c r="F34" s="5"/>
      <c r="G34" s="5"/>
      <c r="H34" s="5"/>
    </row>
    <row r="35" spans="1:10" ht="12.75">
      <c r="A35" s="5"/>
      <c r="B35" s="197" t="s">
        <v>163</v>
      </c>
      <c r="C35" s="5"/>
      <c r="D35" s="5"/>
      <c r="E35" s="5"/>
      <c r="F35" s="5"/>
      <c r="G35" s="5"/>
      <c r="H35" s="5"/>
      <c r="I35" s="5"/>
      <c r="J35" s="5"/>
    </row>
    <row r="36" spans="1:10" ht="12.75">
      <c r="A36" s="248"/>
      <c r="B36" s="248"/>
      <c r="C36" s="248"/>
      <c r="D36" s="248"/>
      <c r="E36" s="248"/>
      <c r="F36" s="248"/>
      <c r="G36" s="248"/>
      <c r="H36" s="248"/>
      <c r="I36" s="248"/>
      <c r="J36" s="248"/>
    </row>
  </sheetData>
  <sheetProtection/>
  <mergeCells count="7">
    <mergeCell ref="A36:J36"/>
    <mergeCell ref="A1:J1"/>
    <mergeCell ref="B16:H16"/>
    <mergeCell ref="B11:G11"/>
    <mergeCell ref="A2:J2"/>
    <mergeCell ref="A3:J3"/>
    <mergeCell ref="B7:F7"/>
  </mergeCells>
  <printOptions horizontalCentered="1"/>
  <pageMargins left="0.25" right="0.25" top="0.56" bottom="0.5" header="0.39" footer="0.25"/>
  <pageSetup fitToHeight="1" fitToWidth="1" horizontalDpi="300" verticalDpi="300" orientation="landscape" scale="81" r:id="rId1"/>
  <headerFooter alignWithMargins="0">
    <oddHeader>&amp;RExxonMobil Rule 1105.1 Compliance Project</oddHeader>
    <oddFooter>&amp;LFinal EIR&amp;CC-12&amp;RMarch 2007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14">
    <pageSetUpPr fitToPage="1"/>
  </sheetPr>
  <dimension ref="A1:N3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.7109375" style="0" customWidth="1"/>
    <col min="2" max="2" width="36.7109375" style="0" customWidth="1"/>
    <col min="3" max="3" width="16.28125" style="0" customWidth="1"/>
    <col min="4" max="4" width="15.421875" style="0" customWidth="1"/>
    <col min="5" max="5" width="18.00390625" style="0" customWidth="1"/>
    <col min="6" max="6" width="15.7109375" style="0" customWidth="1"/>
    <col min="7" max="8" width="17.140625" style="0" customWidth="1"/>
    <col min="9" max="9" width="14.57421875" style="0" customWidth="1"/>
    <col min="10" max="10" width="12.00390625" style="0" customWidth="1"/>
    <col min="11" max="11" width="11.57421875" style="0" customWidth="1"/>
    <col min="12" max="12" width="11.421875" style="0" customWidth="1"/>
    <col min="13" max="13" width="12.28125" style="0" customWidth="1"/>
    <col min="14" max="14" width="12.00390625" style="0" customWidth="1"/>
    <col min="15" max="15" width="12.57421875" style="0" customWidth="1"/>
    <col min="16" max="16" width="11.00390625" style="0" customWidth="1"/>
    <col min="17" max="17" width="11.28125" style="0" customWidth="1"/>
  </cols>
  <sheetData>
    <row r="1" spans="1:10" ht="15">
      <c r="A1" s="246" t="s">
        <v>187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s="13" customFormat="1" ht="15">
      <c r="A2" s="213" t="s">
        <v>65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4" s="13" customFormat="1" ht="15">
      <c r="A3" s="213" t="s">
        <v>135</v>
      </c>
      <c r="B3" s="213"/>
      <c r="C3" s="213"/>
      <c r="D3" s="213"/>
      <c r="E3" s="213"/>
      <c r="F3" s="213"/>
      <c r="G3" s="213"/>
      <c r="H3" s="213"/>
      <c r="I3" s="213"/>
      <c r="J3" s="213"/>
      <c r="M3" s="14"/>
      <c r="N3" s="14"/>
    </row>
    <row r="4" spans="2:14" s="207" customFormat="1" ht="8.25" thickBot="1">
      <c r="B4" s="208"/>
      <c r="C4" s="208"/>
      <c r="D4" s="208"/>
      <c r="E4" s="208"/>
      <c r="F4" s="208"/>
      <c r="G4" s="208"/>
      <c r="H4" s="208"/>
      <c r="M4" s="209"/>
      <c r="N4" s="209"/>
    </row>
    <row r="5" spans="2:6" ht="54.75">
      <c r="B5" s="122" t="s">
        <v>75</v>
      </c>
      <c r="C5" s="123" t="s">
        <v>113</v>
      </c>
      <c r="D5" s="123" t="s">
        <v>77</v>
      </c>
      <c r="E5" s="123" t="s">
        <v>114</v>
      </c>
      <c r="F5" s="124" t="s">
        <v>78</v>
      </c>
    </row>
    <row r="6" spans="2:6" ht="13.5" thickBot="1">
      <c r="B6" s="74" t="s">
        <v>76</v>
      </c>
      <c r="C6" s="56">
        <v>0</v>
      </c>
      <c r="D6" s="75">
        <f>C6*2000</f>
        <v>0</v>
      </c>
      <c r="E6" s="75">
        <f>0.00112*((12/5)^1.3)/((2/2)^1.4)*D6/2000</f>
        <v>0</v>
      </c>
      <c r="F6" s="59" t="s">
        <v>19</v>
      </c>
    </row>
    <row r="7" spans="2:6" s="5" customFormat="1" ht="24.75" customHeight="1">
      <c r="B7" s="247" t="s">
        <v>112</v>
      </c>
      <c r="C7" s="247"/>
      <c r="D7" s="247"/>
      <c r="E7" s="247"/>
      <c r="F7" s="247"/>
    </row>
    <row r="8" spans="2:6" s="5" customFormat="1" ht="13.5" thickBot="1">
      <c r="B8" s="81"/>
      <c r="C8" s="8"/>
      <c r="D8" s="82"/>
      <c r="E8" s="83"/>
      <c r="F8" s="8"/>
    </row>
    <row r="9" spans="2:8" ht="68.25">
      <c r="B9" s="125" t="s">
        <v>79</v>
      </c>
      <c r="C9" s="123" t="s">
        <v>6</v>
      </c>
      <c r="D9" s="123" t="s">
        <v>88</v>
      </c>
      <c r="E9" s="123" t="s">
        <v>81</v>
      </c>
      <c r="F9" s="123" t="s">
        <v>89</v>
      </c>
      <c r="G9" s="123" t="s">
        <v>90</v>
      </c>
      <c r="H9" s="124" t="s">
        <v>78</v>
      </c>
    </row>
    <row r="10" spans="2:8" ht="13.5" thickBot="1">
      <c r="B10" s="74" t="s">
        <v>80</v>
      </c>
      <c r="C10" s="56">
        <v>0.25</v>
      </c>
      <c r="D10" s="76">
        <v>26.4</v>
      </c>
      <c r="E10" s="76">
        <v>0.5</v>
      </c>
      <c r="F10" s="157">
        <f>C10*D10</f>
        <v>6.6</v>
      </c>
      <c r="G10" s="158">
        <f>C10*D10*E10</f>
        <v>3.3</v>
      </c>
      <c r="H10" s="59" t="s">
        <v>5</v>
      </c>
    </row>
    <row r="11" spans="1:7" ht="24.75" customHeight="1">
      <c r="A11" s="73"/>
      <c r="B11" s="244" t="s">
        <v>123</v>
      </c>
      <c r="C11" s="244"/>
      <c r="D11" s="244"/>
      <c r="E11" s="244"/>
      <c r="F11" s="244"/>
      <c r="G11" s="244"/>
    </row>
    <row r="12" spans="1:7" ht="12.75">
      <c r="A12" s="73"/>
      <c r="B12" s="101" t="s">
        <v>82</v>
      </c>
      <c r="C12" s="102"/>
      <c r="D12" s="102"/>
      <c r="E12" s="102"/>
      <c r="F12" s="102"/>
      <c r="G12" s="102"/>
    </row>
    <row r="13" ht="13.5" thickBot="1"/>
    <row r="14" spans="1:10" ht="54.75">
      <c r="A14" s="84"/>
      <c r="B14" s="122" t="s">
        <v>83</v>
      </c>
      <c r="C14" s="123" t="s">
        <v>62</v>
      </c>
      <c r="D14" s="123" t="s">
        <v>64</v>
      </c>
      <c r="E14" s="123" t="s">
        <v>63</v>
      </c>
      <c r="F14" s="123" t="s">
        <v>91</v>
      </c>
      <c r="G14" s="126" t="s">
        <v>81</v>
      </c>
      <c r="H14" s="124" t="s">
        <v>85</v>
      </c>
      <c r="I14" s="123" t="s">
        <v>90</v>
      </c>
      <c r="J14" s="124" t="s">
        <v>78</v>
      </c>
    </row>
    <row r="15" spans="2:10" ht="27" thickBot="1">
      <c r="B15" s="74" t="s">
        <v>84</v>
      </c>
      <c r="C15" s="78">
        <v>7</v>
      </c>
      <c r="D15" s="56">
        <v>1</v>
      </c>
      <c r="E15" s="79">
        <v>10</v>
      </c>
      <c r="F15" s="159">
        <f>0.77*(0.04*0.35)^0.3</f>
        <v>0.21395829867699712</v>
      </c>
      <c r="G15" s="80">
        <v>0.5</v>
      </c>
      <c r="H15" s="160">
        <f>C15*D15*E15*F15</f>
        <v>14.977080907389798</v>
      </c>
      <c r="I15" s="158">
        <f>C15*D15*E15*F15*G15</f>
        <v>7.488540453694899</v>
      </c>
      <c r="J15" s="77" t="s">
        <v>86</v>
      </c>
    </row>
    <row r="16" spans="2:10" ht="12.75">
      <c r="B16" s="243" t="s">
        <v>115</v>
      </c>
      <c r="C16" s="243"/>
      <c r="D16" s="243"/>
      <c r="E16" s="243"/>
      <c r="F16" s="243"/>
      <c r="G16" s="243"/>
      <c r="H16" s="243"/>
      <c r="I16" s="83"/>
      <c r="J16" s="100"/>
    </row>
    <row r="17" spans="2:8" s="5" customFormat="1" ht="13.5">
      <c r="B17" s="103" t="s">
        <v>122</v>
      </c>
      <c r="C17" s="103"/>
      <c r="D17" s="103"/>
      <c r="E17" s="103"/>
      <c r="F17" s="103"/>
      <c r="G17" s="103"/>
      <c r="H17" s="104"/>
    </row>
    <row r="18" spans="2:8" s="5" customFormat="1" ht="12.75">
      <c r="B18" s="103" t="s">
        <v>118</v>
      </c>
      <c r="C18" s="103"/>
      <c r="D18" s="103"/>
      <c r="E18" s="103"/>
      <c r="F18" s="103"/>
      <c r="G18" s="103"/>
      <c r="H18" s="104"/>
    </row>
    <row r="19" spans="2:8" s="5" customFormat="1" ht="12.75">
      <c r="B19" s="103" t="s">
        <v>119</v>
      </c>
      <c r="C19" s="103"/>
      <c r="D19" s="103"/>
      <c r="E19" s="103"/>
      <c r="F19" s="103"/>
      <c r="G19" s="103"/>
      <c r="H19" s="104"/>
    </row>
    <row r="21" ht="12.75">
      <c r="B21" s="85" t="s">
        <v>87</v>
      </c>
    </row>
    <row r="22" ht="13.5" thickBot="1"/>
    <row r="23" spans="2:8" ht="39">
      <c r="B23" s="184" t="s">
        <v>83</v>
      </c>
      <c r="C23" s="185" t="s">
        <v>149</v>
      </c>
      <c r="D23" s="185" t="s">
        <v>7</v>
      </c>
      <c r="E23" s="185" t="s">
        <v>64</v>
      </c>
      <c r="F23" s="185" t="s">
        <v>150</v>
      </c>
      <c r="G23" s="185" t="s">
        <v>151</v>
      </c>
      <c r="H23" s="186" t="s">
        <v>152</v>
      </c>
    </row>
    <row r="24" spans="2:8" ht="12.75">
      <c r="B24" s="62" t="s">
        <v>153</v>
      </c>
      <c r="C24" s="187">
        <v>30</v>
      </c>
      <c r="D24" s="187" t="s">
        <v>154</v>
      </c>
      <c r="E24" s="187">
        <v>2</v>
      </c>
      <c r="F24" s="187">
        <f>C24*E24*16.2</f>
        <v>972</v>
      </c>
      <c r="G24" s="188">
        <f>0.016*((0.037/2)^0.65)*((2.4/3)^1.5)-0.00047</f>
        <v>0.00038588730870570007</v>
      </c>
      <c r="H24" s="189">
        <f>F24*G24</f>
        <v>0.37508246406194046</v>
      </c>
    </row>
    <row r="25" spans="2:8" ht="12.75">
      <c r="B25" s="190" t="s">
        <v>155</v>
      </c>
      <c r="C25" s="187">
        <v>4</v>
      </c>
      <c r="D25" s="187" t="s">
        <v>154</v>
      </c>
      <c r="E25" s="187">
        <v>1</v>
      </c>
      <c r="F25" s="187">
        <f>C25*E25*5</f>
        <v>20</v>
      </c>
      <c r="G25" s="191">
        <f>0.016*((0.037/2)^0.65)*((5/3)^1.5)-0.00047</f>
        <v>0.0021036810837355225</v>
      </c>
      <c r="H25" s="189">
        <f>F25*G25</f>
        <v>0.042073621674710446</v>
      </c>
    </row>
    <row r="26" spans="2:8" ht="12.75">
      <c r="B26" s="62" t="s">
        <v>164</v>
      </c>
      <c r="C26" s="187">
        <v>2</v>
      </c>
      <c r="D26" s="187" t="s">
        <v>8</v>
      </c>
      <c r="E26" s="187">
        <v>2</v>
      </c>
      <c r="F26" s="187">
        <f>C26*E26*10</f>
        <v>40</v>
      </c>
      <c r="G26" s="191">
        <f>0.016*((0.037/2)^0.65)*((20/3)^1.5)-0.00047</f>
        <v>0.020119448669884177</v>
      </c>
      <c r="H26" s="189">
        <f>F26*G26</f>
        <v>0.8047779467953671</v>
      </c>
    </row>
    <row r="27" spans="2:8" ht="12.75">
      <c r="B27" s="62" t="s">
        <v>165</v>
      </c>
      <c r="C27" s="187">
        <v>0</v>
      </c>
      <c r="D27" s="187" t="s">
        <v>8</v>
      </c>
      <c r="E27" s="187">
        <v>0</v>
      </c>
      <c r="F27" s="187">
        <f>C27*E27*0</f>
        <v>0</v>
      </c>
      <c r="G27" s="191">
        <f>0.016*((0.037/2)^0.65)*((20/3)^1.5)-0.00047</f>
        <v>0.020119448669884177</v>
      </c>
      <c r="H27" s="189">
        <f>F27*G27</f>
        <v>0</v>
      </c>
    </row>
    <row r="28" spans="2:8" ht="14.25" thickBot="1">
      <c r="B28" s="192" t="s">
        <v>156</v>
      </c>
      <c r="C28" s="200"/>
      <c r="D28" s="201"/>
      <c r="E28" s="202"/>
      <c r="F28" s="200"/>
      <c r="G28" s="200"/>
      <c r="H28" s="193">
        <f>SUM(H24:H27)</f>
        <v>1.221934032532018</v>
      </c>
    </row>
    <row r="29" spans="2:8" ht="12.75">
      <c r="B29" s="194" t="s">
        <v>157</v>
      </c>
      <c r="C29" s="195"/>
      <c r="D29" s="195"/>
      <c r="E29" s="195"/>
      <c r="F29" s="195"/>
      <c r="G29" s="195"/>
      <c r="H29" s="195"/>
    </row>
    <row r="30" spans="2:8" ht="13.5">
      <c r="B30" s="196" t="s">
        <v>158</v>
      </c>
      <c r="C30" s="5"/>
      <c r="D30" s="5"/>
      <c r="E30" s="5"/>
      <c r="F30" s="5"/>
      <c r="G30" s="5"/>
      <c r="H30" s="5"/>
    </row>
    <row r="31" spans="2:8" ht="12.75">
      <c r="B31" s="197" t="s">
        <v>159</v>
      </c>
      <c r="C31" s="5"/>
      <c r="D31" s="5"/>
      <c r="E31" s="5"/>
      <c r="F31" s="5"/>
      <c r="G31" s="198"/>
      <c r="H31" s="5"/>
    </row>
    <row r="32" spans="2:8" ht="12.75">
      <c r="B32" s="199" t="s">
        <v>160</v>
      </c>
      <c r="C32" s="5"/>
      <c r="D32" s="5"/>
      <c r="E32" s="5"/>
      <c r="F32" s="5"/>
      <c r="G32" s="5"/>
      <c r="H32" s="5"/>
    </row>
    <row r="33" spans="2:8" ht="13.5">
      <c r="B33" s="197" t="s">
        <v>161</v>
      </c>
      <c r="C33" s="5"/>
      <c r="D33" s="5"/>
      <c r="E33" s="5"/>
      <c r="F33" s="5"/>
      <c r="G33" s="5"/>
      <c r="H33" s="5"/>
    </row>
    <row r="34" spans="2:8" ht="12.75">
      <c r="B34" s="197" t="s">
        <v>162</v>
      </c>
      <c r="C34" s="5"/>
      <c r="D34" s="5"/>
      <c r="E34" s="5"/>
      <c r="F34" s="5"/>
      <c r="G34" s="5"/>
      <c r="H34" s="5"/>
    </row>
    <row r="35" spans="1:10" ht="12.75">
      <c r="A35" s="205"/>
      <c r="B35" s="206" t="s">
        <v>163</v>
      </c>
      <c r="C35" s="205"/>
      <c r="D35" s="205"/>
      <c r="E35" s="205"/>
      <c r="F35" s="205"/>
      <c r="G35" s="205"/>
      <c r="H35" s="205"/>
      <c r="I35" s="205"/>
      <c r="J35" s="205"/>
    </row>
  </sheetData>
  <sheetProtection/>
  <mergeCells count="6">
    <mergeCell ref="A1:J1"/>
    <mergeCell ref="B16:H16"/>
    <mergeCell ref="B11:G11"/>
    <mergeCell ref="A2:J2"/>
    <mergeCell ref="A3:J3"/>
    <mergeCell ref="B7:F7"/>
  </mergeCells>
  <printOptions horizontalCentered="1"/>
  <pageMargins left="0.25" right="0.12" top="0.56" bottom="0.5" header="0.39" footer="0.5"/>
  <pageSetup fitToHeight="1" fitToWidth="1" horizontalDpi="300" verticalDpi="300" orientation="landscape" scale="82" r:id="rId1"/>
  <headerFooter alignWithMargins="0">
    <oddHeader>&amp;RExxonMobil Rule 1105.1 Compliance Project</oddHeader>
    <oddFooter>&amp;LFinal EIR&amp;CC-13&amp;RMarch 2007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56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22.00390625" style="0" bestFit="1" customWidth="1"/>
    <col min="2" max="2" width="2.7109375" style="0" hidden="1" customWidth="1"/>
    <col min="3" max="7" width="14.140625" style="0" customWidth="1"/>
  </cols>
  <sheetData>
    <row r="1" spans="1:7" ht="15">
      <c r="A1" s="242" t="s">
        <v>188</v>
      </c>
      <c r="B1" s="242"/>
      <c r="C1" s="242"/>
      <c r="D1" s="242"/>
      <c r="E1" s="242"/>
      <c r="F1" s="242"/>
      <c r="G1" s="242"/>
    </row>
    <row r="2" spans="1:7" ht="12.75">
      <c r="A2" s="217"/>
      <c r="B2" s="217"/>
      <c r="C2" s="217"/>
      <c r="D2" s="217"/>
      <c r="E2" s="217"/>
      <c r="F2" s="217"/>
      <c r="G2" s="217"/>
    </row>
    <row r="3" spans="1:7" ht="15">
      <c r="A3" s="213" t="s">
        <v>143</v>
      </c>
      <c r="B3" s="213"/>
      <c r="C3" s="213"/>
      <c r="D3" s="213"/>
      <c r="E3" s="213"/>
      <c r="F3" s="213"/>
      <c r="G3" s="213"/>
    </row>
    <row r="4" spans="1:7" ht="15">
      <c r="A4" s="213" t="s">
        <v>93</v>
      </c>
      <c r="B4" s="213"/>
      <c r="C4" s="213"/>
      <c r="D4" s="213"/>
      <c r="E4" s="213"/>
      <c r="F4" s="213"/>
      <c r="G4" s="213"/>
    </row>
    <row r="6" spans="1:7" ht="12.75">
      <c r="A6" s="250" t="s">
        <v>92</v>
      </c>
      <c r="B6" s="258"/>
      <c r="C6" s="254" t="s">
        <v>144</v>
      </c>
      <c r="D6" s="255"/>
      <c r="E6" s="255"/>
      <c r="F6" s="256"/>
      <c r="G6" s="257"/>
    </row>
    <row r="7" spans="1:7" ht="12.75">
      <c r="A7" s="252"/>
      <c r="B7" s="259"/>
      <c r="C7" s="180" t="s">
        <v>0</v>
      </c>
      <c r="D7" s="180" t="s">
        <v>1</v>
      </c>
      <c r="E7" s="180" t="s">
        <v>2</v>
      </c>
      <c r="F7" s="180" t="s">
        <v>4</v>
      </c>
      <c r="G7" s="181" t="s">
        <v>3</v>
      </c>
    </row>
    <row r="8" spans="1:7" ht="12.75">
      <c r="A8" s="2" t="s">
        <v>12</v>
      </c>
      <c r="B8" s="2"/>
      <c r="C8" s="179">
        <f>'ConstEquip-Phase 1'!I25</f>
        <v>130.21315</v>
      </c>
      <c r="D8" s="179">
        <f>'ConstEquip-Phase 1'!J25</f>
        <v>27.122149999999998</v>
      </c>
      <c r="E8" s="179">
        <f>'ConstEquip-Phase 1'!K25</f>
        <v>236.79250000000005</v>
      </c>
      <c r="F8" s="179">
        <f>'ConstEquip-Phase 1'!L25</f>
        <v>21.692</v>
      </c>
      <c r="G8" s="179">
        <f>'ConstEquip-Phase 1'!M25</f>
        <v>14.63455</v>
      </c>
    </row>
    <row r="9" spans="1:7" ht="12.75">
      <c r="A9" s="2" t="s">
        <v>20</v>
      </c>
      <c r="B9" s="2"/>
      <c r="C9" s="179">
        <f>'VehicleEmiss-Phase 1'!G26</f>
        <v>23.760035</v>
      </c>
      <c r="D9" s="179">
        <f>'VehicleEmiss-Phase 1'!H26</f>
        <v>2.903844</v>
      </c>
      <c r="E9" s="179">
        <f>'VehicleEmiss-Phase 1'!I26</f>
        <v>18.605178</v>
      </c>
      <c r="F9" s="179">
        <f>'VehicleEmiss-Phase 1'!J26</f>
        <v>0.034742</v>
      </c>
      <c r="G9" s="179">
        <f>'VehicleEmiss-Phase 1'!K26</f>
        <v>0.41624000000000005</v>
      </c>
    </row>
    <row r="10" spans="1:7" ht="12.75">
      <c r="A10" s="2" t="s">
        <v>75</v>
      </c>
      <c r="B10" s="2"/>
      <c r="C10" s="179">
        <v>0</v>
      </c>
      <c r="D10" s="179">
        <v>0</v>
      </c>
      <c r="E10" s="179">
        <v>0</v>
      </c>
      <c r="F10" s="179">
        <v>0</v>
      </c>
      <c r="G10" s="179">
        <f>'FugConstEmiss-Phase 1'!E6</f>
        <v>0.20273121839745736</v>
      </c>
    </row>
    <row r="11" spans="1:7" ht="12.75">
      <c r="A11" s="2" t="s">
        <v>79</v>
      </c>
      <c r="B11" s="2"/>
      <c r="C11" s="179">
        <v>0</v>
      </c>
      <c r="D11" s="179">
        <v>0</v>
      </c>
      <c r="E11" s="179">
        <v>0</v>
      </c>
      <c r="F11" s="179">
        <v>0</v>
      </c>
      <c r="G11" s="179">
        <f>'FugConstEmiss-Phase 1'!G10</f>
        <v>13.2</v>
      </c>
    </row>
    <row r="12" spans="1:7" ht="12.75">
      <c r="A12" s="2" t="s">
        <v>83</v>
      </c>
      <c r="B12" s="2"/>
      <c r="C12" s="179">
        <v>0</v>
      </c>
      <c r="D12" s="179">
        <v>0</v>
      </c>
      <c r="E12" s="179">
        <v>0</v>
      </c>
      <c r="F12" s="179">
        <v>0</v>
      </c>
      <c r="G12" s="179">
        <f>'FugConstEmiss-Phase 1'!I15+'FugConstEmiss-Phase 1'!H28</f>
        <v>16.21457360633348</v>
      </c>
    </row>
    <row r="13" spans="1:7" ht="12.75">
      <c r="A13" s="4" t="s">
        <v>18</v>
      </c>
      <c r="B13" s="2"/>
      <c r="C13" s="182">
        <f>SUM(C8:C12)</f>
        <v>153.973185</v>
      </c>
      <c r="D13" s="182">
        <f>SUM(D8:D12)</f>
        <v>30.025993999999997</v>
      </c>
      <c r="E13" s="182">
        <f>SUM(E8:E12)</f>
        <v>255.39767800000004</v>
      </c>
      <c r="F13" s="182">
        <f>SUM(F8:F12)</f>
        <v>21.726742</v>
      </c>
      <c r="G13" s="182">
        <f>SUM(G8:G12)</f>
        <v>44.668094824730936</v>
      </c>
    </row>
    <row r="14" spans="1:7" ht="12.75">
      <c r="A14" s="4" t="s">
        <v>21</v>
      </c>
      <c r="B14" s="2"/>
      <c r="C14" s="2">
        <v>550</v>
      </c>
      <c r="D14" s="2">
        <v>75</v>
      </c>
      <c r="E14" s="2">
        <v>100</v>
      </c>
      <c r="F14" s="2">
        <v>150</v>
      </c>
      <c r="G14" s="2">
        <v>150</v>
      </c>
    </row>
    <row r="15" spans="1:7" ht="12.75">
      <c r="A15" s="4" t="s">
        <v>22</v>
      </c>
      <c r="B15" s="2"/>
      <c r="C15" s="3" t="str">
        <f>IF(C13&gt;C14,"Yes","No")</f>
        <v>No</v>
      </c>
      <c r="D15" s="3" t="str">
        <f>IF(D13&gt;D14,"Yes","No")</f>
        <v>No</v>
      </c>
      <c r="E15" s="3" t="str">
        <f>IF(E13&gt;E14,"Yes","No")</f>
        <v>Yes</v>
      </c>
      <c r="F15" s="3" t="str">
        <f>IF(F13&gt;F14,"Yes","No")</f>
        <v>No</v>
      </c>
      <c r="G15" s="3" t="str">
        <f>IF(G13&gt;G14,"Yes","No")</f>
        <v>No</v>
      </c>
    </row>
    <row r="17" spans="1:7" ht="12.75">
      <c r="A17" s="250" t="s">
        <v>92</v>
      </c>
      <c r="B17" s="251"/>
      <c r="C17" s="254" t="s">
        <v>145</v>
      </c>
      <c r="D17" s="255"/>
      <c r="E17" s="255"/>
      <c r="F17" s="256"/>
      <c r="G17" s="257"/>
    </row>
    <row r="18" spans="1:7" ht="12.75">
      <c r="A18" s="252"/>
      <c r="B18" s="253"/>
      <c r="C18" s="180" t="s">
        <v>0</v>
      </c>
      <c r="D18" s="180" t="s">
        <v>1</v>
      </c>
      <c r="E18" s="180" t="s">
        <v>2</v>
      </c>
      <c r="F18" s="180" t="s">
        <v>4</v>
      </c>
      <c r="G18" s="181" t="s">
        <v>3</v>
      </c>
    </row>
    <row r="19" spans="1:7" ht="12.75">
      <c r="A19" s="2" t="s">
        <v>12</v>
      </c>
      <c r="B19" s="2"/>
      <c r="C19" s="179">
        <f>'ConstEquip-Phase 2'!I25</f>
        <v>73.85565</v>
      </c>
      <c r="D19" s="179">
        <f>'ConstEquip-Phase 2'!J25</f>
        <v>18.50005</v>
      </c>
      <c r="E19" s="179">
        <f>'ConstEquip-Phase 2'!K25</f>
        <v>158.10745</v>
      </c>
      <c r="F19" s="179">
        <f>'ConstEquip-Phase 2'!L25</f>
        <v>14.1913</v>
      </c>
      <c r="G19" s="179">
        <f>'ConstEquip-Phase 2'!M25</f>
        <v>9.250025</v>
      </c>
    </row>
    <row r="20" spans="1:7" ht="12.75">
      <c r="A20" s="2" t="s">
        <v>20</v>
      </c>
      <c r="B20" s="2"/>
      <c r="C20" s="179">
        <f>'VehicleEmiss-Phase 2'!G26</f>
        <v>53.586145</v>
      </c>
      <c r="D20" s="179">
        <f>'VehicleEmiss-Phase 2'!H26</f>
        <v>6.009153</v>
      </c>
      <c r="E20" s="179">
        <f>'VehicleEmiss-Phase 2'!I26</f>
        <v>12.973181</v>
      </c>
      <c r="F20" s="179">
        <f>'VehicleEmiss-Phase 2'!J26</f>
        <v>0.044154</v>
      </c>
      <c r="G20" s="179">
        <f>'VehicleEmiss-Phase 2'!K26</f>
        <v>0.43868</v>
      </c>
    </row>
    <row r="21" spans="1:7" ht="12.75">
      <c r="A21" s="2" t="s">
        <v>75</v>
      </c>
      <c r="B21" s="2"/>
      <c r="C21" s="179">
        <v>0</v>
      </c>
      <c r="D21" s="179">
        <v>0</v>
      </c>
      <c r="E21" s="179">
        <v>0</v>
      </c>
      <c r="F21" s="179">
        <v>0</v>
      </c>
      <c r="G21" s="179">
        <f>'FugConstEmiss-Phase 2'!E6</f>
        <v>0</v>
      </c>
    </row>
    <row r="22" spans="1:13" ht="12.75">
      <c r="A22" s="2" t="s">
        <v>79</v>
      </c>
      <c r="B22" s="2"/>
      <c r="C22" s="179">
        <v>0</v>
      </c>
      <c r="D22" s="179">
        <v>0</v>
      </c>
      <c r="E22" s="179">
        <v>0</v>
      </c>
      <c r="F22" s="179">
        <v>0</v>
      </c>
      <c r="G22" s="179">
        <f>'FugConstEmiss-Phase 2'!G10</f>
        <v>13.2</v>
      </c>
      <c r="M22" s="86"/>
    </row>
    <row r="23" spans="1:7" ht="12.75">
      <c r="A23" s="2" t="s">
        <v>83</v>
      </c>
      <c r="B23" s="2"/>
      <c r="C23" s="179">
        <v>0</v>
      </c>
      <c r="D23" s="179">
        <v>0</v>
      </c>
      <c r="E23" s="179">
        <v>0</v>
      </c>
      <c r="F23" s="179">
        <v>0</v>
      </c>
      <c r="G23" s="179">
        <f>'FugConstEmiss-Phase 2'!I15+'FugConstEmiss-Phase 2'!H28</f>
        <v>16.084574687375966</v>
      </c>
    </row>
    <row r="24" spans="1:7" ht="12.75">
      <c r="A24" s="4" t="s">
        <v>18</v>
      </c>
      <c r="B24" s="2"/>
      <c r="C24" s="183">
        <f>SUM(C19:C23)</f>
        <v>127.441795</v>
      </c>
      <c r="D24" s="183">
        <f>SUM(D19:D23)</f>
        <v>24.509203000000003</v>
      </c>
      <c r="E24" s="183">
        <f>SUM(E19:E23)</f>
        <v>171.080631</v>
      </c>
      <c r="F24" s="183">
        <f>SUM(F19:F23)</f>
        <v>14.235454</v>
      </c>
      <c r="G24" s="183">
        <f>SUM(G19:G23)</f>
        <v>38.973279687375964</v>
      </c>
    </row>
    <row r="25" spans="1:7" ht="12.75">
      <c r="A25" s="4" t="s">
        <v>21</v>
      </c>
      <c r="B25" s="2"/>
      <c r="C25" s="2">
        <v>550</v>
      </c>
      <c r="D25" s="2">
        <v>75</v>
      </c>
      <c r="E25" s="2">
        <v>100</v>
      </c>
      <c r="F25" s="2">
        <v>150</v>
      </c>
      <c r="G25" s="2">
        <v>150</v>
      </c>
    </row>
    <row r="26" spans="1:7" ht="12.75">
      <c r="A26" s="4" t="s">
        <v>22</v>
      </c>
      <c r="B26" s="2"/>
      <c r="C26" s="3" t="str">
        <f>IF(C24&gt;C25,"Yes","No")</f>
        <v>No</v>
      </c>
      <c r="D26" s="3" t="str">
        <f>IF(D24&gt;D25,"Yes","No")</f>
        <v>No</v>
      </c>
      <c r="E26" s="3" t="str">
        <f>IF(E24&gt;E25,"Yes","No")</f>
        <v>Yes</v>
      </c>
      <c r="F26" s="3" t="str">
        <f>IF(F24&gt;F25,"Yes","No")</f>
        <v>No</v>
      </c>
      <c r="G26" s="3" t="str">
        <f>IF(G24&gt;G25,"Yes","No")</f>
        <v>No</v>
      </c>
    </row>
    <row r="28" spans="1:7" ht="12.75">
      <c r="A28" s="250" t="s">
        <v>92</v>
      </c>
      <c r="B28" s="251"/>
      <c r="C28" s="254" t="s">
        <v>146</v>
      </c>
      <c r="D28" s="255"/>
      <c r="E28" s="255"/>
      <c r="F28" s="256"/>
      <c r="G28" s="257"/>
    </row>
    <row r="29" spans="1:7" ht="12.75">
      <c r="A29" s="252"/>
      <c r="B29" s="253"/>
      <c r="C29" s="180" t="s">
        <v>0</v>
      </c>
      <c r="D29" s="180" t="s">
        <v>1</v>
      </c>
      <c r="E29" s="180" t="s">
        <v>2</v>
      </c>
      <c r="F29" s="180" t="s">
        <v>4</v>
      </c>
      <c r="G29" s="181" t="s">
        <v>3</v>
      </c>
    </row>
    <row r="30" spans="1:7" ht="12.75">
      <c r="A30" s="2" t="s">
        <v>12</v>
      </c>
      <c r="B30" s="2"/>
      <c r="C30" s="179">
        <f>'ConstEquip-Phase 3'!I25</f>
        <v>27.265949999999997</v>
      </c>
      <c r="D30" s="179">
        <f>'ConstEquip-Phase 3'!J25</f>
        <v>6.89215</v>
      </c>
      <c r="E30" s="179">
        <f>'ConstEquip-Phase 3'!K25</f>
        <v>62.83835</v>
      </c>
      <c r="F30" s="179">
        <f>'ConstEquip-Phase 3'!L25</f>
        <v>4.8839</v>
      </c>
      <c r="G30" s="179">
        <f>'ConstEquip-Phase 3'!M25</f>
        <v>3.446075</v>
      </c>
    </row>
    <row r="31" spans="1:7" ht="12.75">
      <c r="A31" s="2" t="s">
        <v>20</v>
      </c>
      <c r="B31" s="2"/>
      <c r="C31" s="179">
        <f>'VehicleEmiss-Phase 3'!G26</f>
        <v>6.250358</v>
      </c>
      <c r="D31" s="179">
        <f>'VehicleEmiss-Phase 3'!H26</f>
        <v>0.694642</v>
      </c>
      <c r="E31" s="179">
        <f>'VehicleEmiss-Phase 3'!I26</f>
        <v>1.197495</v>
      </c>
      <c r="F31" s="179">
        <f>'VehicleEmiss-Phase 3'!J26</f>
        <v>0.005289</v>
      </c>
      <c r="G31" s="179">
        <f>'VehicleEmiss-Phase 3'!K26</f>
        <v>0.050155000000000005</v>
      </c>
    </row>
    <row r="32" spans="1:7" ht="12.75">
      <c r="A32" s="2" t="s">
        <v>75</v>
      </c>
      <c r="B32" s="2"/>
      <c r="C32" s="179">
        <v>0</v>
      </c>
      <c r="D32" s="179">
        <v>0</v>
      </c>
      <c r="E32" s="179">
        <v>0</v>
      </c>
      <c r="F32" s="179">
        <v>0</v>
      </c>
      <c r="G32" s="179">
        <f>'FugConstEmiss-Phase 3'!E6</f>
        <v>0</v>
      </c>
    </row>
    <row r="33" spans="1:7" ht="12.75">
      <c r="A33" s="2" t="s">
        <v>79</v>
      </c>
      <c r="B33" s="2"/>
      <c r="C33" s="179">
        <v>0</v>
      </c>
      <c r="D33" s="179">
        <v>0</v>
      </c>
      <c r="E33" s="179">
        <v>0</v>
      </c>
      <c r="F33" s="179">
        <v>0</v>
      </c>
      <c r="G33" s="179">
        <f>'FugConstEmiss-Phase 3'!G10</f>
        <v>0</v>
      </c>
    </row>
    <row r="34" spans="1:7" ht="12.75">
      <c r="A34" s="2" t="s">
        <v>83</v>
      </c>
      <c r="B34" s="2"/>
      <c r="C34" s="179">
        <v>0</v>
      </c>
      <c r="D34" s="179">
        <v>0</v>
      </c>
      <c r="E34" s="179">
        <v>0</v>
      </c>
      <c r="F34" s="179">
        <v>0</v>
      </c>
      <c r="G34" s="179">
        <f>'FugConstEmiss-Phase 3'!I15+'FugConstEmiss-Phase 3'!H28</f>
        <v>3.8203414964209657</v>
      </c>
    </row>
    <row r="35" spans="1:7" ht="12.75">
      <c r="A35" s="4" t="s">
        <v>18</v>
      </c>
      <c r="B35" s="2"/>
      <c r="C35" s="183">
        <f>SUM(C30:C34)</f>
        <v>33.516307999999995</v>
      </c>
      <c r="D35" s="183">
        <f>SUM(D30:D34)</f>
        <v>7.586792</v>
      </c>
      <c r="E35" s="183">
        <f>SUM(E30:E34)</f>
        <v>64.035845</v>
      </c>
      <c r="F35" s="183">
        <f>SUM(F30:F34)</f>
        <v>4.889189</v>
      </c>
      <c r="G35" s="183">
        <f>SUM(G30:G34)</f>
        <v>7.316571496420966</v>
      </c>
    </row>
    <row r="36" spans="1:7" ht="12.75">
      <c r="A36" s="4" t="s">
        <v>21</v>
      </c>
      <c r="B36" s="2"/>
      <c r="C36" s="2">
        <v>550</v>
      </c>
      <c r="D36" s="2">
        <v>75</v>
      </c>
      <c r="E36" s="2">
        <v>100</v>
      </c>
      <c r="F36" s="2">
        <v>150</v>
      </c>
      <c r="G36" s="2">
        <v>150</v>
      </c>
    </row>
    <row r="37" spans="1:7" ht="12.75">
      <c r="A37" s="4" t="s">
        <v>22</v>
      </c>
      <c r="B37" s="2"/>
      <c r="C37" s="3" t="str">
        <f>IF(C35&gt;C36,"Yes","No")</f>
        <v>No</v>
      </c>
      <c r="D37" s="3" t="str">
        <f>IF(D35&gt;D36,"Yes","No")</f>
        <v>No</v>
      </c>
      <c r="E37" s="3" t="str">
        <f>IF(E35&gt;E36,"Yes","No")</f>
        <v>No</v>
      </c>
      <c r="F37" s="3" t="str">
        <f>IF(F35&gt;F36,"Yes","No")</f>
        <v>No</v>
      </c>
      <c r="G37" s="3" t="str">
        <f>IF(G35&gt;G36,"Yes","No")</f>
        <v>No</v>
      </c>
    </row>
    <row r="38" spans="1:7" ht="12.75">
      <c r="A38" s="21"/>
      <c r="B38" s="50"/>
      <c r="C38" s="109"/>
      <c r="D38" s="8"/>
      <c r="E38" s="8"/>
      <c r="F38" s="8"/>
      <c r="G38" s="8"/>
    </row>
    <row r="39" spans="1:7" ht="12.75">
      <c r="A39" s="250" t="s">
        <v>92</v>
      </c>
      <c r="B39" s="251"/>
      <c r="C39" s="254" t="s">
        <v>147</v>
      </c>
      <c r="D39" s="255"/>
      <c r="E39" s="255"/>
      <c r="F39" s="256"/>
      <c r="G39" s="257"/>
    </row>
    <row r="40" spans="1:7" ht="12.75">
      <c r="A40" s="252"/>
      <c r="B40" s="253"/>
      <c r="C40" s="180" t="s">
        <v>0</v>
      </c>
      <c r="D40" s="180" t="s">
        <v>1</v>
      </c>
      <c r="E40" s="180" t="s">
        <v>2</v>
      </c>
      <c r="F40" s="180" t="s">
        <v>4</v>
      </c>
      <c r="G40" s="181" t="s">
        <v>3</v>
      </c>
    </row>
    <row r="41" spans="1:7" ht="12.75">
      <c r="A41" s="2" t="s">
        <v>12</v>
      </c>
      <c r="B41" s="2"/>
      <c r="C41" s="179">
        <f>'ConstEquip-Phase 4'!I25</f>
        <v>46.154599999999995</v>
      </c>
      <c r="D41" s="179">
        <f>'ConstEquip-Phase 4'!J25</f>
        <v>12.9152</v>
      </c>
      <c r="E41" s="179">
        <f>'ConstEquip-Phase 4'!K25</f>
        <v>105.7488</v>
      </c>
      <c r="F41" s="179">
        <f>'ConstEquip-Phase 4'!L25</f>
        <v>9.345199999999998</v>
      </c>
      <c r="G41" s="179">
        <f>'ConstEquip-Phase 4'!M25</f>
        <v>6.4576</v>
      </c>
    </row>
    <row r="42" spans="1:7" ht="12.75">
      <c r="A42" s="2" t="s">
        <v>20</v>
      </c>
      <c r="B42" s="2"/>
      <c r="C42" s="179">
        <f>'VehicleEmiss-Phase 4'!G26</f>
        <v>12.580426000000001</v>
      </c>
      <c r="D42" s="179">
        <f>'VehicleEmiss-Phase 4'!H26</f>
        <v>1.401534</v>
      </c>
      <c r="E42" s="179">
        <f>'VehicleEmiss-Phase 4'!I26</f>
        <v>2.510985</v>
      </c>
      <c r="F42" s="179">
        <f>'VehicleEmiss-Phase 4'!J26</f>
        <v>0.010743</v>
      </c>
      <c r="G42" s="179">
        <f>'VehicleEmiss-Phase 4'!K26</f>
        <v>0.10240500000000001</v>
      </c>
    </row>
    <row r="43" spans="1:7" ht="12.75">
      <c r="A43" s="2" t="s">
        <v>75</v>
      </c>
      <c r="B43" s="2"/>
      <c r="C43" s="179">
        <v>0</v>
      </c>
      <c r="D43" s="179">
        <v>0</v>
      </c>
      <c r="E43" s="179">
        <v>0</v>
      </c>
      <c r="F43" s="179">
        <v>0</v>
      </c>
      <c r="G43" s="179">
        <f>'FugConstEmiss-Phase 4'!E6</f>
        <v>0</v>
      </c>
    </row>
    <row r="44" spans="1:7" ht="12.75">
      <c r="A44" s="2" t="s">
        <v>79</v>
      </c>
      <c r="B44" s="2"/>
      <c r="C44" s="179">
        <v>0</v>
      </c>
      <c r="D44" s="179">
        <v>0</v>
      </c>
      <c r="E44" s="179">
        <v>0</v>
      </c>
      <c r="F44" s="179">
        <v>0</v>
      </c>
      <c r="G44" s="179">
        <f>'FugConstEmiss-Phase 4'!G10</f>
        <v>3.3</v>
      </c>
    </row>
    <row r="45" spans="1:7" ht="12.75">
      <c r="A45" s="2" t="s">
        <v>83</v>
      </c>
      <c r="B45" s="2"/>
      <c r="C45" s="179">
        <v>0</v>
      </c>
      <c r="D45" s="179">
        <v>0</v>
      </c>
      <c r="E45" s="179">
        <v>0</v>
      </c>
      <c r="F45" s="179">
        <v>0</v>
      </c>
      <c r="G45" s="179">
        <f>'FugConstEmiss-Phase 4'!I15+'FugConstEmiss-Phase 4'!H28</f>
        <v>8.710474486226918</v>
      </c>
    </row>
    <row r="46" spans="1:7" ht="12.75">
      <c r="A46" s="4" t="s">
        <v>18</v>
      </c>
      <c r="B46" s="2"/>
      <c r="C46" s="183">
        <f>SUM(C41:C45)</f>
        <v>58.735026</v>
      </c>
      <c r="D46" s="183">
        <f>SUM(D41:D45)</f>
        <v>14.316734</v>
      </c>
      <c r="E46" s="183">
        <f>SUM(E41:E45)</f>
        <v>108.25978500000001</v>
      </c>
      <c r="F46" s="183">
        <f>SUM(F41:F45)</f>
        <v>9.355942999999998</v>
      </c>
      <c r="G46" s="183">
        <f>SUM(G41:G45)</f>
        <v>18.57047948622692</v>
      </c>
    </row>
    <row r="47" spans="1:7" ht="12.75">
      <c r="A47" s="4" t="s">
        <v>21</v>
      </c>
      <c r="B47" s="2"/>
      <c r="C47" s="2">
        <v>550</v>
      </c>
      <c r="D47" s="2">
        <v>75</v>
      </c>
      <c r="E47" s="2">
        <v>100</v>
      </c>
      <c r="F47" s="2">
        <v>150</v>
      </c>
      <c r="G47" s="2">
        <v>150</v>
      </c>
    </row>
    <row r="48" spans="1:7" ht="12.75">
      <c r="A48" s="4" t="s">
        <v>22</v>
      </c>
      <c r="B48" s="2"/>
      <c r="C48" s="3" t="str">
        <f>IF(C46&gt;C47,"Yes","No")</f>
        <v>No</v>
      </c>
      <c r="D48" s="3" t="str">
        <f>IF(D46&gt;D47,"Yes","No")</f>
        <v>No</v>
      </c>
      <c r="E48" s="3" t="str">
        <f>IF(E46&gt;E47,"Yes","No")</f>
        <v>Yes</v>
      </c>
      <c r="F48" s="3" t="str">
        <f>IF(F46&gt;F47,"Yes","No")</f>
        <v>No</v>
      </c>
      <c r="G48" s="3" t="str">
        <f>IF(G46&gt;G47,"Yes","No")</f>
        <v>No</v>
      </c>
    </row>
    <row r="49" spans="1:7" ht="12.75">
      <c r="A49" s="21"/>
      <c r="B49" s="5"/>
      <c r="C49" s="44"/>
      <c r="D49" s="8"/>
      <c r="E49" s="8"/>
      <c r="F49" s="8"/>
      <c r="G49" s="8"/>
    </row>
    <row r="50" spans="1:7" ht="12.75">
      <c r="A50" s="21"/>
      <c r="B50" s="5"/>
      <c r="C50" s="8"/>
      <c r="D50" s="8"/>
      <c r="E50" s="8"/>
      <c r="F50" s="8"/>
      <c r="G50" s="8"/>
    </row>
    <row r="51" spans="1:7" ht="12.75">
      <c r="A51" s="21"/>
      <c r="B51" s="5"/>
      <c r="C51" s="8"/>
      <c r="D51" s="8"/>
      <c r="E51" s="8"/>
      <c r="F51" s="8"/>
      <c r="G51" s="8"/>
    </row>
    <row r="52" spans="1:4" ht="12.75">
      <c r="A52" s="217" t="s">
        <v>148</v>
      </c>
      <c r="B52" s="217"/>
      <c r="C52" s="217"/>
      <c r="D52" s="217"/>
    </row>
    <row r="53" spans="1:7" ht="12.75">
      <c r="A53" s="249"/>
      <c r="B53" s="249"/>
      <c r="C53" s="249"/>
      <c r="D53" s="249"/>
      <c r="E53" s="249"/>
      <c r="F53" s="249"/>
      <c r="G53" s="249"/>
    </row>
    <row r="54" spans="1:7" ht="12.75">
      <c r="A54" s="249"/>
      <c r="B54" s="249"/>
      <c r="C54" s="249"/>
      <c r="D54" s="249"/>
      <c r="E54" s="249"/>
      <c r="F54" s="249"/>
      <c r="G54" s="249"/>
    </row>
    <row r="55" spans="1:7" ht="12.75">
      <c r="A55" s="249"/>
      <c r="B55" s="249"/>
      <c r="C55" s="249"/>
      <c r="D55" s="249"/>
      <c r="E55" s="249"/>
      <c r="F55" s="249"/>
      <c r="G55" s="249"/>
    </row>
    <row r="56" spans="1:7" ht="12.75">
      <c r="A56" s="248"/>
      <c r="B56" s="248"/>
      <c r="C56" s="248"/>
      <c r="D56" s="248"/>
      <c r="E56" s="248"/>
      <c r="F56" s="248"/>
      <c r="G56" s="248"/>
    </row>
  </sheetData>
  <sheetProtection/>
  <mergeCells count="14">
    <mergeCell ref="A1:G1"/>
    <mergeCell ref="A2:G2"/>
    <mergeCell ref="A53:G56"/>
    <mergeCell ref="A3:G3"/>
    <mergeCell ref="A17:B18"/>
    <mergeCell ref="C17:G17"/>
    <mergeCell ref="A6:B7"/>
    <mergeCell ref="C6:G6"/>
    <mergeCell ref="A4:G4"/>
    <mergeCell ref="A39:B40"/>
    <mergeCell ref="C39:G39"/>
    <mergeCell ref="A28:B29"/>
    <mergeCell ref="C28:G28"/>
    <mergeCell ref="A52:D52"/>
  </mergeCells>
  <printOptions horizontalCentered="1"/>
  <pageMargins left="0.5" right="0.5" top="0.75" bottom="0.55" header="0.5" footer="0.25"/>
  <pageSetup fitToHeight="1" fitToWidth="1" horizontalDpi="600" verticalDpi="600" orientation="portrait" scale="99" r:id="rId1"/>
  <headerFooter alignWithMargins="0">
    <oddHeader>&amp;RExxonMobil Rule 1105.1 Compliance Project</oddHeader>
    <oddFooter>&amp;LFinal EIR&amp;CC-14&amp;RMarch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3.28125" style="0" customWidth="1"/>
    <col min="2" max="2" width="9.7109375" style="15" customWidth="1"/>
    <col min="4" max="4" width="9.421875" style="0" bestFit="1" customWidth="1"/>
    <col min="6" max="6" width="9.00390625" style="0" customWidth="1"/>
    <col min="14" max="14" width="7.28125" style="0" customWidth="1"/>
  </cols>
  <sheetData>
    <row r="1" spans="1:14" ht="12.75">
      <c r="A1" s="210"/>
      <c r="B1" s="44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ht="15">
      <c r="A2" s="213" t="s">
        <v>169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15">
      <c r="A3" s="213" t="s">
        <v>170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ht="13.5" thickBot="1"/>
    <row r="5" spans="1:14" ht="15">
      <c r="A5" s="214" t="s">
        <v>13</v>
      </c>
      <c r="B5" s="45"/>
      <c r="C5" s="45"/>
      <c r="D5" s="45"/>
      <c r="E5" s="214" t="s">
        <v>51</v>
      </c>
      <c r="F5" s="214"/>
      <c r="G5" s="214"/>
      <c r="H5" s="214"/>
      <c r="I5" s="214"/>
      <c r="J5" s="214" t="s">
        <v>66</v>
      </c>
      <c r="K5" s="214"/>
      <c r="L5" s="214"/>
      <c r="M5" s="214"/>
      <c r="N5" s="214"/>
    </row>
    <row r="6" spans="1:14" ht="15.75" thickBot="1">
      <c r="A6" s="215"/>
      <c r="B6" s="46" t="s">
        <v>7</v>
      </c>
      <c r="C6" s="46" t="s">
        <v>52</v>
      </c>
      <c r="D6" s="46" t="s">
        <v>50</v>
      </c>
      <c r="E6" s="108" t="s">
        <v>0</v>
      </c>
      <c r="F6" s="108" t="s">
        <v>1</v>
      </c>
      <c r="G6" s="108" t="s">
        <v>2</v>
      </c>
      <c r="H6" s="108" t="s">
        <v>4</v>
      </c>
      <c r="I6" s="108" t="s">
        <v>3</v>
      </c>
      <c r="J6" s="108" t="s">
        <v>0</v>
      </c>
      <c r="K6" s="108" t="s">
        <v>1</v>
      </c>
      <c r="L6" s="108" t="s">
        <v>2</v>
      </c>
      <c r="M6" s="108" t="s">
        <v>4</v>
      </c>
      <c r="N6" s="108" t="s">
        <v>3</v>
      </c>
    </row>
    <row r="7" spans="1:14" ht="13.5" thickTop="1">
      <c r="A7" s="105" t="s">
        <v>16</v>
      </c>
      <c r="B7" s="105" t="s">
        <v>8</v>
      </c>
      <c r="C7" s="106">
        <v>75</v>
      </c>
      <c r="D7" s="107">
        <v>0.465</v>
      </c>
      <c r="E7" s="91">
        <v>0.015</v>
      </c>
      <c r="F7" s="91">
        <v>0.003</v>
      </c>
      <c r="G7" s="91">
        <v>0.022</v>
      </c>
      <c r="H7" s="91">
        <v>0.002</v>
      </c>
      <c r="I7" s="91">
        <v>0.001</v>
      </c>
      <c r="J7" s="19">
        <f>E7*$C7*$D7</f>
        <v>0.5231250000000001</v>
      </c>
      <c r="K7" s="19">
        <f>F7*$C7*$D7</f>
        <v>0.10462500000000001</v>
      </c>
      <c r="L7" s="19">
        <f>G7*$C7*$D7</f>
        <v>0.76725</v>
      </c>
      <c r="M7" s="19">
        <f>H7*$C7*$D7</f>
        <v>0.06975</v>
      </c>
      <c r="N7" s="19">
        <f>I7*$C7*$D7</f>
        <v>0.034875</v>
      </c>
    </row>
    <row r="8" spans="1:14" ht="12.75">
      <c r="A8" s="2" t="s">
        <v>36</v>
      </c>
      <c r="B8" s="2" t="s">
        <v>8</v>
      </c>
      <c r="C8" s="53">
        <v>49</v>
      </c>
      <c r="D8" s="95">
        <v>0.48</v>
      </c>
      <c r="E8" s="58">
        <v>0.011</v>
      </c>
      <c r="F8" s="57">
        <v>0.002</v>
      </c>
      <c r="G8" s="58">
        <v>0.018</v>
      </c>
      <c r="H8" s="55">
        <v>0.002</v>
      </c>
      <c r="I8" s="55">
        <v>0.001</v>
      </c>
      <c r="J8" s="18">
        <f aca="true" t="shared" si="0" ref="J8:J15">E8*$C8*$D8</f>
        <v>0.25871999999999995</v>
      </c>
      <c r="K8" s="18">
        <f aca="true" t="shared" si="1" ref="K8:K15">F8*$C8*$D8</f>
        <v>0.04704</v>
      </c>
      <c r="L8" s="18">
        <f aca="true" t="shared" si="2" ref="L8:L15">G8*$C8*$D8</f>
        <v>0.42335999999999996</v>
      </c>
      <c r="M8" s="18">
        <f aca="true" t="shared" si="3" ref="M8:M15">H8*$C8*$D8</f>
        <v>0.04704</v>
      </c>
      <c r="N8" s="18">
        <f aca="true" t="shared" si="4" ref="N8:N15">I8*$C8*$D8</f>
        <v>0.02352</v>
      </c>
    </row>
    <row r="9" spans="1:14" ht="12.75">
      <c r="A9" s="2" t="s">
        <v>35</v>
      </c>
      <c r="B9" s="2" t="s">
        <v>8</v>
      </c>
      <c r="C9" s="53">
        <v>425</v>
      </c>
      <c r="D9" s="95">
        <v>0.38</v>
      </c>
      <c r="E9" s="55">
        <v>0.006</v>
      </c>
      <c r="F9" s="55">
        <v>0.002</v>
      </c>
      <c r="G9" s="55">
        <v>0.021</v>
      </c>
      <c r="H9" s="55">
        <v>0.002</v>
      </c>
      <c r="I9" s="55">
        <v>0.0015</v>
      </c>
      <c r="J9" s="18">
        <f t="shared" si="0"/>
        <v>0.9690000000000001</v>
      </c>
      <c r="K9" s="18">
        <f t="shared" si="1"/>
        <v>0.323</v>
      </c>
      <c r="L9" s="18">
        <f t="shared" si="2"/>
        <v>3.3915</v>
      </c>
      <c r="M9" s="18">
        <f t="shared" si="3"/>
        <v>0.323</v>
      </c>
      <c r="N9" s="18">
        <f t="shared" si="4"/>
        <v>0.24225000000000002</v>
      </c>
    </row>
    <row r="10" spans="1:14" ht="12.75">
      <c r="A10" s="2" t="s">
        <v>37</v>
      </c>
      <c r="B10" s="2" t="s">
        <v>8</v>
      </c>
      <c r="C10" s="53">
        <v>13</v>
      </c>
      <c r="D10" s="95">
        <v>0.73</v>
      </c>
      <c r="E10" s="55">
        <v>0.02</v>
      </c>
      <c r="F10" s="55">
        <v>0.024</v>
      </c>
      <c r="G10" s="55">
        <v>0.002</v>
      </c>
      <c r="H10" s="55">
        <v>0.003</v>
      </c>
      <c r="I10" s="55">
        <v>0.001</v>
      </c>
      <c r="J10" s="18">
        <f t="shared" si="0"/>
        <v>0.1898</v>
      </c>
      <c r="K10" s="18">
        <f t="shared" si="1"/>
        <v>0.22776</v>
      </c>
      <c r="L10" s="18">
        <f t="shared" si="2"/>
        <v>0.01898</v>
      </c>
      <c r="M10" s="18">
        <f t="shared" si="3"/>
        <v>0.02847</v>
      </c>
      <c r="N10" s="18">
        <f t="shared" si="4"/>
        <v>0.00949</v>
      </c>
    </row>
    <row r="11" spans="1:14" ht="12.75">
      <c r="A11" s="2" t="s">
        <v>130</v>
      </c>
      <c r="B11" s="2" t="s">
        <v>8</v>
      </c>
      <c r="C11" s="53">
        <v>210</v>
      </c>
      <c r="D11" s="95">
        <v>0.43</v>
      </c>
      <c r="E11" s="55">
        <v>0.009</v>
      </c>
      <c r="F11" s="55">
        <v>0.003</v>
      </c>
      <c r="G11" s="55">
        <v>0.023</v>
      </c>
      <c r="H11" s="55">
        <v>0.002</v>
      </c>
      <c r="I11" s="55">
        <v>0.0015</v>
      </c>
      <c r="J11" s="18">
        <f t="shared" si="0"/>
        <v>0.8127</v>
      </c>
      <c r="K11" s="18">
        <f t="shared" si="1"/>
        <v>0.2709</v>
      </c>
      <c r="L11" s="18">
        <f t="shared" si="2"/>
        <v>2.0769</v>
      </c>
      <c r="M11" s="18">
        <f t="shared" si="3"/>
        <v>0.18059999999999998</v>
      </c>
      <c r="N11" s="18">
        <f t="shared" si="4"/>
        <v>0.13545</v>
      </c>
    </row>
    <row r="12" spans="1:14" ht="12.75">
      <c r="A12" s="2" t="s">
        <v>67</v>
      </c>
      <c r="B12" s="2" t="s">
        <v>8</v>
      </c>
      <c r="C12" s="53">
        <v>250</v>
      </c>
      <c r="D12" s="95">
        <v>0.43</v>
      </c>
      <c r="E12" s="55">
        <v>0.009</v>
      </c>
      <c r="F12" s="55">
        <v>0.003</v>
      </c>
      <c r="G12" s="55">
        <v>0.023</v>
      </c>
      <c r="H12" s="55">
        <v>0.002</v>
      </c>
      <c r="I12" s="55">
        <v>0.0015</v>
      </c>
      <c r="J12" s="18">
        <f t="shared" si="0"/>
        <v>0.9675</v>
      </c>
      <c r="K12" s="18">
        <f t="shared" si="1"/>
        <v>0.3225</v>
      </c>
      <c r="L12" s="18">
        <f t="shared" si="2"/>
        <v>2.4725</v>
      </c>
      <c r="M12" s="18">
        <f t="shared" si="3"/>
        <v>0.215</v>
      </c>
      <c r="N12" s="18">
        <f t="shared" si="4"/>
        <v>0.16125</v>
      </c>
    </row>
    <row r="13" spans="1:14" ht="12.75">
      <c r="A13" s="2" t="s">
        <v>44</v>
      </c>
      <c r="B13" s="2" t="s">
        <v>8</v>
      </c>
      <c r="C13" s="53">
        <v>275</v>
      </c>
      <c r="D13" s="95">
        <v>0.43</v>
      </c>
      <c r="E13" s="55">
        <v>0.009</v>
      </c>
      <c r="F13" s="55">
        <v>0.003</v>
      </c>
      <c r="G13" s="55">
        <v>0.023</v>
      </c>
      <c r="H13" s="55">
        <v>0.002</v>
      </c>
      <c r="I13" s="55">
        <v>0.0015</v>
      </c>
      <c r="J13" s="18">
        <f t="shared" si="0"/>
        <v>1.06425</v>
      </c>
      <c r="K13" s="18">
        <f t="shared" si="1"/>
        <v>0.35475</v>
      </c>
      <c r="L13" s="18">
        <f t="shared" si="2"/>
        <v>2.71975</v>
      </c>
      <c r="M13" s="18">
        <f t="shared" si="3"/>
        <v>0.23650000000000002</v>
      </c>
      <c r="N13" s="18">
        <f t="shared" si="4"/>
        <v>0.177375</v>
      </c>
    </row>
    <row r="14" spans="1:14" ht="12.75" customHeight="1">
      <c r="A14" s="2" t="s">
        <v>45</v>
      </c>
      <c r="B14" s="2" t="s">
        <v>8</v>
      </c>
      <c r="C14" s="53">
        <v>260</v>
      </c>
      <c r="D14" s="95">
        <v>0.43</v>
      </c>
      <c r="E14" s="55">
        <v>0.009</v>
      </c>
      <c r="F14" s="55">
        <v>0.003</v>
      </c>
      <c r="G14" s="55">
        <v>0.023</v>
      </c>
      <c r="H14" s="55">
        <v>0.002</v>
      </c>
      <c r="I14" s="55">
        <v>0.0015</v>
      </c>
      <c r="J14" s="18">
        <f t="shared" si="0"/>
        <v>1.0062</v>
      </c>
      <c r="K14" s="18">
        <f t="shared" si="1"/>
        <v>0.33540000000000003</v>
      </c>
      <c r="L14" s="18">
        <f t="shared" si="2"/>
        <v>2.5713999999999997</v>
      </c>
      <c r="M14" s="18">
        <f t="shared" si="3"/>
        <v>0.2236</v>
      </c>
      <c r="N14" s="18">
        <f t="shared" si="4"/>
        <v>0.16770000000000002</v>
      </c>
    </row>
    <row r="15" spans="1:14" ht="12.75">
      <c r="A15" s="2" t="s">
        <v>68</v>
      </c>
      <c r="B15" s="2" t="s">
        <v>8</v>
      </c>
      <c r="C15" s="53">
        <v>300</v>
      </c>
      <c r="D15" s="95">
        <v>0.75</v>
      </c>
      <c r="E15" s="55">
        <v>0.02</v>
      </c>
      <c r="F15" s="55">
        <v>0.003</v>
      </c>
      <c r="G15" s="55">
        <v>0.024</v>
      </c>
      <c r="H15" s="55">
        <v>0.002</v>
      </c>
      <c r="I15" s="55">
        <v>0.0015</v>
      </c>
      <c r="J15" s="18">
        <f t="shared" si="0"/>
        <v>4.5</v>
      </c>
      <c r="K15" s="18">
        <f t="shared" si="1"/>
        <v>0.675</v>
      </c>
      <c r="L15" s="18">
        <f t="shared" si="2"/>
        <v>5.4</v>
      </c>
      <c r="M15" s="18">
        <f t="shared" si="3"/>
        <v>0.44999999999999996</v>
      </c>
      <c r="N15" s="18">
        <f t="shared" si="4"/>
        <v>0.3375</v>
      </c>
    </row>
    <row r="16" spans="1:14" ht="12.75">
      <c r="A16" s="2" t="s">
        <v>49</v>
      </c>
      <c r="B16" s="2" t="s">
        <v>8</v>
      </c>
      <c r="C16" s="53">
        <v>275</v>
      </c>
      <c r="D16" s="95">
        <v>0.38</v>
      </c>
      <c r="E16" s="55">
        <v>0.006</v>
      </c>
      <c r="F16" s="55">
        <v>0.002</v>
      </c>
      <c r="G16" s="55">
        <v>0.021</v>
      </c>
      <c r="H16" s="55">
        <v>0.002</v>
      </c>
      <c r="I16" s="55">
        <v>0.0015</v>
      </c>
      <c r="J16" s="18">
        <f>E16*$C16*$D16</f>
        <v>0.6270000000000001</v>
      </c>
      <c r="K16" s="18">
        <f>F16*$C16*$D16</f>
        <v>0.20900000000000002</v>
      </c>
      <c r="L16" s="18">
        <f>G16*$C16*$D16</f>
        <v>2.1945</v>
      </c>
      <c r="M16" s="18">
        <f>H16*$C16*$D16</f>
        <v>0.20900000000000002</v>
      </c>
      <c r="N16" s="18">
        <f>I16*$C16*$D16</f>
        <v>0.15675000000000003</v>
      </c>
    </row>
    <row r="17" spans="1:14" ht="12.75">
      <c r="A17" s="2" t="s">
        <v>32</v>
      </c>
      <c r="B17" s="2" t="s">
        <v>8</v>
      </c>
      <c r="C17" s="53">
        <v>250</v>
      </c>
      <c r="D17" s="95">
        <v>0.58</v>
      </c>
      <c r="E17" s="55">
        <v>0.011</v>
      </c>
      <c r="F17" s="55">
        <v>0.001</v>
      </c>
      <c r="G17" s="55">
        <v>0.024</v>
      </c>
      <c r="H17" s="55">
        <v>0.002</v>
      </c>
      <c r="I17" s="55">
        <v>0.0015</v>
      </c>
      <c r="J17" s="18">
        <f aca="true" t="shared" si="5" ref="J17:J23">E17*$C17*$D17</f>
        <v>1.595</v>
      </c>
      <c r="K17" s="18">
        <f aca="true" t="shared" si="6" ref="K17:K23">F17*$C17*$D17</f>
        <v>0.145</v>
      </c>
      <c r="L17" s="18">
        <f aca="true" t="shared" si="7" ref="L17:L23">G17*$C17*$D17</f>
        <v>3.4799999999999995</v>
      </c>
      <c r="M17" s="18">
        <f aca="true" t="shared" si="8" ref="M17:M23">H17*$C17*$D17</f>
        <v>0.29</v>
      </c>
      <c r="N17" s="18">
        <f aca="true" t="shared" si="9" ref="N17:N23">I17*$C17*$D17</f>
        <v>0.21749999999999997</v>
      </c>
    </row>
    <row r="18" spans="1:14" ht="12.75">
      <c r="A18" s="2" t="s">
        <v>39</v>
      </c>
      <c r="B18" s="2" t="s">
        <v>8</v>
      </c>
      <c r="C18" s="53">
        <v>79</v>
      </c>
      <c r="D18" s="95">
        <v>0.3</v>
      </c>
      <c r="E18" s="55">
        <v>0.013</v>
      </c>
      <c r="F18" s="55">
        <v>0.003</v>
      </c>
      <c r="G18" s="55">
        <v>0.031</v>
      </c>
      <c r="H18" s="55">
        <v>0.002</v>
      </c>
      <c r="I18" s="55">
        <v>0.0015</v>
      </c>
      <c r="J18" s="18">
        <f t="shared" si="5"/>
        <v>0.3081</v>
      </c>
      <c r="K18" s="18">
        <f t="shared" si="6"/>
        <v>0.0711</v>
      </c>
      <c r="L18" s="18">
        <f t="shared" si="7"/>
        <v>0.7346999999999999</v>
      </c>
      <c r="M18" s="18">
        <f t="shared" si="8"/>
        <v>0.0474</v>
      </c>
      <c r="N18" s="18">
        <f t="shared" si="9"/>
        <v>0.03555</v>
      </c>
    </row>
    <row r="19" spans="1:14" ht="12.75">
      <c r="A19" s="2" t="s">
        <v>17</v>
      </c>
      <c r="B19" s="2" t="s">
        <v>8</v>
      </c>
      <c r="C19" s="53">
        <v>210</v>
      </c>
      <c r="D19" s="95">
        <v>0.465</v>
      </c>
      <c r="E19" s="55">
        <v>0.015</v>
      </c>
      <c r="F19" s="55">
        <v>0.003</v>
      </c>
      <c r="G19" s="55">
        <v>0.022</v>
      </c>
      <c r="H19" s="55">
        <v>0.002</v>
      </c>
      <c r="I19" s="55">
        <v>0.001</v>
      </c>
      <c r="J19" s="18">
        <f t="shared" si="5"/>
        <v>1.46475</v>
      </c>
      <c r="K19" s="18">
        <f t="shared" si="6"/>
        <v>0.29295000000000004</v>
      </c>
      <c r="L19" s="18">
        <f t="shared" si="7"/>
        <v>2.1483000000000003</v>
      </c>
      <c r="M19" s="18">
        <f t="shared" si="8"/>
        <v>0.1953</v>
      </c>
      <c r="N19" s="18">
        <f t="shared" si="9"/>
        <v>0.09765</v>
      </c>
    </row>
    <row r="20" spans="1:14" ht="12.75">
      <c r="A20" s="2" t="s">
        <v>126</v>
      </c>
      <c r="B20" s="2" t="s">
        <v>8</v>
      </c>
      <c r="C20" s="53">
        <v>85</v>
      </c>
      <c r="D20" s="95">
        <v>0.74</v>
      </c>
      <c r="E20" s="55">
        <v>0.011</v>
      </c>
      <c r="F20" s="55">
        <v>0.002</v>
      </c>
      <c r="G20" s="55">
        <v>0.018</v>
      </c>
      <c r="H20" s="55">
        <v>0.002</v>
      </c>
      <c r="I20" s="55">
        <v>0.001</v>
      </c>
      <c r="J20" s="18">
        <f>E20*$C20*$D20</f>
        <v>0.6919</v>
      </c>
      <c r="K20" s="18">
        <f t="shared" si="6"/>
        <v>0.1258</v>
      </c>
      <c r="L20" s="18">
        <f t="shared" si="7"/>
        <v>1.1321999999999999</v>
      </c>
      <c r="M20" s="18">
        <f t="shared" si="8"/>
        <v>0.1258</v>
      </c>
      <c r="N20" s="18">
        <f t="shared" si="9"/>
        <v>0.0629</v>
      </c>
    </row>
    <row r="21" spans="1:14" ht="12.75" customHeight="1">
      <c r="A21" s="2" t="s">
        <v>46</v>
      </c>
      <c r="B21" s="2" t="s">
        <v>8</v>
      </c>
      <c r="C21" s="53">
        <v>13</v>
      </c>
      <c r="D21" s="95">
        <v>0.82</v>
      </c>
      <c r="E21" s="55">
        <v>0.011</v>
      </c>
      <c r="F21" s="55">
        <v>0.002</v>
      </c>
      <c r="G21" s="55">
        <v>0.018</v>
      </c>
      <c r="H21" s="55">
        <v>0.002</v>
      </c>
      <c r="I21" s="55">
        <v>0.001</v>
      </c>
      <c r="J21" s="18">
        <f t="shared" si="5"/>
        <v>0.11725999999999999</v>
      </c>
      <c r="K21" s="18">
        <f t="shared" si="6"/>
        <v>0.021320000000000002</v>
      </c>
      <c r="L21" s="18">
        <f t="shared" si="7"/>
        <v>0.19187999999999997</v>
      </c>
      <c r="M21" s="18">
        <f t="shared" si="8"/>
        <v>0.021320000000000002</v>
      </c>
      <c r="N21" s="18">
        <f t="shared" si="9"/>
        <v>0.010660000000000001</v>
      </c>
    </row>
    <row r="22" spans="1:14" ht="12.75" customHeight="1">
      <c r="A22" s="2" t="s">
        <v>38</v>
      </c>
      <c r="B22" s="2" t="s">
        <v>8</v>
      </c>
      <c r="C22" s="53">
        <v>125</v>
      </c>
      <c r="D22" s="95">
        <v>0.505</v>
      </c>
      <c r="E22" s="58">
        <v>0.013</v>
      </c>
      <c r="F22" s="57">
        <v>0.003</v>
      </c>
      <c r="G22" s="58">
        <v>0.031</v>
      </c>
      <c r="H22" s="55">
        <v>0.002</v>
      </c>
      <c r="I22" s="55">
        <v>0.0015</v>
      </c>
      <c r="J22" s="18">
        <f t="shared" si="5"/>
        <v>0.820625</v>
      </c>
      <c r="K22" s="18">
        <f t="shared" si="6"/>
        <v>0.18937500000000002</v>
      </c>
      <c r="L22" s="18">
        <f t="shared" si="7"/>
        <v>1.956875</v>
      </c>
      <c r="M22" s="18">
        <f t="shared" si="8"/>
        <v>0.12625</v>
      </c>
      <c r="N22" s="18">
        <f t="shared" si="9"/>
        <v>0.09468750000000001</v>
      </c>
    </row>
    <row r="23" spans="1:14" ht="12.75">
      <c r="A23" s="2" t="s">
        <v>47</v>
      </c>
      <c r="B23" s="2" t="s">
        <v>8</v>
      </c>
      <c r="C23" s="96">
        <v>49</v>
      </c>
      <c r="D23" s="97">
        <v>0.45</v>
      </c>
      <c r="E23" s="55">
        <v>0.011</v>
      </c>
      <c r="F23" s="55">
        <v>0.002</v>
      </c>
      <c r="G23" s="55">
        <v>0.018</v>
      </c>
      <c r="H23" s="55">
        <v>0.002</v>
      </c>
      <c r="I23" s="55">
        <v>0.001</v>
      </c>
      <c r="J23" s="18">
        <f t="shared" si="5"/>
        <v>0.24254999999999996</v>
      </c>
      <c r="K23" s="18">
        <f t="shared" si="6"/>
        <v>0.0441</v>
      </c>
      <c r="L23" s="18">
        <f t="shared" si="7"/>
        <v>0.3969</v>
      </c>
      <c r="M23" s="18">
        <f t="shared" si="8"/>
        <v>0.0441</v>
      </c>
      <c r="N23" s="18">
        <f t="shared" si="9"/>
        <v>0.02205</v>
      </c>
    </row>
    <row r="24" spans="9:13" ht="12.75">
      <c r="I24" s="7"/>
      <c r="J24" s="7"/>
      <c r="K24" s="7"/>
      <c r="L24" s="7"/>
      <c r="M24" s="7"/>
    </row>
    <row r="25" spans="1:13" ht="12.75">
      <c r="A25" s="52" t="s">
        <v>129</v>
      </c>
      <c r="I25" s="7"/>
      <c r="J25" s="7"/>
      <c r="K25" s="7"/>
      <c r="L25" s="7"/>
      <c r="M25" s="7"/>
    </row>
    <row r="26" spans="1:13" ht="12.75">
      <c r="A26" s="1" t="s">
        <v>95</v>
      </c>
      <c r="I26" s="7"/>
      <c r="J26" s="7"/>
      <c r="K26" s="7"/>
      <c r="L26" s="7"/>
      <c r="M26" s="7"/>
    </row>
    <row r="27" spans="1:13" ht="12.75">
      <c r="A27" s="1" t="s">
        <v>96</v>
      </c>
      <c r="I27" s="7"/>
      <c r="J27" s="7"/>
      <c r="K27" s="7"/>
      <c r="L27" s="7"/>
      <c r="M27" s="7"/>
    </row>
    <row r="28" ht="12.75">
      <c r="A28" s="1" t="s">
        <v>97</v>
      </c>
    </row>
    <row r="29" spans="1:13" ht="12.75">
      <c r="A29" s="1"/>
      <c r="M29" s="10"/>
    </row>
    <row r="30" ht="12.75">
      <c r="A30" s="1"/>
    </row>
    <row r="43" spans="1:14" ht="12.75">
      <c r="A43" s="210"/>
      <c r="B43" s="44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</row>
  </sheetData>
  <sheetProtection/>
  <mergeCells count="5">
    <mergeCell ref="A2:N2"/>
    <mergeCell ref="A3:N3"/>
    <mergeCell ref="J5:N5"/>
    <mergeCell ref="A5:A6"/>
    <mergeCell ref="E5:I5"/>
  </mergeCells>
  <conditionalFormatting sqref="L24:M27 I24:I27">
    <cfRule type="cellIs" priority="1" dxfId="0" operator="greaterThanOrEqual" stopIfTrue="1">
      <formula>#REF!</formula>
    </cfRule>
  </conditionalFormatting>
  <conditionalFormatting sqref="K24:K27">
    <cfRule type="cellIs" priority="2" dxfId="0" operator="greaterThanOrEqual" stopIfTrue="1">
      <formula>#REF!</formula>
    </cfRule>
  </conditionalFormatting>
  <conditionalFormatting sqref="J24:J27">
    <cfRule type="cellIs" priority="3" dxfId="0" operator="greaterThanOrEqual" stopIfTrue="1">
      <formula>#REF!</formula>
    </cfRule>
  </conditionalFormatting>
  <printOptions horizontalCentered="1"/>
  <pageMargins left="0.25" right="0.25" top="1.25" bottom="0.5" header="1" footer="0.5"/>
  <pageSetup fitToHeight="1" fitToWidth="1" horizontalDpi="300" verticalDpi="300" orientation="landscape" scale="89" r:id="rId1"/>
  <headerFooter alignWithMargins="0">
    <oddHeader>&amp;RExxonMobil Rule 1105.1 Compliance Project</oddHeader>
    <oddFooter>&amp;LFinal EIR&amp;CC-1&amp;RMarch 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41"/>
  <sheetViews>
    <sheetView view="pageBreakPreview" zoomScale="60" zoomScalePageLayoutView="0" workbookViewId="0" topLeftCell="A1">
      <selection activeCell="A1" sqref="A1:M1"/>
    </sheetView>
  </sheetViews>
  <sheetFormatPr defaultColWidth="9.140625" defaultRowHeight="12.75"/>
  <cols>
    <col min="1" max="1" width="36.7109375" style="0" customWidth="1"/>
    <col min="2" max="2" width="9.8515625" style="15" bestFit="1" customWidth="1"/>
    <col min="6" max="6" width="9.00390625" style="0" customWidth="1"/>
  </cols>
  <sheetData>
    <row r="1" spans="1:13" ht="12.75">
      <c r="A1" s="210"/>
      <c r="B1" s="44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">
      <c r="A2" s="216" t="s">
        <v>171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2" customHeight="1">
      <c r="A3" s="216" t="s">
        <v>172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ht="15.75" customHeight="1">
      <c r="A4" s="216" t="s">
        <v>53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ht="13.5" thickBot="1"/>
    <row r="6" spans="1:13" ht="15">
      <c r="A6" s="214" t="s">
        <v>13</v>
      </c>
      <c r="B6" s="42"/>
      <c r="C6" s="45" t="s">
        <v>14</v>
      </c>
      <c r="D6" s="36"/>
      <c r="E6" s="23" t="s">
        <v>107</v>
      </c>
      <c r="F6" s="23"/>
      <c r="G6" s="110"/>
      <c r="H6" s="111"/>
      <c r="I6" s="218" t="s">
        <v>108</v>
      </c>
      <c r="J6" s="219"/>
      <c r="K6" s="219"/>
      <c r="L6" s="219"/>
      <c r="M6" s="220"/>
    </row>
    <row r="7" spans="1:13" ht="13.5" thickBot="1">
      <c r="A7" s="215"/>
      <c r="B7" s="112" t="s">
        <v>106</v>
      </c>
      <c r="C7" s="46" t="s">
        <v>15</v>
      </c>
      <c r="D7" s="25" t="s">
        <v>0</v>
      </c>
      <c r="E7" s="11" t="s">
        <v>1</v>
      </c>
      <c r="F7" s="11" t="s">
        <v>2</v>
      </c>
      <c r="G7" s="11" t="s">
        <v>4</v>
      </c>
      <c r="H7" s="30" t="s">
        <v>3</v>
      </c>
      <c r="I7" s="25" t="s">
        <v>0</v>
      </c>
      <c r="J7" s="11" t="s">
        <v>1</v>
      </c>
      <c r="K7" s="11" t="s">
        <v>2</v>
      </c>
      <c r="L7" s="11" t="s">
        <v>4</v>
      </c>
      <c r="M7" s="24" t="s">
        <v>3</v>
      </c>
    </row>
    <row r="8" spans="1:13" ht="13.5" thickTop="1">
      <c r="A8" s="40" t="s">
        <v>16</v>
      </c>
      <c r="B8" s="43">
        <v>1</v>
      </c>
      <c r="C8" s="47">
        <v>10</v>
      </c>
      <c r="D8" s="28">
        <f>VLOOKUP($A8,ConstEquipEmissFactors!$A$7:$N$23,10,FALSE)</f>
        <v>0.5231250000000001</v>
      </c>
      <c r="E8" s="19">
        <f>VLOOKUP($A8,ConstEquipEmissFactors!$A$7:$N$23,11,FALSE)</f>
        <v>0.10462500000000001</v>
      </c>
      <c r="F8" s="19">
        <f>VLOOKUP($A8,ConstEquipEmissFactors!$A$7:$N$23,12,FALSE)</f>
        <v>0.76725</v>
      </c>
      <c r="G8" s="19">
        <f>VLOOKUP($A8,ConstEquipEmissFactors!$A$7:$N$23,13,FALSE)</f>
        <v>0.06975</v>
      </c>
      <c r="H8" s="29">
        <f>VLOOKUP($A8,ConstEquipEmissFactors!$A$7:$N$23,14,FALSE)</f>
        <v>0.034875</v>
      </c>
      <c r="I8" s="133">
        <f>D8*$C8*$B8</f>
        <v>5.231250000000001</v>
      </c>
      <c r="J8" s="134">
        <f>E8*$C8*$B8</f>
        <v>1.0462500000000001</v>
      </c>
      <c r="K8" s="134">
        <f>F8*$C8*$B8</f>
        <v>7.672499999999999</v>
      </c>
      <c r="L8" s="134">
        <f>G8*$C8*$B8</f>
        <v>0.6975</v>
      </c>
      <c r="M8" s="135">
        <f>H8*$C8*$B8</f>
        <v>0.34875</v>
      </c>
    </row>
    <row r="9" spans="1:13" ht="12.75">
      <c r="A9" s="40" t="s">
        <v>36</v>
      </c>
      <c r="B9" s="43">
        <v>1</v>
      </c>
      <c r="C9" s="47">
        <v>10</v>
      </c>
      <c r="D9" s="28">
        <f>VLOOKUP($A9,ConstEquipEmissFactors!$A$7:$N$23,10,FALSE)</f>
        <v>0.25871999999999995</v>
      </c>
      <c r="E9" s="19">
        <f>VLOOKUP($A9,ConstEquipEmissFactors!$A$7:$N$23,11,FALSE)</f>
        <v>0.04704</v>
      </c>
      <c r="F9" s="19">
        <f>VLOOKUP($A9,ConstEquipEmissFactors!$A$7:$N$23,12,FALSE)</f>
        <v>0.42335999999999996</v>
      </c>
      <c r="G9" s="19">
        <f>VLOOKUP($A9,ConstEquipEmissFactors!$A$7:$N$23,13,FALSE)</f>
        <v>0.04704</v>
      </c>
      <c r="H9" s="29">
        <f>VLOOKUP($A9,ConstEquipEmissFactors!$A$7:$N$23,14,FALSE)</f>
        <v>0.02352</v>
      </c>
      <c r="I9" s="133">
        <f aca="true" t="shared" si="0" ref="I9:I24">D9*$C9*$B9</f>
        <v>2.5871999999999993</v>
      </c>
      <c r="J9" s="134">
        <f aca="true" t="shared" si="1" ref="J9:J24">E9*$C9*$B9</f>
        <v>0.4704</v>
      </c>
      <c r="K9" s="134">
        <f aca="true" t="shared" si="2" ref="K9:K24">F9*$C9*$B9</f>
        <v>4.233599999999999</v>
      </c>
      <c r="L9" s="134">
        <f aca="true" t="shared" si="3" ref="L9:L24">G9*$C9*$B9</f>
        <v>0.4704</v>
      </c>
      <c r="M9" s="135">
        <f aca="true" t="shared" si="4" ref="M9:M24">H9*$C9*$B9</f>
        <v>0.2352</v>
      </c>
    </row>
    <row r="10" spans="1:13" ht="12.75">
      <c r="A10" s="87" t="s">
        <v>35</v>
      </c>
      <c r="B10" s="88">
        <v>1</v>
      </c>
      <c r="C10" s="89">
        <v>10</v>
      </c>
      <c r="D10" s="90">
        <f>VLOOKUP($A10,ConstEquipEmissFactors!$A$7:$N$23,10,FALSE)</f>
        <v>0.9690000000000001</v>
      </c>
      <c r="E10" s="91">
        <f>VLOOKUP($A10,ConstEquipEmissFactors!$A$7:$N$23,11,FALSE)</f>
        <v>0.323</v>
      </c>
      <c r="F10" s="91">
        <f>VLOOKUP($A10,ConstEquipEmissFactors!$A$7:$N$23,12,FALSE)</f>
        <v>3.3915</v>
      </c>
      <c r="G10" s="19">
        <f>VLOOKUP($A10,ConstEquipEmissFactors!$A$7:$N$23,13,FALSE)</f>
        <v>0.323</v>
      </c>
      <c r="H10" s="29">
        <f>VLOOKUP($A10,ConstEquipEmissFactors!$A$7:$N$23,14,FALSE)</f>
        <v>0.24225000000000002</v>
      </c>
      <c r="I10" s="133">
        <f t="shared" si="0"/>
        <v>9.690000000000001</v>
      </c>
      <c r="J10" s="134">
        <f t="shared" si="1"/>
        <v>3.23</v>
      </c>
      <c r="K10" s="134">
        <f t="shared" si="2"/>
        <v>33.915</v>
      </c>
      <c r="L10" s="134">
        <f t="shared" si="3"/>
        <v>3.23</v>
      </c>
      <c r="M10" s="135">
        <f t="shared" si="4"/>
        <v>2.4225000000000003</v>
      </c>
    </row>
    <row r="11" spans="1:13" ht="12.75">
      <c r="A11" s="87" t="s">
        <v>37</v>
      </c>
      <c r="B11" s="88">
        <v>1</v>
      </c>
      <c r="C11" s="89">
        <v>10</v>
      </c>
      <c r="D11" s="90">
        <f>VLOOKUP($A11,ConstEquipEmissFactors!$A$7:$N$23,10,FALSE)</f>
        <v>0.1898</v>
      </c>
      <c r="E11" s="91">
        <f>VLOOKUP($A11,ConstEquipEmissFactors!$A$7:$N$23,11,FALSE)</f>
        <v>0.22776</v>
      </c>
      <c r="F11" s="91">
        <f>VLOOKUP($A11,ConstEquipEmissFactors!$A$7:$N$23,12,FALSE)</f>
        <v>0.01898</v>
      </c>
      <c r="G11" s="19">
        <f>VLOOKUP($A11,ConstEquipEmissFactors!$A$7:$N$23,13,FALSE)</f>
        <v>0.02847</v>
      </c>
      <c r="H11" s="29">
        <f>VLOOKUP($A11,ConstEquipEmissFactors!$A$7:$N$23,14,FALSE)</f>
        <v>0.00949</v>
      </c>
      <c r="I11" s="133">
        <f t="shared" si="0"/>
        <v>1.898</v>
      </c>
      <c r="J11" s="134">
        <f t="shared" si="1"/>
        <v>2.2776</v>
      </c>
      <c r="K11" s="134">
        <f t="shared" si="2"/>
        <v>0.1898</v>
      </c>
      <c r="L11" s="134">
        <f t="shared" si="3"/>
        <v>0.2847</v>
      </c>
      <c r="M11" s="135">
        <f t="shared" si="4"/>
        <v>0.0949</v>
      </c>
    </row>
    <row r="12" spans="1:13" ht="12.75">
      <c r="A12" s="87" t="s">
        <v>130</v>
      </c>
      <c r="B12" s="88">
        <v>0</v>
      </c>
      <c r="C12" s="89">
        <v>0</v>
      </c>
      <c r="D12" s="90">
        <f>VLOOKUP($A12,ConstEquipEmissFactors!$A$7:$N$23,10,FALSE)</f>
        <v>0.8127</v>
      </c>
      <c r="E12" s="91">
        <f>VLOOKUP($A12,ConstEquipEmissFactors!$A$7:$N$23,11,FALSE)</f>
        <v>0.2709</v>
      </c>
      <c r="F12" s="91">
        <f>VLOOKUP($A12,ConstEquipEmissFactors!$A$7:$N$23,12,FALSE)</f>
        <v>2.0769</v>
      </c>
      <c r="G12" s="19">
        <f>VLOOKUP($A12,ConstEquipEmissFactors!$A$7:$N$23,13,FALSE)</f>
        <v>0.18059999999999998</v>
      </c>
      <c r="H12" s="29">
        <f>VLOOKUP($A12,ConstEquipEmissFactors!$A$7:$N$23,14,FALSE)</f>
        <v>0.13545</v>
      </c>
      <c r="I12" s="133">
        <f t="shared" si="0"/>
        <v>0</v>
      </c>
      <c r="J12" s="134">
        <f t="shared" si="1"/>
        <v>0</v>
      </c>
      <c r="K12" s="134">
        <f t="shared" si="2"/>
        <v>0</v>
      </c>
      <c r="L12" s="134">
        <f t="shared" si="3"/>
        <v>0</v>
      </c>
      <c r="M12" s="135">
        <f t="shared" si="4"/>
        <v>0</v>
      </c>
    </row>
    <row r="13" spans="1:13" ht="12.75">
      <c r="A13" s="87" t="s">
        <v>67</v>
      </c>
      <c r="B13" s="88">
        <v>1</v>
      </c>
      <c r="C13" s="89">
        <v>10</v>
      </c>
      <c r="D13" s="90">
        <f>VLOOKUP($A13,ConstEquipEmissFactors!$A$7:$N$23,10,FALSE)</f>
        <v>0.9675</v>
      </c>
      <c r="E13" s="91">
        <f>VLOOKUP($A13,ConstEquipEmissFactors!$A$7:$N$23,11,FALSE)</f>
        <v>0.3225</v>
      </c>
      <c r="F13" s="91">
        <f>VLOOKUP($A13,ConstEquipEmissFactors!$A$7:$N$23,12,FALSE)</f>
        <v>2.4725</v>
      </c>
      <c r="G13" s="19">
        <f>VLOOKUP($A13,ConstEquipEmissFactors!$A$7:$N$23,13,FALSE)</f>
        <v>0.215</v>
      </c>
      <c r="H13" s="29">
        <f>VLOOKUP($A13,ConstEquipEmissFactors!$A$7:$N$23,14,FALSE)</f>
        <v>0.16125</v>
      </c>
      <c r="I13" s="133">
        <f t="shared" si="0"/>
        <v>9.675</v>
      </c>
      <c r="J13" s="134">
        <f t="shared" si="1"/>
        <v>3.225</v>
      </c>
      <c r="K13" s="134">
        <f t="shared" si="2"/>
        <v>24.725</v>
      </c>
      <c r="L13" s="134">
        <f t="shared" si="3"/>
        <v>2.15</v>
      </c>
      <c r="M13" s="135">
        <f t="shared" si="4"/>
        <v>1.6125</v>
      </c>
    </row>
    <row r="14" spans="1:13" ht="12.75">
      <c r="A14" s="87" t="s">
        <v>44</v>
      </c>
      <c r="B14" s="88">
        <v>0</v>
      </c>
      <c r="C14" s="89">
        <v>0</v>
      </c>
      <c r="D14" s="90">
        <f>VLOOKUP($A14,ConstEquipEmissFactors!$A$7:$N$23,10,FALSE)</f>
        <v>1.06425</v>
      </c>
      <c r="E14" s="91">
        <f>VLOOKUP($A14,ConstEquipEmissFactors!$A$7:$N$23,11,FALSE)</f>
        <v>0.35475</v>
      </c>
      <c r="F14" s="91">
        <f>VLOOKUP($A14,ConstEquipEmissFactors!$A$7:$N$23,12,FALSE)</f>
        <v>2.71975</v>
      </c>
      <c r="G14" s="19">
        <f>VLOOKUP($A14,ConstEquipEmissFactors!$A$7:$N$23,13,FALSE)</f>
        <v>0.23650000000000002</v>
      </c>
      <c r="H14" s="29">
        <f>VLOOKUP($A14,ConstEquipEmissFactors!$A$7:$N$23,14,FALSE)</f>
        <v>0.177375</v>
      </c>
      <c r="I14" s="133">
        <f t="shared" si="0"/>
        <v>0</v>
      </c>
      <c r="J14" s="134">
        <f t="shared" si="1"/>
        <v>0</v>
      </c>
      <c r="K14" s="134">
        <f t="shared" si="2"/>
        <v>0</v>
      </c>
      <c r="L14" s="134">
        <f t="shared" si="3"/>
        <v>0</v>
      </c>
      <c r="M14" s="135">
        <f t="shared" si="4"/>
        <v>0</v>
      </c>
    </row>
    <row r="15" spans="1:13" ht="12.75">
      <c r="A15" s="87" t="s">
        <v>45</v>
      </c>
      <c r="B15" s="88">
        <v>0</v>
      </c>
      <c r="C15" s="89">
        <v>0</v>
      </c>
      <c r="D15" s="90">
        <f>VLOOKUP($A15,ConstEquipEmissFactors!$A$7:$N$23,10,FALSE)</f>
        <v>1.0062</v>
      </c>
      <c r="E15" s="91">
        <f>VLOOKUP($A15,ConstEquipEmissFactors!$A$7:$N$23,11,FALSE)</f>
        <v>0.33540000000000003</v>
      </c>
      <c r="F15" s="91">
        <f>VLOOKUP($A15,ConstEquipEmissFactors!$A$7:$N$23,12,FALSE)</f>
        <v>2.5713999999999997</v>
      </c>
      <c r="G15" s="19">
        <f>VLOOKUP($A15,ConstEquipEmissFactors!$A$7:$N$23,13,FALSE)</f>
        <v>0.2236</v>
      </c>
      <c r="H15" s="29">
        <f>VLOOKUP($A15,ConstEquipEmissFactors!$A$7:$N$23,14,FALSE)</f>
        <v>0.16770000000000002</v>
      </c>
      <c r="I15" s="133">
        <f t="shared" si="0"/>
        <v>0</v>
      </c>
      <c r="J15" s="134">
        <f t="shared" si="1"/>
        <v>0</v>
      </c>
      <c r="K15" s="134">
        <f t="shared" si="2"/>
        <v>0</v>
      </c>
      <c r="L15" s="134">
        <f t="shared" si="3"/>
        <v>0</v>
      </c>
      <c r="M15" s="135">
        <f t="shared" si="4"/>
        <v>0</v>
      </c>
    </row>
    <row r="16" spans="1:13" ht="12.75">
      <c r="A16" s="87" t="s">
        <v>68</v>
      </c>
      <c r="B16" s="88">
        <v>1</v>
      </c>
      <c r="C16" s="89">
        <v>10</v>
      </c>
      <c r="D16" s="90">
        <f>VLOOKUP($A16,ConstEquipEmissFactors!$A$7:$N$23,10,FALSE)</f>
        <v>4.5</v>
      </c>
      <c r="E16" s="91">
        <f>VLOOKUP($A16,ConstEquipEmissFactors!$A$7:$N$23,11,FALSE)</f>
        <v>0.675</v>
      </c>
      <c r="F16" s="91">
        <f>VLOOKUP($A16,ConstEquipEmissFactors!$A$7:$N$23,12,FALSE)</f>
        <v>5.4</v>
      </c>
      <c r="G16" s="19">
        <f>VLOOKUP($A16,ConstEquipEmissFactors!$A$7:$N$23,13,FALSE)</f>
        <v>0.44999999999999996</v>
      </c>
      <c r="H16" s="29">
        <f>VLOOKUP($A16,ConstEquipEmissFactors!$A$7:$N$23,14,FALSE)</f>
        <v>0.3375</v>
      </c>
      <c r="I16" s="133">
        <f t="shared" si="0"/>
        <v>45</v>
      </c>
      <c r="J16" s="134">
        <f t="shared" si="1"/>
        <v>6.75</v>
      </c>
      <c r="K16" s="134">
        <f t="shared" si="2"/>
        <v>54</v>
      </c>
      <c r="L16" s="134">
        <f t="shared" si="3"/>
        <v>4.5</v>
      </c>
      <c r="M16" s="135">
        <f t="shared" si="4"/>
        <v>3.375</v>
      </c>
    </row>
    <row r="17" spans="1:13" ht="12.75">
      <c r="A17" s="87" t="s">
        <v>49</v>
      </c>
      <c r="B17" s="88">
        <v>1</v>
      </c>
      <c r="C17" s="89">
        <v>10</v>
      </c>
      <c r="D17" s="54">
        <f>VLOOKUP($A17,ConstEquipEmissFactors!$A$7:$N$23,10,FALSE)</f>
        <v>0.6270000000000001</v>
      </c>
      <c r="E17" s="55">
        <f>VLOOKUP($A17,ConstEquipEmissFactors!$A$7:$N$23,11,FALSE)</f>
        <v>0.20900000000000002</v>
      </c>
      <c r="F17" s="55">
        <f>VLOOKUP($A17,ConstEquipEmissFactors!$A$7:$N$23,12,FALSE)</f>
        <v>2.1945</v>
      </c>
      <c r="G17" s="18">
        <f>VLOOKUP($A17,ConstEquipEmissFactors!$A$7:$N$23,13,FALSE)</f>
        <v>0.20900000000000002</v>
      </c>
      <c r="H17" s="27">
        <f>VLOOKUP($A17,ConstEquipEmissFactors!$A$7:$N$23,14,FALSE)</f>
        <v>0.15675000000000003</v>
      </c>
      <c r="I17" s="133">
        <f t="shared" si="0"/>
        <v>6.270000000000001</v>
      </c>
      <c r="J17" s="134">
        <f t="shared" si="1"/>
        <v>2.0900000000000003</v>
      </c>
      <c r="K17" s="134">
        <f t="shared" si="2"/>
        <v>21.945</v>
      </c>
      <c r="L17" s="134">
        <f t="shared" si="3"/>
        <v>2.0900000000000003</v>
      </c>
      <c r="M17" s="135">
        <f t="shared" si="4"/>
        <v>1.5675000000000003</v>
      </c>
    </row>
    <row r="18" spans="1:13" ht="12.75">
      <c r="A18" s="87" t="s">
        <v>32</v>
      </c>
      <c r="B18" s="88">
        <v>1</v>
      </c>
      <c r="C18" s="89">
        <v>10</v>
      </c>
      <c r="D18" s="54">
        <f>VLOOKUP($A18,ConstEquipEmissFactors!$A$7:$N$23,10,FALSE)</f>
        <v>1.595</v>
      </c>
      <c r="E18" s="55">
        <f>VLOOKUP($A18,ConstEquipEmissFactors!$A$7:$N$23,11,FALSE)</f>
        <v>0.145</v>
      </c>
      <c r="F18" s="55">
        <f>VLOOKUP($A18,ConstEquipEmissFactors!$A$7:$N$23,12,FALSE)</f>
        <v>3.4799999999999995</v>
      </c>
      <c r="G18" s="18">
        <f>VLOOKUP($A18,ConstEquipEmissFactors!$A$7:$N$23,13,FALSE)</f>
        <v>0.29</v>
      </c>
      <c r="H18" s="27">
        <f>VLOOKUP($A18,ConstEquipEmissFactors!$A$7:$N$23,14,FALSE)</f>
        <v>0.21749999999999997</v>
      </c>
      <c r="I18" s="133">
        <f t="shared" si="0"/>
        <v>15.95</v>
      </c>
      <c r="J18" s="134">
        <f t="shared" si="1"/>
        <v>1.45</v>
      </c>
      <c r="K18" s="134">
        <f t="shared" si="2"/>
        <v>34.8</v>
      </c>
      <c r="L18" s="134">
        <f t="shared" si="3"/>
        <v>2.9</v>
      </c>
      <c r="M18" s="135">
        <f t="shared" si="4"/>
        <v>2.175</v>
      </c>
    </row>
    <row r="19" spans="1:13" ht="12.75">
      <c r="A19" s="40" t="s">
        <v>39</v>
      </c>
      <c r="B19" s="43">
        <v>1</v>
      </c>
      <c r="C19" s="47">
        <v>10</v>
      </c>
      <c r="D19" s="26">
        <f>VLOOKUP($A19,ConstEquipEmissFactors!$A$7:$N$23,10,FALSE)</f>
        <v>0.3081</v>
      </c>
      <c r="E19" s="18">
        <f>VLOOKUP($A19,ConstEquipEmissFactors!$A$7:$N$23,11,FALSE)</f>
        <v>0.0711</v>
      </c>
      <c r="F19" s="18">
        <f>VLOOKUP($A19,ConstEquipEmissFactors!$A$7:$N$23,12,FALSE)</f>
        <v>0.7346999999999999</v>
      </c>
      <c r="G19" s="18">
        <f>VLOOKUP($A19,ConstEquipEmissFactors!$A$7:$N$23,13,FALSE)</f>
        <v>0.0474</v>
      </c>
      <c r="H19" s="27">
        <f>VLOOKUP($A19,ConstEquipEmissFactors!$A$7:$N$23,14,FALSE)</f>
        <v>0.03555</v>
      </c>
      <c r="I19" s="133">
        <f t="shared" si="0"/>
        <v>3.081</v>
      </c>
      <c r="J19" s="134">
        <f t="shared" si="1"/>
        <v>0.711</v>
      </c>
      <c r="K19" s="134">
        <f t="shared" si="2"/>
        <v>7.3469999999999995</v>
      </c>
      <c r="L19" s="134">
        <f t="shared" si="3"/>
        <v>0.474</v>
      </c>
      <c r="M19" s="135">
        <f t="shared" si="4"/>
        <v>0.3555</v>
      </c>
    </row>
    <row r="20" spans="1:13" ht="12.75">
      <c r="A20" s="40" t="s">
        <v>17</v>
      </c>
      <c r="B20" s="43">
        <v>1</v>
      </c>
      <c r="C20" s="47">
        <v>10</v>
      </c>
      <c r="D20" s="26">
        <f>VLOOKUP($A20,ConstEquipEmissFactors!$A$7:$N$23,10,FALSE)</f>
        <v>1.46475</v>
      </c>
      <c r="E20" s="18">
        <f>VLOOKUP($A20,ConstEquipEmissFactors!$A$7:$N$23,11,FALSE)</f>
        <v>0.29295000000000004</v>
      </c>
      <c r="F20" s="18">
        <f>VLOOKUP($A20,ConstEquipEmissFactors!$A$7:$N$23,12,FALSE)</f>
        <v>2.1483000000000003</v>
      </c>
      <c r="G20" s="18">
        <f>VLOOKUP($A20,ConstEquipEmissFactors!$A$7:$N$23,13,FALSE)</f>
        <v>0.1953</v>
      </c>
      <c r="H20" s="27">
        <f>VLOOKUP($A20,ConstEquipEmissFactors!$A$7:$N$23,14,FALSE)</f>
        <v>0.09765</v>
      </c>
      <c r="I20" s="133">
        <f t="shared" si="0"/>
        <v>14.6475</v>
      </c>
      <c r="J20" s="134">
        <f t="shared" si="1"/>
        <v>2.9295000000000004</v>
      </c>
      <c r="K20" s="134">
        <f t="shared" si="2"/>
        <v>21.483000000000004</v>
      </c>
      <c r="L20" s="134">
        <f t="shared" si="3"/>
        <v>1.953</v>
      </c>
      <c r="M20" s="135">
        <f t="shared" si="4"/>
        <v>0.9765</v>
      </c>
    </row>
    <row r="21" spans="1:13" ht="12.75">
      <c r="A21" s="41" t="s">
        <v>126</v>
      </c>
      <c r="B21" s="88">
        <v>2</v>
      </c>
      <c r="C21" s="89">
        <v>10</v>
      </c>
      <c r="D21" s="26">
        <f>VLOOKUP($A21,ConstEquipEmissFactors!$A$7:$N$23,10,FALSE)</f>
        <v>0.6919</v>
      </c>
      <c r="E21" s="18">
        <f>VLOOKUP($A21,ConstEquipEmissFactors!$A$7:$N$23,11,FALSE)</f>
        <v>0.1258</v>
      </c>
      <c r="F21" s="18">
        <f>VLOOKUP($A21,ConstEquipEmissFactors!$A$7:$N$23,12,FALSE)</f>
        <v>1.1321999999999999</v>
      </c>
      <c r="G21" s="18">
        <f>VLOOKUP($A21,ConstEquipEmissFactors!$A$7:$N$23,13,FALSE)</f>
        <v>0.1258</v>
      </c>
      <c r="H21" s="27">
        <f>VLOOKUP($A21,ConstEquipEmissFactors!$A$7:$N$23,14,FALSE)</f>
        <v>0.0629</v>
      </c>
      <c r="I21" s="133">
        <f>D21*$C21*$B21</f>
        <v>13.838</v>
      </c>
      <c r="J21" s="134">
        <f>E21*$C21*$B21</f>
        <v>2.516</v>
      </c>
      <c r="K21" s="134">
        <f>F21*$C21*$B21</f>
        <v>22.644</v>
      </c>
      <c r="L21" s="134">
        <f>G21*$C21*$B21</f>
        <v>2.516</v>
      </c>
      <c r="M21" s="135">
        <f>H21*$C21*$B21</f>
        <v>1.258</v>
      </c>
    </row>
    <row r="22" spans="1:13" ht="12.75">
      <c r="A22" s="41" t="s">
        <v>46</v>
      </c>
      <c r="B22" s="43">
        <v>2</v>
      </c>
      <c r="C22" s="47">
        <v>10</v>
      </c>
      <c r="D22" s="26">
        <f>VLOOKUP($A22,ConstEquipEmissFactors!$A$7:$N$23,10,FALSE)</f>
        <v>0.11725999999999999</v>
      </c>
      <c r="E22" s="18">
        <f>VLOOKUP($A22,ConstEquipEmissFactors!$A$7:$N$23,11,FALSE)</f>
        <v>0.021320000000000002</v>
      </c>
      <c r="F22" s="18">
        <f>VLOOKUP($A22,ConstEquipEmissFactors!$A$7:$N$23,12,FALSE)</f>
        <v>0.19187999999999997</v>
      </c>
      <c r="G22" s="18">
        <f>VLOOKUP($A22,ConstEquipEmissFactors!$A$7:$N$23,13,FALSE)</f>
        <v>0.021320000000000002</v>
      </c>
      <c r="H22" s="27">
        <f>VLOOKUP($A22,ConstEquipEmissFactors!$A$7:$N$23,14,FALSE)</f>
        <v>0.010660000000000001</v>
      </c>
      <c r="I22" s="133">
        <f t="shared" si="0"/>
        <v>2.3451999999999997</v>
      </c>
      <c r="J22" s="134">
        <f t="shared" si="1"/>
        <v>0.42640000000000006</v>
      </c>
      <c r="K22" s="134">
        <f t="shared" si="2"/>
        <v>3.8375999999999992</v>
      </c>
      <c r="L22" s="134">
        <f t="shared" si="3"/>
        <v>0.42640000000000006</v>
      </c>
      <c r="M22" s="135">
        <f t="shared" si="4"/>
        <v>0.21320000000000003</v>
      </c>
    </row>
    <row r="23" spans="1:13" ht="12.75">
      <c r="A23" s="41" t="s">
        <v>38</v>
      </c>
      <c r="B23" s="43">
        <v>0</v>
      </c>
      <c r="C23" s="47">
        <v>0</v>
      </c>
      <c r="D23" s="39">
        <f>VLOOKUP($A23,ConstEquipEmissFactors!$A$7:$N$23,10,FALSE)</f>
        <v>0.820625</v>
      </c>
      <c r="E23" s="37">
        <f>VLOOKUP($A23,ConstEquipEmissFactors!$A$7:$N$23,11,FALSE)</f>
        <v>0.18937500000000002</v>
      </c>
      <c r="F23" s="37">
        <f>VLOOKUP($A23,ConstEquipEmissFactors!$A$7:$N$23,12,FALSE)</f>
        <v>1.956875</v>
      </c>
      <c r="G23" s="37">
        <f>VLOOKUP($A23,ConstEquipEmissFactors!$A$7:$N$23,13,FALSE)</f>
        <v>0.12625</v>
      </c>
      <c r="H23" s="38">
        <f>VLOOKUP($A23,ConstEquipEmissFactors!$A$7:$N$23,14,FALSE)</f>
        <v>0.09468750000000001</v>
      </c>
      <c r="I23" s="133">
        <f t="shared" si="0"/>
        <v>0</v>
      </c>
      <c r="J23" s="134">
        <f t="shared" si="1"/>
        <v>0</v>
      </c>
      <c r="K23" s="134">
        <f t="shared" si="2"/>
        <v>0</v>
      </c>
      <c r="L23" s="134">
        <f t="shared" si="3"/>
        <v>0</v>
      </c>
      <c r="M23" s="135">
        <f t="shared" si="4"/>
        <v>0</v>
      </c>
    </row>
    <row r="24" spans="1:13" ht="12.75" customHeight="1" thickBot="1">
      <c r="A24" s="41" t="s">
        <v>47</v>
      </c>
      <c r="B24" s="44">
        <v>0</v>
      </c>
      <c r="C24" s="48">
        <v>0</v>
      </c>
      <c r="D24" s="39">
        <f>VLOOKUP($A24,ConstEquipEmissFactors!$A$7:$N$23,10,FALSE)</f>
        <v>0.24254999999999996</v>
      </c>
      <c r="E24" s="37">
        <f>VLOOKUP($A24,ConstEquipEmissFactors!$A$7:$N$23,11,FALSE)</f>
        <v>0.0441</v>
      </c>
      <c r="F24" s="37">
        <f>VLOOKUP($A24,ConstEquipEmissFactors!$A$7:$N$23,12,FALSE)</f>
        <v>0.3969</v>
      </c>
      <c r="G24" s="37">
        <f>VLOOKUP($A24,ConstEquipEmissFactors!$A$7:$N$23,13,FALSE)</f>
        <v>0.0441</v>
      </c>
      <c r="H24" s="38">
        <f>VLOOKUP($A24,ConstEquipEmissFactors!$A$7:$N$23,14,FALSE)</f>
        <v>0.02205</v>
      </c>
      <c r="I24" s="136">
        <f t="shared" si="0"/>
        <v>0</v>
      </c>
      <c r="J24" s="137">
        <f t="shared" si="1"/>
        <v>0</v>
      </c>
      <c r="K24" s="137">
        <f t="shared" si="2"/>
        <v>0</v>
      </c>
      <c r="L24" s="137">
        <f t="shared" si="3"/>
        <v>0</v>
      </c>
      <c r="M24" s="138">
        <f t="shared" si="4"/>
        <v>0</v>
      </c>
    </row>
    <row r="25" spans="1:13" ht="13.5" thickBot="1">
      <c r="A25" s="127" t="s">
        <v>48</v>
      </c>
      <c r="B25" s="128"/>
      <c r="C25" s="129"/>
      <c r="D25" s="130"/>
      <c r="E25" s="131"/>
      <c r="F25" s="131"/>
      <c r="G25" s="131"/>
      <c r="H25" s="132"/>
      <c r="I25" s="139">
        <f>SUM(I8:I24)</f>
        <v>130.21315</v>
      </c>
      <c r="J25" s="140">
        <f>SUM(J8:J24)</f>
        <v>27.122149999999998</v>
      </c>
      <c r="K25" s="141">
        <f>SUM(K8:K24)</f>
        <v>236.79250000000005</v>
      </c>
      <c r="L25" s="140">
        <f>SUM(L8:L24)</f>
        <v>21.692</v>
      </c>
      <c r="M25" s="142">
        <f>SUM(M8:M24)</f>
        <v>14.63455</v>
      </c>
    </row>
    <row r="26" spans="9:13" ht="12.75">
      <c r="I26" s="7"/>
      <c r="J26" s="7"/>
      <c r="K26" s="7"/>
      <c r="L26" s="7"/>
      <c r="M26" s="7"/>
    </row>
    <row r="27" spans="1:13" ht="12.75">
      <c r="A27" s="221" t="s">
        <v>142</v>
      </c>
      <c r="B27" s="217"/>
      <c r="C27" s="217"/>
      <c r="D27" s="217"/>
      <c r="E27" s="217"/>
      <c r="F27" s="217"/>
      <c r="G27" s="217"/>
      <c r="H27" s="217"/>
      <c r="I27" s="217"/>
      <c r="M27" s="10"/>
    </row>
    <row r="28" ht="12.75">
      <c r="A28" s="1"/>
    </row>
    <row r="29" ht="12.75">
      <c r="A29" s="93" t="s">
        <v>109</v>
      </c>
    </row>
    <row r="30" ht="12.75">
      <c r="A30" s="93" t="s">
        <v>110</v>
      </c>
    </row>
    <row r="31" spans="1:10" ht="12.75">
      <c r="A31" s="217" t="s">
        <v>128</v>
      </c>
      <c r="B31" s="217"/>
      <c r="C31" s="217"/>
      <c r="D31" s="217"/>
      <c r="E31" s="217"/>
      <c r="F31" s="217"/>
      <c r="G31" s="217"/>
      <c r="H31" s="217"/>
      <c r="I31" s="217"/>
      <c r="J31" s="217"/>
    </row>
    <row r="41" spans="1:13" ht="12.75">
      <c r="A41" s="210"/>
      <c r="B41" s="44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</row>
  </sheetData>
  <sheetProtection/>
  <mergeCells count="7">
    <mergeCell ref="A2:M2"/>
    <mergeCell ref="A3:M3"/>
    <mergeCell ref="A31:J31"/>
    <mergeCell ref="I6:M6"/>
    <mergeCell ref="A4:M4"/>
    <mergeCell ref="A6:A7"/>
    <mergeCell ref="A27:I27"/>
  </mergeCells>
  <conditionalFormatting sqref="I26:M26">
    <cfRule type="cellIs" priority="1" dxfId="0" operator="greaterThanOrEqual" stopIfTrue="1">
      <formula>#REF!</formula>
    </cfRule>
  </conditionalFormatting>
  <printOptions horizontalCentered="1"/>
  <pageMargins left="0.25" right="0.25" top="1.25" bottom="0.5" header="1" footer="0.5"/>
  <pageSetup fitToHeight="1" fitToWidth="1" horizontalDpi="300" verticalDpi="300" orientation="landscape" scale="94" r:id="rId1"/>
  <headerFooter alignWithMargins="0">
    <oddHeader>&amp;RExxonMobil Rule 1105.1 Compliance Project</oddHeader>
    <oddFooter>&amp;LFinal EIR&amp;CC-2&amp;RMarch 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40"/>
  <sheetViews>
    <sheetView view="pageBreakPreview" zoomScale="60" zoomScalePageLayoutView="0" workbookViewId="0" topLeftCell="A1">
      <selection activeCell="J35" sqref="J35"/>
    </sheetView>
  </sheetViews>
  <sheetFormatPr defaultColWidth="9.140625" defaultRowHeight="12.75"/>
  <cols>
    <col min="1" max="1" width="36.7109375" style="0" customWidth="1"/>
    <col min="2" max="2" width="9.7109375" style="15" customWidth="1"/>
    <col min="6" max="6" width="9.00390625" style="0" customWidth="1"/>
  </cols>
  <sheetData>
    <row r="1" spans="1:13" ht="12.75">
      <c r="A1" s="210"/>
      <c r="B1" s="44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">
      <c r="A2" s="213" t="s">
        <v>173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5">
      <c r="A3" s="213" t="s">
        <v>172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ht="15.75" customHeight="1">
      <c r="A4" s="216" t="s">
        <v>54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ht="13.5" thickBot="1"/>
    <row r="6" spans="1:13" ht="15">
      <c r="A6" s="214" t="s">
        <v>13</v>
      </c>
      <c r="B6" s="42"/>
      <c r="C6" s="45" t="s">
        <v>14</v>
      </c>
      <c r="D6" s="36"/>
      <c r="E6" s="23" t="s">
        <v>107</v>
      </c>
      <c r="F6" s="23"/>
      <c r="G6" s="110"/>
      <c r="H6" s="111"/>
      <c r="I6" s="218" t="s">
        <v>108</v>
      </c>
      <c r="J6" s="219"/>
      <c r="K6" s="219"/>
      <c r="L6" s="219"/>
      <c r="M6" s="220"/>
    </row>
    <row r="7" spans="1:13" ht="12.75">
      <c r="A7" s="222"/>
      <c r="B7" s="164" t="s">
        <v>106</v>
      </c>
      <c r="C7" s="163" t="s">
        <v>15</v>
      </c>
      <c r="D7" s="165" t="s">
        <v>0</v>
      </c>
      <c r="E7" s="166" t="s">
        <v>1</v>
      </c>
      <c r="F7" s="166" t="s">
        <v>2</v>
      </c>
      <c r="G7" s="166" t="s">
        <v>4</v>
      </c>
      <c r="H7" s="167" t="s">
        <v>3</v>
      </c>
      <c r="I7" s="165" t="s">
        <v>0</v>
      </c>
      <c r="J7" s="166" t="s">
        <v>1</v>
      </c>
      <c r="K7" s="166" t="s">
        <v>2</v>
      </c>
      <c r="L7" s="166" t="s">
        <v>4</v>
      </c>
      <c r="M7" s="168" t="s">
        <v>3</v>
      </c>
    </row>
    <row r="8" spans="1:13" ht="12.75">
      <c r="A8" s="2" t="s">
        <v>16</v>
      </c>
      <c r="B8" s="3">
        <v>0</v>
      </c>
      <c r="C8" s="3">
        <v>0</v>
      </c>
      <c r="D8" s="18">
        <f>VLOOKUP($A8,ConstEquipEmissFactors!$A$7:$N$23,10,FALSE)</f>
        <v>0.5231250000000001</v>
      </c>
      <c r="E8" s="18">
        <f>VLOOKUP($A8,ConstEquipEmissFactors!$A$7:$N$23,11,FALSE)</f>
        <v>0.10462500000000001</v>
      </c>
      <c r="F8" s="18">
        <f>VLOOKUP($A8,ConstEquipEmissFactors!$A$7:$N$23,12,FALSE)</f>
        <v>0.76725</v>
      </c>
      <c r="G8" s="18">
        <f>VLOOKUP($A8,ConstEquipEmissFactors!$A$7:$N$23,13,FALSE)</f>
        <v>0.06975</v>
      </c>
      <c r="H8" s="18">
        <f>VLOOKUP($A8,ConstEquipEmissFactors!$A$7:$N$23,14,FALSE)</f>
        <v>0.034875</v>
      </c>
      <c r="I8" s="162">
        <f aca="true" t="shared" si="0" ref="I8:I24">D8*$C8*$B8</f>
        <v>0</v>
      </c>
      <c r="J8" s="162">
        <f aca="true" t="shared" si="1" ref="J8:J24">E8*$C8*$B8</f>
        <v>0</v>
      </c>
      <c r="K8" s="162">
        <f aca="true" t="shared" si="2" ref="K8:K24">F8*$C8*$B8</f>
        <v>0</v>
      </c>
      <c r="L8" s="162">
        <f aca="true" t="shared" si="3" ref="L8:L24">G8*$C8*$B8</f>
        <v>0</v>
      </c>
      <c r="M8" s="162">
        <f aca="true" t="shared" si="4" ref="M8:M24">H8*$C8*$B8</f>
        <v>0</v>
      </c>
    </row>
    <row r="9" spans="1:13" ht="12.75">
      <c r="A9" s="2" t="s">
        <v>36</v>
      </c>
      <c r="B9" s="3">
        <v>0</v>
      </c>
      <c r="C9" s="3">
        <v>0</v>
      </c>
      <c r="D9" s="18">
        <f>VLOOKUP($A9,ConstEquipEmissFactors!$A$7:$N$23,10,FALSE)</f>
        <v>0.25871999999999995</v>
      </c>
      <c r="E9" s="18">
        <f>VLOOKUP($A9,ConstEquipEmissFactors!$A$7:$N$23,11,FALSE)</f>
        <v>0.04704</v>
      </c>
      <c r="F9" s="18">
        <f>VLOOKUP($A9,ConstEquipEmissFactors!$A$7:$N$23,12,FALSE)</f>
        <v>0.42335999999999996</v>
      </c>
      <c r="G9" s="18">
        <f>VLOOKUP($A9,ConstEquipEmissFactors!$A$7:$N$23,13,FALSE)</f>
        <v>0.04704</v>
      </c>
      <c r="H9" s="18">
        <f>VLOOKUP($A9,ConstEquipEmissFactors!$A$7:$N$23,14,FALSE)</f>
        <v>0.02352</v>
      </c>
      <c r="I9" s="162">
        <f t="shared" si="0"/>
        <v>0</v>
      </c>
      <c r="J9" s="162">
        <f t="shared" si="1"/>
        <v>0</v>
      </c>
      <c r="K9" s="162">
        <f t="shared" si="2"/>
        <v>0</v>
      </c>
      <c r="L9" s="162">
        <f t="shared" si="3"/>
        <v>0</v>
      </c>
      <c r="M9" s="162">
        <f t="shared" si="4"/>
        <v>0</v>
      </c>
    </row>
    <row r="10" spans="1:13" ht="12.75">
      <c r="A10" s="2" t="s">
        <v>35</v>
      </c>
      <c r="B10" s="3">
        <v>0</v>
      </c>
      <c r="C10" s="3">
        <v>0</v>
      </c>
      <c r="D10" s="18">
        <f>VLOOKUP($A10,ConstEquipEmissFactors!$A$7:$N$23,10,FALSE)</f>
        <v>0.9690000000000001</v>
      </c>
      <c r="E10" s="18">
        <f>VLOOKUP($A10,ConstEquipEmissFactors!$A$7:$N$23,11,FALSE)</f>
        <v>0.323</v>
      </c>
      <c r="F10" s="18">
        <f>VLOOKUP($A10,ConstEquipEmissFactors!$A$7:$N$23,12,FALSE)</f>
        <v>3.3915</v>
      </c>
      <c r="G10" s="18">
        <f>VLOOKUP($A10,ConstEquipEmissFactors!$A$7:$N$23,13,FALSE)</f>
        <v>0.323</v>
      </c>
      <c r="H10" s="18">
        <f>VLOOKUP($A10,ConstEquipEmissFactors!$A$7:$N$23,14,FALSE)</f>
        <v>0.24225000000000002</v>
      </c>
      <c r="I10" s="162">
        <f t="shared" si="0"/>
        <v>0</v>
      </c>
      <c r="J10" s="162">
        <f t="shared" si="1"/>
        <v>0</v>
      </c>
      <c r="K10" s="162">
        <f t="shared" si="2"/>
        <v>0</v>
      </c>
      <c r="L10" s="162">
        <f t="shared" si="3"/>
        <v>0</v>
      </c>
      <c r="M10" s="162">
        <f t="shared" si="4"/>
        <v>0</v>
      </c>
    </row>
    <row r="11" spans="1:13" ht="12.75">
      <c r="A11" s="2" t="s">
        <v>37</v>
      </c>
      <c r="B11" s="3">
        <v>0</v>
      </c>
      <c r="C11" s="3">
        <v>0</v>
      </c>
      <c r="D11" s="18">
        <f>VLOOKUP($A11,ConstEquipEmissFactors!$A$7:$N$23,10,FALSE)</f>
        <v>0.1898</v>
      </c>
      <c r="E11" s="18">
        <f>VLOOKUP($A11,ConstEquipEmissFactors!$A$7:$N$23,11,FALSE)</f>
        <v>0.22776</v>
      </c>
      <c r="F11" s="18">
        <f>VLOOKUP($A11,ConstEquipEmissFactors!$A$7:$N$23,12,FALSE)</f>
        <v>0.01898</v>
      </c>
      <c r="G11" s="18">
        <f>VLOOKUP($A11,ConstEquipEmissFactors!$A$7:$N$23,13,FALSE)</f>
        <v>0.02847</v>
      </c>
      <c r="H11" s="18">
        <f>VLOOKUP($A11,ConstEquipEmissFactors!$A$7:$N$23,14,FALSE)</f>
        <v>0.00949</v>
      </c>
      <c r="I11" s="162">
        <f t="shared" si="0"/>
        <v>0</v>
      </c>
      <c r="J11" s="162">
        <f t="shared" si="1"/>
        <v>0</v>
      </c>
      <c r="K11" s="162">
        <f t="shared" si="2"/>
        <v>0</v>
      </c>
      <c r="L11" s="162">
        <f t="shared" si="3"/>
        <v>0</v>
      </c>
      <c r="M11" s="162">
        <f t="shared" si="4"/>
        <v>0</v>
      </c>
    </row>
    <row r="12" spans="1:13" ht="12.75">
      <c r="A12" s="2" t="s">
        <v>130</v>
      </c>
      <c r="B12" s="3">
        <v>1</v>
      </c>
      <c r="C12" s="3">
        <v>10</v>
      </c>
      <c r="D12" s="18">
        <f>VLOOKUP($A12,ConstEquipEmissFactors!$A$7:$N$23,10,FALSE)</f>
        <v>0.8127</v>
      </c>
      <c r="E12" s="18">
        <f>VLOOKUP($A12,ConstEquipEmissFactors!$A$7:$N$23,11,FALSE)</f>
        <v>0.2709</v>
      </c>
      <c r="F12" s="18">
        <f>VLOOKUP($A12,ConstEquipEmissFactors!$A$7:$N$23,12,FALSE)</f>
        <v>2.0769</v>
      </c>
      <c r="G12" s="18">
        <f>VLOOKUP($A12,ConstEquipEmissFactors!$A$7:$N$23,13,FALSE)</f>
        <v>0.18059999999999998</v>
      </c>
      <c r="H12" s="18">
        <f>VLOOKUP($A12,ConstEquipEmissFactors!$A$7:$N$23,14,FALSE)</f>
        <v>0.13545</v>
      </c>
      <c r="I12" s="162">
        <f t="shared" si="0"/>
        <v>8.126999999999999</v>
      </c>
      <c r="J12" s="162">
        <f t="shared" si="1"/>
        <v>2.7089999999999996</v>
      </c>
      <c r="K12" s="162">
        <f t="shared" si="2"/>
        <v>20.769000000000002</v>
      </c>
      <c r="L12" s="162">
        <f t="shared" si="3"/>
        <v>1.8059999999999998</v>
      </c>
      <c r="M12" s="162">
        <f t="shared" si="4"/>
        <v>1.3544999999999998</v>
      </c>
    </row>
    <row r="13" spans="1:13" ht="12.75">
      <c r="A13" s="2" t="s">
        <v>67</v>
      </c>
      <c r="B13" s="3">
        <v>0</v>
      </c>
      <c r="C13" s="3">
        <v>0</v>
      </c>
      <c r="D13" s="18">
        <f>VLOOKUP($A13,ConstEquipEmissFactors!$A$7:$N$23,10,FALSE)</f>
        <v>0.9675</v>
      </c>
      <c r="E13" s="18">
        <f>VLOOKUP($A13,ConstEquipEmissFactors!$A$7:$N$23,11,FALSE)</f>
        <v>0.3225</v>
      </c>
      <c r="F13" s="18">
        <f>VLOOKUP($A13,ConstEquipEmissFactors!$A$7:$N$23,12,FALSE)</f>
        <v>2.4725</v>
      </c>
      <c r="G13" s="18">
        <f>VLOOKUP($A13,ConstEquipEmissFactors!$A$7:$N$23,13,FALSE)</f>
        <v>0.215</v>
      </c>
      <c r="H13" s="18">
        <f>VLOOKUP($A13,ConstEquipEmissFactors!$A$7:$N$23,14,FALSE)</f>
        <v>0.16125</v>
      </c>
      <c r="I13" s="162">
        <f t="shared" si="0"/>
        <v>0</v>
      </c>
      <c r="J13" s="162">
        <f t="shared" si="1"/>
        <v>0</v>
      </c>
      <c r="K13" s="162">
        <f t="shared" si="2"/>
        <v>0</v>
      </c>
      <c r="L13" s="162">
        <f t="shared" si="3"/>
        <v>0</v>
      </c>
      <c r="M13" s="162">
        <f t="shared" si="4"/>
        <v>0</v>
      </c>
    </row>
    <row r="14" spans="1:13" ht="12.75">
      <c r="A14" s="2" t="s">
        <v>44</v>
      </c>
      <c r="B14" s="3">
        <v>1</v>
      </c>
      <c r="C14" s="3">
        <v>10</v>
      </c>
      <c r="D14" s="18">
        <f>VLOOKUP($A14,ConstEquipEmissFactors!$A$7:$N$23,10,FALSE)</f>
        <v>1.06425</v>
      </c>
      <c r="E14" s="18">
        <f>VLOOKUP($A14,ConstEquipEmissFactors!$A$7:$N$23,11,FALSE)</f>
        <v>0.35475</v>
      </c>
      <c r="F14" s="18">
        <f>VLOOKUP($A14,ConstEquipEmissFactors!$A$7:$N$23,12,FALSE)</f>
        <v>2.71975</v>
      </c>
      <c r="G14" s="18">
        <f>VLOOKUP($A14,ConstEquipEmissFactors!$A$7:$N$23,13,FALSE)</f>
        <v>0.23650000000000002</v>
      </c>
      <c r="H14" s="18">
        <f>VLOOKUP($A14,ConstEquipEmissFactors!$A$7:$N$23,14,FALSE)</f>
        <v>0.177375</v>
      </c>
      <c r="I14" s="162">
        <f t="shared" si="0"/>
        <v>10.642499999999998</v>
      </c>
      <c r="J14" s="162">
        <f t="shared" si="1"/>
        <v>3.5475000000000003</v>
      </c>
      <c r="K14" s="162">
        <f t="shared" si="2"/>
        <v>27.197499999999998</v>
      </c>
      <c r="L14" s="162">
        <f t="shared" si="3"/>
        <v>2.365</v>
      </c>
      <c r="M14" s="162">
        <f t="shared" si="4"/>
        <v>1.7737500000000002</v>
      </c>
    </row>
    <row r="15" spans="1:13" ht="12.75">
      <c r="A15" s="2" t="s">
        <v>45</v>
      </c>
      <c r="B15" s="3">
        <v>1</v>
      </c>
      <c r="C15" s="3">
        <v>10</v>
      </c>
      <c r="D15" s="18">
        <f>VLOOKUP($A15,ConstEquipEmissFactors!$A$7:$N$23,10,FALSE)</f>
        <v>1.0062</v>
      </c>
      <c r="E15" s="18">
        <f>VLOOKUP($A15,ConstEquipEmissFactors!$A$7:$N$23,11,FALSE)</f>
        <v>0.33540000000000003</v>
      </c>
      <c r="F15" s="18">
        <f>VLOOKUP($A15,ConstEquipEmissFactors!$A$7:$N$23,12,FALSE)</f>
        <v>2.5713999999999997</v>
      </c>
      <c r="G15" s="18">
        <f>VLOOKUP($A15,ConstEquipEmissFactors!$A$7:$N$23,13,FALSE)</f>
        <v>0.2236</v>
      </c>
      <c r="H15" s="18">
        <f>VLOOKUP($A15,ConstEquipEmissFactors!$A$7:$N$23,14,FALSE)</f>
        <v>0.16770000000000002</v>
      </c>
      <c r="I15" s="162">
        <f t="shared" si="0"/>
        <v>10.062</v>
      </c>
      <c r="J15" s="162">
        <f t="shared" si="1"/>
        <v>3.354</v>
      </c>
      <c r="K15" s="162">
        <f>F15*$C15*$B15</f>
        <v>25.714</v>
      </c>
      <c r="L15" s="162">
        <f>G15*$C15*$B15</f>
        <v>2.2359999999999998</v>
      </c>
      <c r="M15" s="162">
        <f t="shared" si="4"/>
        <v>1.677</v>
      </c>
    </row>
    <row r="16" spans="1:13" ht="12.75">
      <c r="A16" s="2" t="s">
        <v>68</v>
      </c>
      <c r="B16" s="3">
        <v>0</v>
      </c>
      <c r="C16" s="3">
        <v>0</v>
      </c>
      <c r="D16" s="18">
        <f>VLOOKUP($A16,ConstEquipEmissFactors!$A$7:$N$23,10,FALSE)</f>
        <v>4.5</v>
      </c>
      <c r="E16" s="18">
        <f>VLOOKUP($A16,ConstEquipEmissFactors!$A$7:$N$23,11,FALSE)</f>
        <v>0.675</v>
      </c>
      <c r="F16" s="18">
        <f>VLOOKUP($A16,ConstEquipEmissFactors!$A$7:$N$23,12,FALSE)</f>
        <v>5.4</v>
      </c>
      <c r="G16" s="18">
        <f>VLOOKUP($A16,ConstEquipEmissFactors!$A$7:$N$23,13,FALSE)</f>
        <v>0.44999999999999996</v>
      </c>
      <c r="H16" s="18">
        <f>VLOOKUP($A16,ConstEquipEmissFactors!$A$7:$N$23,14,FALSE)</f>
        <v>0.3375</v>
      </c>
      <c r="I16" s="162">
        <f t="shared" si="0"/>
        <v>0</v>
      </c>
      <c r="J16" s="162">
        <f t="shared" si="1"/>
        <v>0</v>
      </c>
      <c r="K16" s="162">
        <f t="shared" si="2"/>
        <v>0</v>
      </c>
      <c r="L16" s="162">
        <f t="shared" si="3"/>
        <v>0</v>
      </c>
      <c r="M16" s="162">
        <f t="shared" si="4"/>
        <v>0</v>
      </c>
    </row>
    <row r="17" spans="1:13" ht="12.75">
      <c r="A17" s="2" t="s">
        <v>49</v>
      </c>
      <c r="B17" s="3">
        <v>0</v>
      </c>
      <c r="C17" s="3">
        <v>0</v>
      </c>
      <c r="D17" s="18">
        <f>VLOOKUP($A17,ConstEquipEmissFactors!$A$7:$N$23,10,FALSE)</f>
        <v>0.6270000000000001</v>
      </c>
      <c r="E17" s="18">
        <f>VLOOKUP($A17,ConstEquipEmissFactors!$A$7:$N$23,11,FALSE)</f>
        <v>0.20900000000000002</v>
      </c>
      <c r="F17" s="18">
        <f>VLOOKUP($A17,ConstEquipEmissFactors!$A$7:$N$23,12,FALSE)</f>
        <v>2.1945</v>
      </c>
      <c r="G17" s="18">
        <f>VLOOKUP($A17,ConstEquipEmissFactors!$A$7:$N$23,13,FALSE)</f>
        <v>0.20900000000000002</v>
      </c>
      <c r="H17" s="18">
        <f>VLOOKUP($A17,ConstEquipEmissFactors!$A$7:$N$23,14,FALSE)</f>
        <v>0.15675000000000003</v>
      </c>
      <c r="I17" s="162">
        <f t="shared" si="0"/>
        <v>0</v>
      </c>
      <c r="J17" s="162">
        <f t="shared" si="1"/>
        <v>0</v>
      </c>
      <c r="K17" s="162">
        <f t="shared" si="2"/>
        <v>0</v>
      </c>
      <c r="L17" s="162">
        <f t="shared" si="3"/>
        <v>0</v>
      </c>
      <c r="M17" s="162">
        <f t="shared" si="4"/>
        <v>0</v>
      </c>
    </row>
    <row r="18" spans="1:13" ht="12.75">
      <c r="A18" s="2" t="s">
        <v>32</v>
      </c>
      <c r="B18" s="3">
        <v>0</v>
      </c>
      <c r="C18" s="3">
        <v>0</v>
      </c>
      <c r="D18" s="18">
        <f>VLOOKUP($A18,ConstEquipEmissFactors!$A$7:$N$23,10,FALSE)</f>
        <v>1.595</v>
      </c>
      <c r="E18" s="18">
        <f>VLOOKUP($A18,ConstEquipEmissFactors!$A$7:$N$23,11,FALSE)</f>
        <v>0.145</v>
      </c>
      <c r="F18" s="18">
        <f>VLOOKUP($A18,ConstEquipEmissFactors!$A$7:$N$23,12,FALSE)</f>
        <v>3.4799999999999995</v>
      </c>
      <c r="G18" s="18">
        <f>VLOOKUP($A18,ConstEquipEmissFactors!$A$7:$N$23,13,FALSE)</f>
        <v>0.29</v>
      </c>
      <c r="H18" s="18">
        <f>VLOOKUP($A18,ConstEquipEmissFactors!$A$7:$N$23,14,FALSE)</f>
        <v>0.21749999999999997</v>
      </c>
      <c r="I18" s="162">
        <f t="shared" si="0"/>
        <v>0</v>
      </c>
      <c r="J18" s="162">
        <f t="shared" si="1"/>
        <v>0</v>
      </c>
      <c r="K18" s="162">
        <f t="shared" si="2"/>
        <v>0</v>
      </c>
      <c r="L18" s="162">
        <f t="shared" si="3"/>
        <v>0</v>
      </c>
      <c r="M18" s="162">
        <f t="shared" si="4"/>
        <v>0</v>
      </c>
    </row>
    <row r="19" spans="1:13" ht="12.75">
      <c r="A19" s="2" t="s">
        <v>39</v>
      </c>
      <c r="B19" s="3">
        <v>2</v>
      </c>
      <c r="C19" s="3">
        <v>10</v>
      </c>
      <c r="D19" s="18">
        <f>VLOOKUP($A19,ConstEquipEmissFactors!$A$7:$N$23,10,FALSE)</f>
        <v>0.3081</v>
      </c>
      <c r="E19" s="18">
        <f>VLOOKUP($A19,ConstEquipEmissFactors!$A$7:$N$23,11,FALSE)</f>
        <v>0.0711</v>
      </c>
      <c r="F19" s="18">
        <f>VLOOKUP($A19,ConstEquipEmissFactors!$A$7:$N$23,12,FALSE)</f>
        <v>0.7346999999999999</v>
      </c>
      <c r="G19" s="18">
        <f>VLOOKUP($A19,ConstEquipEmissFactors!$A$7:$N$23,13,FALSE)</f>
        <v>0.0474</v>
      </c>
      <c r="H19" s="18">
        <f>VLOOKUP($A19,ConstEquipEmissFactors!$A$7:$N$23,14,FALSE)</f>
        <v>0.03555</v>
      </c>
      <c r="I19" s="162">
        <f t="shared" si="0"/>
        <v>6.162</v>
      </c>
      <c r="J19" s="162">
        <f t="shared" si="1"/>
        <v>1.422</v>
      </c>
      <c r="K19" s="162">
        <f t="shared" si="2"/>
        <v>14.693999999999999</v>
      </c>
      <c r="L19" s="162">
        <f t="shared" si="3"/>
        <v>0.948</v>
      </c>
      <c r="M19" s="162">
        <f t="shared" si="4"/>
        <v>0.711</v>
      </c>
    </row>
    <row r="20" spans="1:13" ht="12.75">
      <c r="A20" s="2" t="s">
        <v>17</v>
      </c>
      <c r="B20" s="3">
        <v>0</v>
      </c>
      <c r="C20" s="3">
        <v>0</v>
      </c>
      <c r="D20" s="18">
        <f>VLOOKUP($A20,ConstEquipEmissFactors!$A$7:$N$23,10,FALSE)</f>
        <v>1.46475</v>
      </c>
      <c r="E20" s="18">
        <f>VLOOKUP($A20,ConstEquipEmissFactors!$A$7:$N$23,11,FALSE)</f>
        <v>0.29295000000000004</v>
      </c>
      <c r="F20" s="18">
        <f>VLOOKUP($A20,ConstEquipEmissFactors!$A$7:$N$23,12,FALSE)</f>
        <v>2.1483000000000003</v>
      </c>
      <c r="G20" s="18">
        <f>VLOOKUP($A20,ConstEquipEmissFactors!$A$7:$N$23,13,FALSE)</f>
        <v>0.1953</v>
      </c>
      <c r="H20" s="18">
        <f>VLOOKUP($A20,ConstEquipEmissFactors!$A$7:$N$23,14,FALSE)</f>
        <v>0.09765</v>
      </c>
      <c r="I20" s="162">
        <f t="shared" si="0"/>
        <v>0</v>
      </c>
      <c r="J20" s="162">
        <f t="shared" si="1"/>
        <v>0</v>
      </c>
      <c r="K20" s="162">
        <f t="shared" si="2"/>
        <v>0</v>
      </c>
      <c r="L20" s="162">
        <f t="shared" si="3"/>
        <v>0</v>
      </c>
      <c r="M20" s="162">
        <f t="shared" si="4"/>
        <v>0</v>
      </c>
    </row>
    <row r="21" spans="1:13" ht="12.75">
      <c r="A21" s="2" t="s">
        <v>126</v>
      </c>
      <c r="B21" s="3">
        <v>2</v>
      </c>
      <c r="C21" s="3">
        <v>10</v>
      </c>
      <c r="D21" s="18">
        <f>VLOOKUP($A21,ConstEquipEmissFactors!$A$7:$N$23,10,FALSE)</f>
        <v>0.6919</v>
      </c>
      <c r="E21" s="18">
        <f>VLOOKUP($A21,ConstEquipEmissFactors!$A$7:$N$23,11,FALSE)</f>
        <v>0.1258</v>
      </c>
      <c r="F21" s="18">
        <f>VLOOKUP($A21,ConstEquipEmissFactors!$A$7:$N$23,12,FALSE)</f>
        <v>1.1321999999999999</v>
      </c>
      <c r="G21" s="18">
        <f>VLOOKUP($A21,ConstEquipEmissFactors!$A$7:$N$23,13,FALSE)</f>
        <v>0.1258</v>
      </c>
      <c r="H21" s="18">
        <f>VLOOKUP($A21,ConstEquipEmissFactors!$A$7:$N$23,14,FALSE)</f>
        <v>0.0629</v>
      </c>
      <c r="I21" s="162">
        <f>D21*$C21*$B21</f>
        <v>13.838</v>
      </c>
      <c r="J21" s="162">
        <f>E21*$C21*$B21</f>
        <v>2.516</v>
      </c>
      <c r="K21" s="162">
        <f>F21*$C21*$B21</f>
        <v>22.644</v>
      </c>
      <c r="L21" s="162">
        <f>G21*$C21*$B21</f>
        <v>2.516</v>
      </c>
      <c r="M21" s="162">
        <f>H21*$C21*$B21</f>
        <v>1.258</v>
      </c>
    </row>
    <row r="22" spans="1:13" ht="12.75">
      <c r="A22" s="2" t="s">
        <v>46</v>
      </c>
      <c r="B22" s="3">
        <v>4</v>
      </c>
      <c r="C22" s="3">
        <v>10</v>
      </c>
      <c r="D22" s="18">
        <f>VLOOKUP($A22,ConstEquipEmissFactors!$A$7:$N$23,10,FALSE)</f>
        <v>0.11725999999999999</v>
      </c>
      <c r="E22" s="18">
        <f>VLOOKUP($A22,ConstEquipEmissFactors!$A$7:$N$23,11,FALSE)</f>
        <v>0.021320000000000002</v>
      </c>
      <c r="F22" s="18">
        <f>VLOOKUP($A22,ConstEquipEmissFactors!$A$7:$N$23,12,FALSE)</f>
        <v>0.19187999999999997</v>
      </c>
      <c r="G22" s="18">
        <f>VLOOKUP($A22,ConstEquipEmissFactors!$A$7:$N$23,13,FALSE)</f>
        <v>0.021320000000000002</v>
      </c>
      <c r="H22" s="18">
        <f>VLOOKUP($A22,ConstEquipEmissFactors!$A$7:$N$23,14,FALSE)</f>
        <v>0.010660000000000001</v>
      </c>
      <c r="I22" s="162">
        <f t="shared" si="0"/>
        <v>4.6903999999999995</v>
      </c>
      <c r="J22" s="162">
        <f t="shared" si="1"/>
        <v>0.8528000000000001</v>
      </c>
      <c r="K22" s="162">
        <f t="shared" si="2"/>
        <v>7.6751999999999985</v>
      </c>
      <c r="L22" s="162">
        <f t="shared" si="3"/>
        <v>0.8528000000000001</v>
      </c>
      <c r="M22" s="162">
        <f t="shared" si="4"/>
        <v>0.42640000000000006</v>
      </c>
    </row>
    <row r="23" spans="1:13" ht="12.75">
      <c r="A23" s="2" t="s">
        <v>38</v>
      </c>
      <c r="B23" s="3">
        <v>1</v>
      </c>
      <c r="C23" s="3">
        <v>10</v>
      </c>
      <c r="D23" s="18">
        <f>VLOOKUP($A23,ConstEquipEmissFactors!$A$7:$N$23,10,FALSE)</f>
        <v>0.820625</v>
      </c>
      <c r="E23" s="18">
        <f>VLOOKUP($A23,ConstEquipEmissFactors!$A$7:$N$23,11,FALSE)</f>
        <v>0.18937500000000002</v>
      </c>
      <c r="F23" s="18">
        <f>VLOOKUP($A23,ConstEquipEmissFactors!$A$7:$N$23,12,FALSE)</f>
        <v>1.956875</v>
      </c>
      <c r="G23" s="18">
        <f>VLOOKUP($A23,ConstEquipEmissFactors!$A$7:$N$23,13,FALSE)</f>
        <v>0.12625</v>
      </c>
      <c r="H23" s="18">
        <f>VLOOKUP($A23,ConstEquipEmissFactors!$A$7:$N$23,14,FALSE)</f>
        <v>0.09468750000000001</v>
      </c>
      <c r="I23" s="162">
        <f t="shared" si="0"/>
        <v>8.20625</v>
      </c>
      <c r="J23" s="162">
        <f t="shared" si="1"/>
        <v>1.8937500000000003</v>
      </c>
      <c r="K23" s="162">
        <f t="shared" si="2"/>
        <v>19.568749999999998</v>
      </c>
      <c r="L23" s="162">
        <f t="shared" si="3"/>
        <v>1.2625</v>
      </c>
      <c r="M23" s="162">
        <f t="shared" si="4"/>
        <v>0.9468750000000001</v>
      </c>
    </row>
    <row r="24" spans="1:13" ht="12.75" customHeight="1">
      <c r="A24" s="2" t="s">
        <v>47</v>
      </c>
      <c r="B24" s="3">
        <v>5</v>
      </c>
      <c r="C24" s="3">
        <v>10</v>
      </c>
      <c r="D24" s="18">
        <f>VLOOKUP($A24,ConstEquipEmissFactors!$A$7:$N$23,10,FALSE)</f>
        <v>0.24254999999999996</v>
      </c>
      <c r="E24" s="18">
        <f>VLOOKUP($A24,ConstEquipEmissFactors!$A$7:$N$23,11,FALSE)</f>
        <v>0.0441</v>
      </c>
      <c r="F24" s="18">
        <f>VLOOKUP($A24,ConstEquipEmissFactors!$A$7:$N$23,12,FALSE)</f>
        <v>0.3969</v>
      </c>
      <c r="G24" s="18">
        <f>VLOOKUP($A24,ConstEquipEmissFactors!$A$7:$N$23,13,FALSE)</f>
        <v>0.0441</v>
      </c>
      <c r="H24" s="18">
        <f>VLOOKUP($A24,ConstEquipEmissFactors!$A$7:$N$23,14,FALSE)</f>
        <v>0.02205</v>
      </c>
      <c r="I24" s="162">
        <f t="shared" si="0"/>
        <v>12.127499999999998</v>
      </c>
      <c r="J24" s="162">
        <f t="shared" si="1"/>
        <v>2.205</v>
      </c>
      <c r="K24" s="162">
        <f t="shared" si="2"/>
        <v>19.845</v>
      </c>
      <c r="L24" s="162">
        <f t="shared" si="3"/>
        <v>2.205</v>
      </c>
      <c r="M24" s="162">
        <f t="shared" si="4"/>
        <v>1.1025</v>
      </c>
    </row>
    <row r="25" spans="1:13" ht="13.5" thickBot="1">
      <c r="A25" s="169" t="s">
        <v>48</v>
      </c>
      <c r="B25" s="170"/>
      <c r="C25" s="171"/>
      <c r="D25" s="172"/>
      <c r="E25" s="173"/>
      <c r="F25" s="173"/>
      <c r="G25" s="173"/>
      <c r="H25" s="174"/>
      <c r="I25" s="175">
        <f>SUM(I8:I24)</f>
        <v>73.85565</v>
      </c>
      <c r="J25" s="176">
        <f>SUM(J8:J24)</f>
        <v>18.50005</v>
      </c>
      <c r="K25" s="177">
        <f>SUM(K8:K24)</f>
        <v>158.10745</v>
      </c>
      <c r="L25" s="176">
        <f>SUM(L8:L24)</f>
        <v>14.1913</v>
      </c>
      <c r="M25" s="178">
        <f>SUM(M8:M24)</f>
        <v>9.250025</v>
      </c>
    </row>
    <row r="26" spans="9:13" ht="12.75">
      <c r="I26" s="7"/>
      <c r="J26" s="7"/>
      <c r="K26" s="7"/>
      <c r="L26" s="7"/>
      <c r="M26" s="7"/>
    </row>
    <row r="27" spans="1:13" ht="12.75">
      <c r="A27" s="221" t="s">
        <v>141</v>
      </c>
      <c r="B27" s="217"/>
      <c r="C27" s="217"/>
      <c r="D27" s="217"/>
      <c r="E27" s="217"/>
      <c r="F27" s="217"/>
      <c r="G27" s="217"/>
      <c r="H27" s="217"/>
      <c r="I27" s="217"/>
      <c r="M27" s="10"/>
    </row>
    <row r="28" ht="12.75">
      <c r="A28" s="1"/>
    </row>
    <row r="29" ht="12.75">
      <c r="A29" s="93" t="s">
        <v>109</v>
      </c>
    </row>
    <row r="30" ht="12.75">
      <c r="A30" s="93" t="s">
        <v>110</v>
      </c>
    </row>
    <row r="40" spans="1:13" ht="12.75">
      <c r="A40" s="210"/>
      <c r="B40" s="44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</row>
  </sheetData>
  <sheetProtection/>
  <mergeCells count="6">
    <mergeCell ref="A2:M2"/>
    <mergeCell ref="A3:M3"/>
    <mergeCell ref="A27:I27"/>
    <mergeCell ref="I6:M6"/>
    <mergeCell ref="A4:M4"/>
    <mergeCell ref="A6:A7"/>
  </mergeCells>
  <conditionalFormatting sqref="L26:M26 I26">
    <cfRule type="cellIs" priority="1" dxfId="0" operator="greaterThanOrEqual" stopIfTrue="1">
      <formula>#REF!</formula>
    </cfRule>
  </conditionalFormatting>
  <conditionalFormatting sqref="K26">
    <cfRule type="cellIs" priority="2" dxfId="0" operator="greaterThanOrEqual" stopIfTrue="1">
      <formula>#REF!</formula>
    </cfRule>
  </conditionalFormatting>
  <conditionalFormatting sqref="J26">
    <cfRule type="cellIs" priority="3" dxfId="0" operator="greaterThanOrEqual" stopIfTrue="1">
      <formula>#REF!</formula>
    </cfRule>
  </conditionalFormatting>
  <printOptions horizontalCentered="1"/>
  <pageMargins left="0.25" right="0.25" top="1.25" bottom="0.5" header="1" footer="0.5"/>
  <pageSetup fitToHeight="1" fitToWidth="1" horizontalDpi="300" verticalDpi="300" orientation="landscape" scale="94" r:id="rId1"/>
  <headerFooter alignWithMargins="0">
    <oddHeader>&amp;C&amp;"Arial,Bold"&amp;12
&amp;RExxonMobil Rule 1105.1 Compliance Project</oddHeader>
    <oddFooter>&amp;LFinal EIR&amp;CC-3&amp;RMarch 2007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M40"/>
  <sheetViews>
    <sheetView view="pageBreakPreview" zoomScale="60" zoomScalePageLayoutView="0" workbookViewId="0" topLeftCell="A1">
      <selection activeCell="A2" sqref="A2:IV4"/>
    </sheetView>
  </sheetViews>
  <sheetFormatPr defaultColWidth="9.140625" defaultRowHeight="12.75"/>
  <cols>
    <col min="1" max="1" width="32.140625" style="0" customWidth="1"/>
    <col min="2" max="2" width="9.7109375" style="15" customWidth="1"/>
    <col min="6" max="6" width="9.00390625" style="0" customWidth="1"/>
  </cols>
  <sheetData>
    <row r="1" spans="1:13" ht="12.75">
      <c r="A1" s="210"/>
      <c r="B1" s="44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">
      <c r="A2" s="216" t="s">
        <v>174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5">
      <c r="A3" s="216" t="s">
        <v>172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ht="15">
      <c r="A4" s="216" t="s">
        <v>55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ht="13.5" thickBot="1"/>
    <row r="6" spans="1:13" ht="15">
      <c r="A6" s="214" t="s">
        <v>13</v>
      </c>
      <c r="B6" s="42"/>
      <c r="C6" s="45" t="s">
        <v>14</v>
      </c>
      <c r="D6" s="36"/>
      <c r="E6" s="23" t="s">
        <v>107</v>
      </c>
      <c r="F6" s="23"/>
      <c r="G6" s="110"/>
      <c r="H6" s="111"/>
      <c r="I6" s="218" t="s">
        <v>108</v>
      </c>
      <c r="J6" s="219"/>
      <c r="K6" s="219"/>
      <c r="L6" s="219"/>
      <c r="M6" s="220"/>
    </row>
    <row r="7" spans="1:13" ht="13.5" thickBot="1">
      <c r="A7" s="215"/>
      <c r="B7" s="112" t="s">
        <v>106</v>
      </c>
      <c r="C7" s="46" t="s">
        <v>15</v>
      </c>
      <c r="D7" s="25" t="s">
        <v>0</v>
      </c>
      <c r="E7" s="11" t="s">
        <v>1</v>
      </c>
      <c r="F7" s="11" t="s">
        <v>2</v>
      </c>
      <c r="G7" s="11" t="s">
        <v>4</v>
      </c>
      <c r="H7" s="30" t="s">
        <v>3</v>
      </c>
      <c r="I7" s="25" t="s">
        <v>0</v>
      </c>
      <c r="J7" s="11" t="s">
        <v>1</v>
      </c>
      <c r="K7" s="11" t="s">
        <v>2</v>
      </c>
      <c r="L7" s="11" t="s">
        <v>4</v>
      </c>
      <c r="M7" s="24" t="s">
        <v>3</v>
      </c>
    </row>
    <row r="8" spans="1:13" ht="13.5" thickTop="1">
      <c r="A8" s="40" t="s">
        <v>16</v>
      </c>
      <c r="B8" s="43">
        <v>0</v>
      </c>
      <c r="C8" s="47">
        <v>0</v>
      </c>
      <c r="D8" s="28">
        <f>VLOOKUP($A8,ConstEquipEmissFactors!$A$7:$N$23,10,FALSE)</f>
        <v>0.5231250000000001</v>
      </c>
      <c r="E8" s="19">
        <f>VLOOKUP($A8,ConstEquipEmissFactors!$A$7:$N$23,11,FALSE)</f>
        <v>0.10462500000000001</v>
      </c>
      <c r="F8" s="19">
        <f>VLOOKUP($A8,ConstEquipEmissFactors!$A$7:$N$23,12,FALSE)</f>
        <v>0.76725</v>
      </c>
      <c r="G8" s="19">
        <f>VLOOKUP($A8,ConstEquipEmissFactors!$A$7:$N$23,13,FALSE)</f>
        <v>0.06975</v>
      </c>
      <c r="H8" s="29">
        <f>VLOOKUP($A8,ConstEquipEmissFactors!$A$7:$N$23,14,FALSE)</f>
        <v>0.034875</v>
      </c>
      <c r="I8" s="133">
        <f aca="true" t="shared" si="0" ref="I8:I24">D8*$C8*$B8</f>
        <v>0</v>
      </c>
      <c r="J8" s="134">
        <f aca="true" t="shared" si="1" ref="J8:J24">E8*$C8*$B8</f>
        <v>0</v>
      </c>
      <c r="K8" s="134">
        <f aca="true" t="shared" si="2" ref="K8:K24">F8*$C8*$B8</f>
        <v>0</v>
      </c>
      <c r="L8" s="134">
        <f aca="true" t="shared" si="3" ref="L8:L24">G8*$C8*$B8</f>
        <v>0</v>
      </c>
      <c r="M8" s="135">
        <f aca="true" t="shared" si="4" ref="M8:M24">H8*$C8*$B8</f>
        <v>0</v>
      </c>
    </row>
    <row r="9" spans="1:13" ht="12.75">
      <c r="A9" s="40" t="s">
        <v>36</v>
      </c>
      <c r="B9" s="43">
        <v>0</v>
      </c>
      <c r="C9" s="47">
        <v>0</v>
      </c>
      <c r="D9" s="28">
        <f>VLOOKUP($A9,ConstEquipEmissFactors!$A$7:$N$23,10,FALSE)</f>
        <v>0.25871999999999995</v>
      </c>
      <c r="E9" s="19">
        <f>VLOOKUP($A9,ConstEquipEmissFactors!$A$7:$N$23,11,FALSE)</f>
        <v>0.04704</v>
      </c>
      <c r="F9" s="19">
        <f>VLOOKUP($A9,ConstEquipEmissFactors!$A$7:$N$23,12,FALSE)</f>
        <v>0.42335999999999996</v>
      </c>
      <c r="G9" s="19">
        <f>VLOOKUP($A9,ConstEquipEmissFactors!$A$7:$N$23,13,FALSE)</f>
        <v>0.04704</v>
      </c>
      <c r="H9" s="29">
        <f>VLOOKUP($A9,ConstEquipEmissFactors!$A$7:$N$23,14,FALSE)</f>
        <v>0.02352</v>
      </c>
      <c r="I9" s="133">
        <f t="shared" si="0"/>
        <v>0</v>
      </c>
      <c r="J9" s="134">
        <f t="shared" si="1"/>
        <v>0</v>
      </c>
      <c r="K9" s="134">
        <f t="shared" si="2"/>
        <v>0</v>
      </c>
      <c r="L9" s="134">
        <f t="shared" si="3"/>
        <v>0</v>
      </c>
      <c r="M9" s="135">
        <f t="shared" si="4"/>
        <v>0</v>
      </c>
    </row>
    <row r="10" spans="1:13" ht="12.75">
      <c r="A10" s="40" t="s">
        <v>35</v>
      </c>
      <c r="B10" s="43">
        <v>0</v>
      </c>
      <c r="C10" s="47">
        <v>0</v>
      </c>
      <c r="D10" s="28">
        <f>VLOOKUP($A10,ConstEquipEmissFactors!$A$7:$N$23,10,FALSE)</f>
        <v>0.9690000000000001</v>
      </c>
      <c r="E10" s="19">
        <f>VLOOKUP($A10,ConstEquipEmissFactors!$A$7:$N$23,11,FALSE)</f>
        <v>0.323</v>
      </c>
      <c r="F10" s="19">
        <f>VLOOKUP($A10,ConstEquipEmissFactors!$A$7:$N$23,12,FALSE)</f>
        <v>3.3915</v>
      </c>
      <c r="G10" s="19">
        <f>VLOOKUP($A10,ConstEquipEmissFactors!$A$7:$N$23,13,FALSE)</f>
        <v>0.323</v>
      </c>
      <c r="H10" s="29">
        <f>VLOOKUP($A10,ConstEquipEmissFactors!$A$7:$N$23,14,FALSE)</f>
        <v>0.24225000000000002</v>
      </c>
      <c r="I10" s="133">
        <f t="shared" si="0"/>
        <v>0</v>
      </c>
      <c r="J10" s="134">
        <f t="shared" si="1"/>
        <v>0</v>
      </c>
      <c r="K10" s="134">
        <f t="shared" si="2"/>
        <v>0</v>
      </c>
      <c r="L10" s="134">
        <f t="shared" si="3"/>
        <v>0</v>
      </c>
      <c r="M10" s="135">
        <f t="shared" si="4"/>
        <v>0</v>
      </c>
    </row>
    <row r="11" spans="1:13" ht="12.75">
      <c r="A11" s="40" t="s">
        <v>37</v>
      </c>
      <c r="B11" s="43">
        <v>0</v>
      </c>
      <c r="C11" s="47">
        <v>0</v>
      </c>
      <c r="D11" s="28">
        <f>VLOOKUP($A11,ConstEquipEmissFactors!$A$7:$N$23,10,FALSE)</f>
        <v>0.1898</v>
      </c>
      <c r="E11" s="19">
        <f>VLOOKUP($A11,ConstEquipEmissFactors!$A$7:$N$23,11,FALSE)</f>
        <v>0.22776</v>
      </c>
      <c r="F11" s="19">
        <f>VLOOKUP($A11,ConstEquipEmissFactors!$A$7:$N$23,12,FALSE)</f>
        <v>0.01898</v>
      </c>
      <c r="G11" s="19">
        <f>VLOOKUP($A11,ConstEquipEmissFactors!$A$7:$N$23,13,FALSE)</f>
        <v>0.02847</v>
      </c>
      <c r="H11" s="29">
        <f>VLOOKUP($A11,ConstEquipEmissFactors!$A$7:$N$23,14,FALSE)</f>
        <v>0.00949</v>
      </c>
      <c r="I11" s="133">
        <f t="shared" si="0"/>
        <v>0</v>
      </c>
      <c r="J11" s="134">
        <f t="shared" si="1"/>
        <v>0</v>
      </c>
      <c r="K11" s="134">
        <f t="shared" si="2"/>
        <v>0</v>
      </c>
      <c r="L11" s="134">
        <f t="shared" si="3"/>
        <v>0</v>
      </c>
      <c r="M11" s="135">
        <f t="shared" si="4"/>
        <v>0</v>
      </c>
    </row>
    <row r="12" spans="1:13" ht="12.75">
      <c r="A12" s="40" t="s">
        <v>130</v>
      </c>
      <c r="B12" s="43">
        <v>1</v>
      </c>
      <c r="C12" s="47">
        <v>10</v>
      </c>
      <c r="D12" s="28">
        <f>VLOOKUP($A12,ConstEquipEmissFactors!$A$7:$N$23,10,FALSE)</f>
        <v>0.8127</v>
      </c>
      <c r="E12" s="19">
        <f>VLOOKUP($A12,ConstEquipEmissFactors!$A$7:$N$23,11,FALSE)</f>
        <v>0.2709</v>
      </c>
      <c r="F12" s="19">
        <f>VLOOKUP($A12,ConstEquipEmissFactors!$A$7:$N$23,12,FALSE)</f>
        <v>2.0769</v>
      </c>
      <c r="G12" s="19">
        <f>VLOOKUP($A12,ConstEquipEmissFactors!$A$7:$N$23,13,FALSE)</f>
        <v>0.18059999999999998</v>
      </c>
      <c r="H12" s="29">
        <f>VLOOKUP($A12,ConstEquipEmissFactors!$A$7:$N$23,14,FALSE)</f>
        <v>0.13545</v>
      </c>
      <c r="I12" s="133">
        <f t="shared" si="0"/>
        <v>8.126999999999999</v>
      </c>
      <c r="J12" s="134">
        <f t="shared" si="1"/>
        <v>2.7089999999999996</v>
      </c>
      <c r="K12" s="134">
        <f>F12*$C12*$B12</f>
        <v>20.769000000000002</v>
      </c>
      <c r="L12" s="134">
        <f t="shared" si="3"/>
        <v>1.8059999999999998</v>
      </c>
      <c r="M12" s="135">
        <f t="shared" si="4"/>
        <v>1.3544999999999998</v>
      </c>
    </row>
    <row r="13" spans="1:13" ht="12.75">
      <c r="A13" s="40" t="s">
        <v>67</v>
      </c>
      <c r="B13" s="43">
        <v>0</v>
      </c>
      <c r="C13" s="47">
        <v>0</v>
      </c>
      <c r="D13" s="28">
        <f>VLOOKUP($A13,ConstEquipEmissFactors!$A$7:$N$23,10,FALSE)</f>
        <v>0.9675</v>
      </c>
      <c r="E13" s="19">
        <f>VLOOKUP($A13,ConstEquipEmissFactors!$A$7:$N$23,11,FALSE)</f>
        <v>0.3225</v>
      </c>
      <c r="F13" s="19">
        <f>VLOOKUP($A13,ConstEquipEmissFactors!$A$7:$N$23,12,FALSE)</f>
        <v>2.4725</v>
      </c>
      <c r="G13" s="19">
        <f>VLOOKUP($A13,ConstEquipEmissFactors!$A$7:$N$23,13,FALSE)</f>
        <v>0.215</v>
      </c>
      <c r="H13" s="29">
        <f>VLOOKUP($A13,ConstEquipEmissFactors!$A$7:$N$23,14,FALSE)</f>
        <v>0.16125</v>
      </c>
      <c r="I13" s="133">
        <f t="shared" si="0"/>
        <v>0</v>
      </c>
      <c r="J13" s="134">
        <f t="shared" si="1"/>
        <v>0</v>
      </c>
      <c r="K13" s="134">
        <f t="shared" si="2"/>
        <v>0</v>
      </c>
      <c r="L13" s="134">
        <f t="shared" si="3"/>
        <v>0</v>
      </c>
      <c r="M13" s="135">
        <f t="shared" si="4"/>
        <v>0</v>
      </c>
    </row>
    <row r="14" spans="1:13" ht="12.75">
      <c r="A14" s="40" t="s">
        <v>44</v>
      </c>
      <c r="B14" s="43">
        <v>0</v>
      </c>
      <c r="C14" s="47">
        <v>0</v>
      </c>
      <c r="D14" s="28">
        <f>VLOOKUP($A14,ConstEquipEmissFactors!$A$7:$N$23,10,FALSE)</f>
        <v>1.06425</v>
      </c>
      <c r="E14" s="19">
        <f>VLOOKUP($A14,ConstEquipEmissFactors!$A$7:$N$23,11,FALSE)</f>
        <v>0.35475</v>
      </c>
      <c r="F14" s="19">
        <f>VLOOKUP($A14,ConstEquipEmissFactors!$A$7:$N$23,12,FALSE)</f>
        <v>2.71975</v>
      </c>
      <c r="G14" s="19">
        <f>VLOOKUP($A14,ConstEquipEmissFactors!$A$7:$N$23,13,FALSE)</f>
        <v>0.23650000000000002</v>
      </c>
      <c r="H14" s="29">
        <f>VLOOKUP($A14,ConstEquipEmissFactors!$A$7:$N$23,14,FALSE)</f>
        <v>0.177375</v>
      </c>
      <c r="I14" s="133">
        <f t="shared" si="0"/>
        <v>0</v>
      </c>
      <c r="J14" s="134">
        <f t="shared" si="1"/>
        <v>0</v>
      </c>
      <c r="K14" s="134">
        <f t="shared" si="2"/>
        <v>0</v>
      </c>
      <c r="L14" s="134">
        <f t="shared" si="3"/>
        <v>0</v>
      </c>
      <c r="M14" s="135">
        <f t="shared" si="4"/>
        <v>0</v>
      </c>
    </row>
    <row r="15" spans="1:13" ht="12.75">
      <c r="A15" s="40" t="s">
        <v>45</v>
      </c>
      <c r="B15" s="43">
        <v>0</v>
      </c>
      <c r="C15" s="47">
        <v>0</v>
      </c>
      <c r="D15" s="28">
        <f>VLOOKUP($A15,ConstEquipEmissFactors!$A$7:$N$23,10,FALSE)</f>
        <v>1.0062</v>
      </c>
      <c r="E15" s="19">
        <f>VLOOKUP($A15,ConstEquipEmissFactors!$A$7:$N$23,11,FALSE)</f>
        <v>0.33540000000000003</v>
      </c>
      <c r="F15" s="19">
        <f>VLOOKUP($A15,ConstEquipEmissFactors!$A$7:$N$23,12,FALSE)</f>
        <v>2.5713999999999997</v>
      </c>
      <c r="G15" s="19">
        <f>VLOOKUP($A15,ConstEquipEmissFactors!$A$7:$N$23,13,FALSE)</f>
        <v>0.2236</v>
      </c>
      <c r="H15" s="29">
        <f>VLOOKUP($A15,ConstEquipEmissFactors!$A$7:$N$23,14,FALSE)</f>
        <v>0.16770000000000002</v>
      </c>
      <c r="I15" s="133">
        <f t="shared" si="0"/>
        <v>0</v>
      </c>
      <c r="J15" s="134">
        <f t="shared" si="1"/>
        <v>0</v>
      </c>
      <c r="K15" s="134">
        <f t="shared" si="2"/>
        <v>0</v>
      </c>
      <c r="L15" s="134">
        <f t="shared" si="3"/>
        <v>0</v>
      </c>
      <c r="M15" s="135">
        <f t="shared" si="4"/>
        <v>0</v>
      </c>
    </row>
    <row r="16" spans="1:13" ht="12.75">
      <c r="A16" s="40" t="s">
        <v>68</v>
      </c>
      <c r="B16" s="43">
        <v>0</v>
      </c>
      <c r="C16" s="47">
        <v>0</v>
      </c>
      <c r="D16" s="28">
        <f>VLOOKUP($A16,ConstEquipEmissFactors!$A$7:$N$23,10,FALSE)</f>
        <v>4.5</v>
      </c>
      <c r="E16" s="19">
        <f>VLOOKUP($A16,ConstEquipEmissFactors!$A$7:$N$23,11,FALSE)</f>
        <v>0.675</v>
      </c>
      <c r="F16" s="19">
        <f>VLOOKUP($A16,ConstEquipEmissFactors!$A$7:$N$23,12,FALSE)</f>
        <v>5.4</v>
      </c>
      <c r="G16" s="19">
        <f>VLOOKUP($A16,ConstEquipEmissFactors!$A$7:$N$23,13,FALSE)</f>
        <v>0.44999999999999996</v>
      </c>
      <c r="H16" s="29">
        <f>VLOOKUP($A16,ConstEquipEmissFactors!$A$7:$N$23,14,FALSE)</f>
        <v>0.3375</v>
      </c>
      <c r="I16" s="133">
        <f t="shared" si="0"/>
        <v>0</v>
      </c>
      <c r="J16" s="134">
        <f t="shared" si="1"/>
        <v>0</v>
      </c>
      <c r="K16" s="134">
        <f t="shared" si="2"/>
        <v>0</v>
      </c>
      <c r="L16" s="134">
        <f t="shared" si="3"/>
        <v>0</v>
      </c>
      <c r="M16" s="135">
        <f t="shared" si="4"/>
        <v>0</v>
      </c>
    </row>
    <row r="17" spans="1:13" ht="12.75">
      <c r="A17" s="40" t="s">
        <v>49</v>
      </c>
      <c r="B17" s="43">
        <v>0</v>
      </c>
      <c r="C17" s="47">
        <v>0</v>
      </c>
      <c r="D17" s="26">
        <f>VLOOKUP($A17,ConstEquipEmissFactors!$A$7:$N$23,10,FALSE)</f>
        <v>0.6270000000000001</v>
      </c>
      <c r="E17" s="18">
        <f>VLOOKUP($A17,ConstEquipEmissFactors!$A$7:$N$23,11,FALSE)</f>
        <v>0.20900000000000002</v>
      </c>
      <c r="F17" s="18">
        <f>VLOOKUP($A17,ConstEquipEmissFactors!$A$7:$N$23,12,FALSE)</f>
        <v>2.1945</v>
      </c>
      <c r="G17" s="18">
        <f>VLOOKUP($A17,ConstEquipEmissFactors!$A$7:$N$23,13,FALSE)</f>
        <v>0.20900000000000002</v>
      </c>
      <c r="H17" s="27">
        <f>VLOOKUP($A17,ConstEquipEmissFactors!$A$7:$N$23,14,FALSE)</f>
        <v>0.15675000000000003</v>
      </c>
      <c r="I17" s="133">
        <f t="shared" si="0"/>
        <v>0</v>
      </c>
      <c r="J17" s="134">
        <f t="shared" si="1"/>
        <v>0</v>
      </c>
      <c r="K17" s="134">
        <f t="shared" si="2"/>
        <v>0</v>
      </c>
      <c r="L17" s="134">
        <f t="shared" si="3"/>
        <v>0</v>
      </c>
      <c r="M17" s="135">
        <f t="shared" si="4"/>
        <v>0</v>
      </c>
    </row>
    <row r="18" spans="1:13" ht="12.75">
      <c r="A18" s="40" t="s">
        <v>32</v>
      </c>
      <c r="B18" s="43">
        <v>0</v>
      </c>
      <c r="C18" s="47">
        <v>0</v>
      </c>
      <c r="D18" s="26">
        <f>VLOOKUP($A18,ConstEquipEmissFactors!$A$7:$N$23,10,FALSE)</f>
        <v>1.595</v>
      </c>
      <c r="E18" s="18">
        <f>VLOOKUP($A18,ConstEquipEmissFactors!$A$7:$N$23,11,FALSE)</f>
        <v>0.145</v>
      </c>
      <c r="F18" s="18">
        <f>VLOOKUP($A18,ConstEquipEmissFactors!$A$7:$N$23,12,FALSE)</f>
        <v>3.4799999999999995</v>
      </c>
      <c r="G18" s="18">
        <f>VLOOKUP($A18,ConstEquipEmissFactors!$A$7:$N$23,13,FALSE)</f>
        <v>0.29</v>
      </c>
      <c r="H18" s="27">
        <f>VLOOKUP($A18,ConstEquipEmissFactors!$A$7:$N$23,14,FALSE)</f>
        <v>0.21749999999999997</v>
      </c>
      <c r="I18" s="133">
        <f t="shared" si="0"/>
        <v>0</v>
      </c>
      <c r="J18" s="134">
        <f t="shared" si="1"/>
        <v>0</v>
      </c>
      <c r="K18" s="134">
        <f t="shared" si="2"/>
        <v>0</v>
      </c>
      <c r="L18" s="134">
        <f t="shared" si="3"/>
        <v>0</v>
      </c>
      <c r="M18" s="135">
        <f t="shared" si="4"/>
        <v>0</v>
      </c>
    </row>
    <row r="19" spans="1:13" ht="12.75">
      <c r="A19" s="40" t="s">
        <v>39</v>
      </c>
      <c r="B19" s="43">
        <v>2</v>
      </c>
      <c r="C19" s="47">
        <v>10</v>
      </c>
      <c r="D19" s="26">
        <f>VLOOKUP($A19,ConstEquipEmissFactors!$A$7:$N$23,10,FALSE)</f>
        <v>0.3081</v>
      </c>
      <c r="E19" s="18">
        <f>VLOOKUP($A19,ConstEquipEmissFactors!$A$7:$N$23,11,FALSE)</f>
        <v>0.0711</v>
      </c>
      <c r="F19" s="18">
        <f>VLOOKUP($A19,ConstEquipEmissFactors!$A$7:$N$23,12,FALSE)</f>
        <v>0.7346999999999999</v>
      </c>
      <c r="G19" s="18">
        <f>VLOOKUP($A19,ConstEquipEmissFactors!$A$7:$N$23,13,FALSE)</f>
        <v>0.0474</v>
      </c>
      <c r="H19" s="27">
        <f>VLOOKUP($A19,ConstEquipEmissFactors!$A$7:$N$23,14,FALSE)</f>
        <v>0.03555</v>
      </c>
      <c r="I19" s="133">
        <f t="shared" si="0"/>
        <v>6.162</v>
      </c>
      <c r="J19" s="134">
        <f t="shared" si="1"/>
        <v>1.422</v>
      </c>
      <c r="K19" s="134">
        <f t="shared" si="2"/>
        <v>14.693999999999999</v>
      </c>
      <c r="L19" s="134">
        <f t="shared" si="3"/>
        <v>0.948</v>
      </c>
      <c r="M19" s="135">
        <f t="shared" si="4"/>
        <v>0.711</v>
      </c>
    </row>
    <row r="20" spans="1:13" ht="12.75">
      <c r="A20" s="40" t="s">
        <v>17</v>
      </c>
      <c r="B20" s="43">
        <v>0</v>
      </c>
      <c r="C20" s="47">
        <v>0</v>
      </c>
      <c r="D20" s="26">
        <f>VLOOKUP($A20,ConstEquipEmissFactors!$A$7:$N$23,10,FALSE)</f>
        <v>1.46475</v>
      </c>
      <c r="E20" s="18">
        <f>VLOOKUP($A20,ConstEquipEmissFactors!$A$7:$N$23,11,FALSE)</f>
        <v>0.29295000000000004</v>
      </c>
      <c r="F20" s="18">
        <f>VLOOKUP($A20,ConstEquipEmissFactors!$A$7:$N$23,12,FALSE)</f>
        <v>2.1483000000000003</v>
      </c>
      <c r="G20" s="18">
        <f>VLOOKUP($A20,ConstEquipEmissFactors!$A$7:$N$23,13,FALSE)</f>
        <v>0.1953</v>
      </c>
      <c r="H20" s="27">
        <f>VLOOKUP($A20,ConstEquipEmissFactors!$A$7:$N$23,14,FALSE)</f>
        <v>0.09765</v>
      </c>
      <c r="I20" s="133">
        <f t="shared" si="0"/>
        <v>0</v>
      </c>
      <c r="J20" s="134">
        <f t="shared" si="1"/>
        <v>0</v>
      </c>
      <c r="K20" s="134">
        <f t="shared" si="2"/>
        <v>0</v>
      </c>
      <c r="L20" s="134">
        <f t="shared" si="3"/>
        <v>0</v>
      </c>
      <c r="M20" s="135">
        <f t="shared" si="4"/>
        <v>0</v>
      </c>
    </row>
    <row r="21" spans="1:13" ht="12.75">
      <c r="A21" s="41" t="s">
        <v>126</v>
      </c>
      <c r="B21" s="43">
        <v>0</v>
      </c>
      <c r="C21" s="47">
        <v>0</v>
      </c>
      <c r="D21" s="26">
        <f>VLOOKUP($A21,ConstEquipEmissFactors!$A$7:$N$23,10,FALSE)</f>
        <v>0.6919</v>
      </c>
      <c r="E21" s="18">
        <f>VLOOKUP($A21,ConstEquipEmissFactors!$A$7:$N$23,11,FALSE)</f>
        <v>0.1258</v>
      </c>
      <c r="F21" s="18">
        <f>VLOOKUP($A21,ConstEquipEmissFactors!$A$7:$N$23,12,FALSE)</f>
        <v>1.1321999999999999</v>
      </c>
      <c r="G21" s="18">
        <f>VLOOKUP($A21,ConstEquipEmissFactors!$A$7:$N$23,13,FALSE)</f>
        <v>0.1258</v>
      </c>
      <c r="H21" s="27">
        <f>VLOOKUP($A21,ConstEquipEmissFactors!$A$7:$N$23,14,FALSE)</f>
        <v>0.0629</v>
      </c>
      <c r="I21" s="133">
        <f>D21*$C21*$B21</f>
        <v>0</v>
      </c>
      <c r="J21" s="134">
        <f>E21*$C21*$B21</f>
        <v>0</v>
      </c>
      <c r="K21" s="134">
        <f>F21*$C21*$B21</f>
        <v>0</v>
      </c>
      <c r="L21" s="134">
        <f>G21*$C21*$B21</f>
        <v>0</v>
      </c>
      <c r="M21" s="135">
        <f>H21*$C21*$B21</f>
        <v>0</v>
      </c>
    </row>
    <row r="22" spans="1:13" ht="12.75">
      <c r="A22" s="41" t="s">
        <v>46</v>
      </c>
      <c r="B22" s="43">
        <v>2</v>
      </c>
      <c r="C22" s="47">
        <v>10</v>
      </c>
      <c r="D22" s="26">
        <f>VLOOKUP($A22,ConstEquipEmissFactors!$A$7:$N$23,10,FALSE)</f>
        <v>0.11725999999999999</v>
      </c>
      <c r="E22" s="18">
        <f>VLOOKUP($A22,ConstEquipEmissFactors!$A$7:$N$23,11,FALSE)</f>
        <v>0.021320000000000002</v>
      </c>
      <c r="F22" s="18">
        <f>VLOOKUP($A22,ConstEquipEmissFactors!$A$7:$N$23,12,FALSE)</f>
        <v>0.19187999999999997</v>
      </c>
      <c r="G22" s="18">
        <f>VLOOKUP($A22,ConstEquipEmissFactors!$A$7:$N$23,13,FALSE)</f>
        <v>0.021320000000000002</v>
      </c>
      <c r="H22" s="27">
        <f>VLOOKUP($A22,ConstEquipEmissFactors!$A$7:$N$23,14,FALSE)</f>
        <v>0.010660000000000001</v>
      </c>
      <c r="I22" s="133">
        <f t="shared" si="0"/>
        <v>2.3451999999999997</v>
      </c>
      <c r="J22" s="134">
        <f t="shared" si="1"/>
        <v>0.42640000000000006</v>
      </c>
      <c r="K22" s="134">
        <f t="shared" si="2"/>
        <v>3.8375999999999992</v>
      </c>
      <c r="L22" s="134">
        <f t="shared" si="3"/>
        <v>0.42640000000000006</v>
      </c>
      <c r="M22" s="135">
        <f t="shared" si="4"/>
        <v>0.21320000000000003</v>
      </c>
    </row>
    <row r="23" spans="1:13" ht="12.75">
      <c r="A23" s="41" t="s">
        <v>38</v>
      </c>
      <c r="B23" s="43">
        <v>1</v>
      </c>
      <c r="C23" s="47">
        <v>10</v>
      </c>
      <c r="D23" s="39">
        <f>VLOOKUP($A23,ConstEquipEmissFactors!$A$7:$N$23,10,FALSE)</f>
        <v>0.820625</v>
      </c>
      <c r="E23" s="37">
        <f>VLOOKUP($A23,ConstEquipEmissFactors!$A$7:$N$23,11,FALSE)</f>
        <v>0.18937500000000002</v>
      </c>
      <c r="F23" s="37">
        <f>VLOOKUP($A23,ConstEquipEmissFactors!$A$7:$N$23,12,FALSE)</f>
        <v>1.956875</v>
      </c>
      <c r="G23" s="37">
        <f>VLOOKUP($A23,ConstEquipEmissFactors!$A$7:$N$23,13,FALSE)</f>
        <v>0.12625</v>
      </c>
      <c r="H23" s="38">
        <f>VLOOKUP($A23,ConstEquipEmissFactors!$A$7:$N$23,14,FALSE)</f>
        <v>0.09468750000000001</v>
      </c>
      <c r="I23" s="133">
        <f t="shared" si="0"/>
        <v>8.20625</v>
      </c>
      <c r="J23" s="134">
        <f t="shared" si="1"/>
        <v>1.8937500000000003</v>
      </c>
      <c r="K23" s="134">
        <f t="shared" si="2"/>
        <v>19.568749999999998</v>
      </c>
      <c r="L23" s="134">
        <f t="shared" si="3"/>
        <v>1.2625</v>
      </c>
      <c r="M23" s="135">
        <f t="shared" si="4"/>
        <v>0.9468750000000001</v>
      </c>
    </row>
    <row r="24" spans="1:13" ht="12.75" customHeight="1" thickBot="1">
      <c r="A24" s="41" t="s">
        <v>47</v>
      </c>
      <c r="B24" s="44">
        <v>1</v>
      </c>
      <c r="C24" s="48">
        <v>10</v>
      </c>
      <c r="D24" s="39">
        <f>VLOOKUP($A24,ConstEquipEmissFactors!$A$7:$N$23,10,FALSE)</f>
        <v>0.24254999999999996</v>
      </c>
      <c r="E24" s="37">
        <f>VLOOKUP($A24,ConstEquipEmissFactors!$A$7:$N$23,11,FALSE)</f>
        <v>0.0441</v>
      </c>
      <c r="F24" s="37">
        <f>VLOOKUP($A24,ConstEquipEmissFactors!$A$7:$N$23,12,FALSE)</f>
        <v>0.3969</v>
      </c>
      <c r="G24" s="37">
        <f>VLOOKUP($A24,ConstEquipEmissFactors!$A$7:$N$23,13,FALSE)</f>
        <v>0.0441</v>
      </c>
      <c r="H24" s="38">
        <f>VLOOKUP($A24,ConstEquipEmissFactors!$A$7:$N$23,14,FALSE)</f>
        <v>0.02205</v>
      </c>
      <c r="I24" s="136">
        <f t="shared" si="0"/>
        <v>2.4254999999999995</v>
      </c>
      <c r="J24" s="137">
        <f t="shared" si="1"/>
        <v>0.441</v>
      </c>
      <c r="K24" s="137">
        <f t="shared" si="2"/>
        <v>3.969</v>
      </c>
      <c r="L24" s="137">
        <f t="shared" si="3"/>
        <v>0.441</v>
      </c>
      <c r="M24" s="138">
        <f t="shared" si="4"/>
        <v>0.2205</v>
      </c>
    </row>
    <row r="25" spans="1:13" ht="13.5" thickBot="1">
      <c r="A25" s="127" t="s">
        <v>48</v>
      </c>
      <c r="B25" s="128"/>
      <c r="C25" s="129"/>
      <c r="D25" s="130"/>
      <c r="E25" s="131"/>
      <c r="F25" s="131"/>
      <c r="G25" s="131"/>
      <c r="H25" s="132"/>
      <c r="I25" s="139">
        <f>SUM(I8:I24)</f>
        <v>27.265949999999997</v>
      </c>
      <c r="J25" s="140">
        <f>SUM(J8:J24)</f>
        <v>6.89215</v>
      </c>
      <c r="K25" s="141">
        <f>SUM(K8:K24)</f>
        <v>62.83835</v>
      </c>
      <c r="L25" s="140">
        <f>SUM(L8:L24)</f>
        <v>4.8839</v>
      </c>
      <c r="M25" s="142">
        <f>SUM(M8:M24)</f>
        <v>3.446075</v>
      </c>
    </row>
    <row r="26" spans="9:13" ht="12.75">
      <c r="I26" s="7"/>
      <c r="J26" s="7"/>
      <c r="K26" s="7"/>
      <c r="L26" s="7"/>
      <c r="M26" s="7"/>
    </row>
    <row r="27" spans="1:13" ht="12.75">
      <c r="A27" s="221" t="s">
        <v>140</v>
      </c>
      <c r="B27" s="217"/>
      <c r="C27" s="217"/>
      <c r="D27" s="217"/>
      <c r="E27" s="217"/>
      <c r="F27" s="217"/>
      <c r="G27" s="217"/>
      <c r="H27" s="217"/>
      <c r="I27" s="217"/>
      <c r="J27" s="217"/>
      <c r="M27" s="10"/>
    </row>
    <row r="28" ht="12.75">
      <c r="A28" s="1"/>
    </row>
    <row r="29" ht="12.75">
      <c r="A29" s="93" t="s">
        <v>109</v>
      </c>
    </row>
    <row r="30" ht="12.75">
      <c r="A30" s="93" t="s">
        <v>110</v>
      </c>
    </row>
    <row r="40" spans="1:13" ht="12.75">
      <c r="A40" s="210"/>
      <c r="B40" s="44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</row>
  </sheetData>
  <sheetProtection/>
  <mergeCells count="6">
    <mergeCell ref="A2:M2"/>
    <mergeCell ref="A3:M3"/>
    <mergeCell ref="A27:J27"/>
    <mergeCell ref="I6:M6"/>
    <mergeCell ref="A4:M4"/>
    <mergeCell ref="A6:A7"/>
  </mergeCells>
  <conditionalFormatting sqref="L26:M26 I26">
    <cfRule type="cellIs" priority="1" dxfId="0" operator="greaterThanOrEqual" stopIfTrue="1">
      <formula>#REF!</formula>
    </cfRule>
  </conditionalFormatting>
  <conditionalFormatting sqref="K26">
    <cfRule type="cellIs" priority="2" dxfId="0" operator="greaterThanOrEqual" stopIfTrue="1">
      <formula>#REF!</formula>
    </cfRule>
  </conditionalFormatting>
  <conditionalFormatting sqref="J26">
    <cfRule type="cellIs" priority="3" dxfId="0" operator="greaterThanOrEqual" stopIfTrue="1">
      <formula>#REF!</formula>
    </cfRule>
  </conditionalFormatting>
  <printOptions horizontalCentered="1"/>
  <pageMargins left="0.25" right="0.25" top="1.25" bottom="0.5" header="1" footer="0.5"/>
  <pageSetup fitToHeight="1" fitToWidth="1" horizontalDpi="300" verticalDpi="300" orientation="landscape" scale="96" r:id="rId1"/>
  <headerFooter alignWithMargins="0">
    <oddHeader>&amp;C&amp;"Arial,Bold"&amp;12
&amp;RExxonMobil Rule 1105.1 Compliance Project</oddHeader>
    <oddFooter>&amp;LFinal EIR&amp;CC-4&amp;RMarch 2007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40"/>
  <sheetViews>
    <sheetView view="pageBreakPreview" zoomScale="60" zoomScalePageLayoutView="0" workbookViewId="0" topLeftCell="A1">
      <selection activeCell="E44" sqref="E44"/>
    </sheetView>
  </sheetViews>
  <sheetFormatPr defaultColWidth="9.140625" defaultRowHeight="12.75"/>
  <cols>
    <col min="1" max="1" width="36.7109375" style="0" customWidth="1"/>
    <col min="2" max="2" width="9.7109375" style="15" customWidth="1"/>
    <col min="6" max="6" width="9.00390625" style="0" customWidth="1"/>
  </cols>
  <sheetData>
    <row r="1" spans="1:13" ht="12.75">
      <c r="A1" s="210"/>
      <c r="B1" s="44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">
      <c r="A2" s="216" t="s">
        <v>175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5">
      <c r="A3" s="216" t="s">
        <v>172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ht="15">
      <c r="A4" s="216" t="s">
        <v>134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ht="13.5" thickBot="1"/>
    <row r="6" spans="1:13" ht="15">
      <c r="A6" s="214" t="s">
        <v>13</v>
      </c>
      <c r="B6" s="42"/>
      <c r="C6" s="45" t="s">
        <v>14</v>
      </c>
      <c r="D6" s="36"/>
      <c r="E6" s="23" t="s">
        <v>107</v>
      </c>
      <c r="F6" s="23"/>
      <c r="G6" s="110"/>
      <c r="H6" s="111"/>
      <c r="I6" s="218" t="s">
        <v>108</v>
      </c>
      <c r="J6" s="219"/>
      <c r="K6" s="219"/>
      <c r="L6" s="219"/>
      <c r="M6" s="220"/>
    </row>
    <row r="7" spans="1:13" ht="13.5" thickBot="1">
      <c r="A7" s="215"/>
      <c r="B7" s="112" t="s">
        <v>106</v>
      </c>
      <c r="C7" s="46" t="s">
        <v>15</v>
      </c>
      <c r="D7" s="25" t="s">
        <v>0</v>
      </c>
      <c r="E7" s="11" t="s">
        <v>1</v>
      </c>
      <c r="F7" s="11" t="s">
        <v>2</v>
      </c>
      <c r="G7" s="11" t="s">
        <v>4</v>
      </c>
      <c r="H7" s="30" t="s">
        <v>3</v>
      </c>
      <c r="I7" s="25" t="s">
        <v>0</v>
      </c>
      <c r="J7" s="11" t="s">
        <v>1</v>
      </c>
      <c r="K7" s="11" t="s">
        <v>2</v>
      </c>
      <c r="L7" s="11" t="s">
        <v>4</v>
      </c>
      <c r="M7" s="24" t="s">
        <v>3</v>
      </c>
    </row>
    <row r="8" spans="1:13" ht="13.5" thickTop="1">
      <c r="A8" s="40" t="s">
        <v>16</v>
      </c>
      <c r="B8" s="43">
        <v>0</v>
      </c>
      <c r="C8" s="47">
        <v>0</v>
      </c>
      <c r="D8" s="28">
        <f>VLOOKUP($A8,ConstEquipEmissFactors!$A$7:$N$23,10,FALSE)</f>
        <v>0.5231250000000001</v>
      </c>
      <c r="E8" s="19">
        <f>VLOOKUP($A8,ConstEquipEmissFactors!$A$7:$N$23,11,FALSE)</f>
        <v>0.10462500000000001</v>
      </c>
      <c r="F8" s="19">
        <f>VLOOKUP($A8,ConstEquipEmissFactors!$A$7:$N$23,12,FALSE)</f>
        <v>0.76725</v>
      </c>
      <c r="G8" s="19">
        <f>VLOOKUP($A8,ConstEquipEmissFactors!$A$7:$N$23,13,FALSE)</f>
        <v>0.06975</v>
      </c>
      <c r="H8" s="29">
        <f>VLOOKUP($A8,ConstEquipEmissFactors!$A$7:$N$23,14,FALSE)</f>
        <v>0.034875</v>
      </c>
      <c r="I8" s="133">
        <f aca="true" t="shared" si="0" ref="I8:I24">D8*$C8*$B8</f>
        <v>0</v>
      </c>
      <c r="J8" s="134">
        <f aca="true" t="shared" si="1" ref="J8:J24">E8*$C8*$B8</f>
        <v>0</v>
      </c>
      <c r="K8" s="134">
        <f aca="true" t="shared" si="2" ref="K8:K24">F8*$C8*$B8</f>
        <v>0</v>
      </c>
      <c r="L8" s="134">
        <f aca="true" t="shared" si="3" ref="L8:L24">G8*$C8*$B8</f>
        <v>0</v>
      </c>
      <c r="M8" s="135">
        <f aca="true" t="shared" si="4" ref="M8:M24">H8*$C8*$B8</f>
        <v>0</v>
      </c>
    </row>
    <row r="9" spans="1:13" ht="12.75">
      <c r="A9" s="40" t="s">
        <v>36</v>
      </c>
      <c r="B9" s="43">
        <v>1</v>
      </c>
      <c r="C9" s="47">
        <v>10</v>
      </c>
      <c r="D9" s="28">
        <f>VLOOKUP($A9,ConstEquipEmissFactors!$A$7:$N$23,10,FALSE)</f>
        <v>0.25871999999999995</v>
      </c>
      <c r="E9" s="19">
        <f>VLOOKUP($A9,ConstEquipEmissFactors!$A$7:$N$23,11,FALSE)</f>
        <v>0.04704</v>
      </c>
      <c r="F9" s="19">
        <f>VLOOKUP($A9,ConstEquipEmissFactors!$A$7:$N$23,12,FALSE)</f>
        <v>0.42335999999999996</v>
      </c>
      <c r="G9" s="19">
        <f>VLOOKUP($A9,ConstEquipEmissFactors!$A$7:$N$23,13,FALSE)</f>
        <v>0.04704</v>
      </c>
      <c r="H9" s="29">
        <f>VLOOKUP($A9,ConstEquipEmissFactors!$A$7:$N$23,14,FALSE)</f>
        <v>0.02352</v>
      </c>
      <c r="I9" s="133">
        <f t="shared" si="0"/>
        <v>2.5871999999999993</v>
      </c>
      <c r="J9" s="134">
        <f t="shared" si="1"/>
        <v>0.4704</v>
      </c>
      <c r="K9" s="134">
        <f t="shared" si="2"/>
        <v>4.233599999999999</v>
      </c>
      <c r="L9" s="134">
        <f t="shared" si="3"/>
        <v>0.4704</v>
      </c>
      <c r="M9" s="135">
        <f t="shared" si="4"/>
        <v>0.2352</v>
      </c>
    </row>
    <row r="10" spans="1:13" ht="12.75">
      <c r="A10" s="40" t="s">
        <v>35</v>
      </c>
      <c r="B10" s="43">
        <v>0</v>
      </c>
      <c r="C10" s="47">
        <v>0</v>
      </c>
      <c r="D10" s="28">
        <f>VLOOKUP($A10,ConstEquipEmissFactors!$A$7:$N$23,10,FALSE)</f>
        <v>0.9690000000000001</v>
      </c>
      <c r="E10" s="19">
        <f>VLOOKUP($A10,ConstEquipEmissFactors!$A$7:$N$23,11,FALSE)</f>
        <v>0.323</v>
      </c>
      <c r="F10" s="19">
        <f>VLOOKUP($A10,ConstEquipEmissFactors!$A$7:$N$23,12,FALSE)</f>
        <v>3.3915</v>
      </c>
      <c r="G10" s="19">
        <f>VLOOKUP($A10,ConstEquipEmissFactors!$A$7:$N$23,13,FALSE)</f>
        <v>0.323</v>
      </c>
      <c r="H10" s="29">
        <f>VLOOKUP($A10,ConstEquipEmissFactors!$A$7:$N$23,14,FALSE)</f>
        <v>0.24225000000000002</v>
      </c>
      <c r="I10" s="133">
        <f t="shared" si="0"/>
        <v>0</v>
      </c>
      <c r="J10" s="134">
        <f t="shared" si="1"/>
        <v>0</v>
      </c>
      <c r="K10" s="134">
        <f t="shared" si="2"/>
        <v>0</v>
      </c>
      <c r="L10" s="134">
        <f t="shared" si="3"/>
        <v>0</v>
      </c>
      <c r="M10" s="135">
        <f t="shared" si="4"/>
        <v>0</v>
      </c>
    </row>
    <row r="11" spans="1:13" ht="12.75">
      <c r="A11" s="40" t="s">
        <v>37</v>
      </c>
      <c r="B11" s="43">
        <v>0</v>
      </c>
      <c r="C11" s="47">
        <v>0</v>
      </c>
      <c r="D11" s="28">
        <f>VLOOKUP($A11,ConstEquipEmissFactors!$A$7:$N$23,10,FALSE)</f>
        <v>0.1898</v>
      </c>
      <c r="E11" s="19">
        <f>VLOOKUP($A11,ConstEquipEmissFactors!$A$7:$N$23,11,FALSE)</f>
        <v>0.22776</v>
      </c>
      <c r="F11" s="19">
        <f>VLOOKUP($A11,ConstEquipEmissFactors!$A$7:$N$23,12,FALSE)</f>
        <v>0.01898</v>
      </c>
      <c r="G11" s="19">
        <f>VLOOKUP($A11,ConstEquipEmissFactors!$A$7:$N$23,13,FALSE)</f>
        <v>0.02847</v>
      </c>
      <c r="H11" s="29">
        <f>VLOOKUP($A11,ConstEquipEmissFactors!$A$7:$N$23,14,FALSE)</f>
        <v>0.00949</v>
      </c>
      <c r="I11" s="133">
        <f t="shared" si="0"/>
        <v>0</v>
      </c>
      <c r="J11" s="134">
        <f t="shared" si="1"/>
        <v>0</v>
      </c>
      <c r="K11" s="134">
        <f t="shared" si="2"/>
        <v>0</v>
      </c>
      <c r="L11" s="134">
        <f t="shared" si="3"/>
        <v>0</v>
      </c>
      <c r="M11" s="135">
        <f t="shared" si="4"/>
        <v>0</v>
      </c>
    </row>
    <row r="12" spans="1:13" ht="12.75">
      <c r="A12" s="40" t="s">
        <v>130</v>
      </c>
      <c r="B12" s="43">
        <v>1</v>
      </c>
      <c r="C12" s="47">
        <v>10</v>
      </c>
      <c r="D12" s="28">
        <f>VLOOKUP($A12,ConstEquipEmissFactors!$A$7:$N$23,10,FALSE)</f>
        <v>0.8127</v>
      </c>
      <c r="E12" s="19">
        <f>VLOOKUP($A12,ConstEquipEmissFactors!$A$7:$N$23,11,FALSE)</f>
        <v>0.2709</v>
      </c>
      <c r="F12" s="19">
        <f>VLOOKUP($A12,ConstEquipEmissFactors!$A$7:$N$23,12,FALSE)</f>
        <v>2.0769</v>
      </c>
      <c r="G12" s="19">
        <f>VLOOKUP($A12,ConstEquipEmissFactors!$A$7:$N$23,13,FALSE)</f>
        <v>0.18059999999999998</v>
      </c>
      <c r="H12" s="29">
        <f>VLOOKUP($A12,ConstEquipEmissFactors!$A$7:$N$23,14,FALSE)</f>
        <v>0.13545</v>
      </c>
      <c r="I12" s="133">
        <f t="shared" si="0"/>
        <v>8.126999999999999</v>
      </c>
      <c r="J12" s="134">
        <f t="shared" si="1"/>
        <v>2.7089999999999996</v>
      </c>
      <c r="K12" s="134">
        <f t="shared" si="2"/>
        <v>20.769000000000002</v>
      </c>
      <c r="L12" s="134">
        <f t="shared" si="3"/>
        <v>1.8059999999999998</v>
      </c>
      <c r="M12" s="135">
        <f t="shared" si="4"/>
        <v>1.3544999999999998</v>
      </c>
    </row>
    <row r="13" spans="1:13" ht="12.75">
      <c r="A13" s="40" t="s">
        <v>67</v>
      </c>
      <c r="B13" s="43">
        <v>1</v>
      </c>
      <c r="C13" s="47">
        <v>10</v>
      </c>
      <c r="D13" s="28">
        <f>VLOOKUP($A13,ConstEquipEmissFactors!$A$7:$N$23,10,FALSE)</f>
        <v>0.9675</v>
      </c>
      <c r="E13" s="19">
        <f>VLOOKUP($A13,ConstEquipEmissFactors!$A$7:$N$23,11,FALSE)</f>
        <v>0.3225</v>
      </c>
      <c r="F13" s="19">
        <f>VLOOKUP($A13,ConstEquipEmissFactors!$A$7:$N$23,12,FALSE)</f>
        <v>2.4725</v>
      </c>
      <c r="G13" s="19">
        <f>VLOOKUP($A13,ConstEquipEmissFactors!$A$7:$N$23,13,FALSE)</f>
        <v>0.215</v>
      </c>
      <c r="H13" s="29">
        <f>VLOOKUP($A13,ConstEquipEmissFactors!$A$7:$N$23,14,FALSE)</f>
        <v>0.16125</v>
      </c>
      <c r="I13" s="133">
        <f t="shared" si="0"/>
        <v>9.675</v>
      </c>
      <c r="J13" s="134">
        <f t="shared" si="1"/>
        <v>3.225</v>
      </c>
      <c r="K13" s="134">
        <f t="shared" si="2"/>
        <v>24.725</v>
      </c>
      <c r="L13" s="134">
        <f t="shared" si="3"/>
        <v>2.15</v>
      </c>
      <c r="M13" s="135">
        <f t="shared" si="4"/>
        <v>1.6125</v>
      </c>
    </row>
    <row r="14" spans="1:13" ht="12.75">
      <c r="A14" s="40" t="s">
        <v>44</v>
      </c>
      <c r="B14" s="43">
        <v>0</v>
      </c>
      <c r="C14" s="47">
        <v>0</v>
      </c>
      <c r="D14" s="28">
        <f>VLOOKUP($A14,ConstEquipEmissFactors!$A$7:$N$23,10,FALSE)</f>
        <v>1.06425</v>
      </c>
      <c r="E14" s="19">
        <f>VLOOKUP($A14,ConstEquipEmissFactors!$A$7:$N$23,11,FALSE)</f>
        <v>0.35475</v>
      </c>
      <c r="F14" s="19">
        <f>VLOOKUP($A14,ConstEquipEmissFactors!$A$7:$N$23,12,FALSE)</f>
        <v>2.71975</v>
      </c>
      <c r="G14" s="19">
        <f>VLOOKUP($A14,ConstEquipEmissFactors!$A$7:$N$23,13,FALSE)</f>
        <v>0.23650000000000002</v>
      </c>
      <c r="H14" s="29">
        <f>VLOOKUP($A14,ConstEquipEmissFactors!$A$7:$N$23,14,FALSE)</f>
        <v>0.177375</v>
      </c>
      <c r="I14" s="133">
        <f t="shared" si="0"/>
        <v>0</v>
      </c>
      <c r="J14" s="134">
        <f t="shared" si="1"/>
        <v>0</v>
      </c>
      <c r="K14" s="134">
        <f t="shared" si="2"/>
        <v>0</v>
      </c>
      <c r="L14" s="134">
        <f t="shared" si="3"/>
        <v>0</v>
      </c>
      <c r="M14" s="135">
        <f t="shared" si="4"/>
        <v>0</v>
      </c>
    </row>
    <row r="15" spans="1:13" ht="12.75">
      <c r="A15" s="40" t="s">
        <v>45</v>
      </c>
      <c r="B15" s="43">
        <v>1</v>
      </c>
      <c r="C15" s="47">
        <v>10</v>
      </c>
      <c r="D15" s="28">
        <f>VLOOKUP($A15,ConstEquipEmissFactors!$A$7:$N$23,10,FALSE)</f>
        <v>1.0062</v>
      </c>
      <c r="E15" s="19">
        <f>VLOOKUP($A15,ConstEquipEmissFactors!$A$7:$N$23,11,FALSE)</f>
        <v>0.33540000000000003</v>
      </c>
      <c r="F15" s="19">
        <f>VLOOKUP($A15,ConstEquipEmissFactors!$A$7:$N$23,12,FALSE)</f>
        <v>2.5713999999999997</v>
      </c>
      <c r="G15" s="19">
        <f>VLOOKUP($A15,ConstEquipEmissFactors!$A$7:$N$23,13,FALSE)</f>
        <v>0.2236</v>
      </c>
      <c r="H15" s="29">
        <f>VLOOKUP($A15,ConstEquipEmissFactors!$A$7:$N$23,14,FALSE)</f>
        <v>0.16770000000000002</v>
      </c>
      <c r="I15" s="133">
        <f t="shared" si="0"/>
        <v>10.062</v>
      </c>
      <c r="J15" s="134">
        <f t="shared" si="1"/>
        <v>3.354</v>
      </c>
      <c r="K15" s="134">
        <f t="shared" si="2"/>
        <v>25.714</v>
      </c>
      <c r="L15" s="134">
        <f t="shared" si="3"/>
        <v>2.2359999999999998</v>
      </c>
      <c r="M15" s="135">
        <f t="shared" si="4"/>
        <v>1.677</v>
      </c>
    </row>
    <row r="16" spans="1:13" ht="12.75">
      <c r="A16" s="40" t="s">
        <v>68</v>
      </c>
      <c r="B16" s="43">
        <v>0</v>
      </c>
      <c r="C16" s="47">
        <v>0</v>
      </c>
      <c r="D16" s="28">
        <f>VLOOKUP($A16,ConstEquipEmissFactors!$A$7:$N$23,10,FALSE)</f>
        <v>4.5</v>
      </c>
      <c r="E16" s="19">
        <f>VLOOKUP($A16,ConstEquipEmissFactors!$A$7:$N$23,11,FALSE)</f>
        <v>0.675</v>
      </c>
      <c r="F16" s="19">
        <f>VLOOKUP($A16,ConstEquipEmissFactors!$A$7:$N$23,12,FALSE)</f>
        <v>5.4</v>
      </c>
      <c r="G16" s="19">
        <f>VLOOKUP($A16,ConstEquipEmissFactors!$A$7:$N$23,13,FALSE)</f>
        <v>0.44999999999999996</v>
      </c>
      <c r="H16" s="29">
        <f>VLOOKUP($A16,ConstEquipEmissFactors!$A$7:$N$23,14,FALSE)</f>
        <v>0.3375</v>
      </c>
      <c r="I16" s="133">
        <f t="shared" si="0"/>
        <v>0</v>
      </c>
      <c r="J16" s="134">
        <f t="shared" si="1"/>
        <v>0</v>
      </c>
      <c r="K16" s="134">
        <f>F16*$C16*$B16</f>
        <v>0</v>
      </c>
      <c r="L16" s="134">
        <f t="shared" si="3"/>
        <v>0</v>
      </c>
      <c r="M16" s="135">
        <f t="shared" si="4"/>
        <v>0</v>
      </c>
    </row>
    <row r="17" spans="1:13" ht="12.75">
      <c r="A17" s="40" t="s">
        <v>49</v>
      </c>
      <c r="B17" s="43">
        <v>0</v>
      </c>
      <c r="C17" s="47">
        <v>0</v>
      </c>
      <c r="D17" s="26">
        <f>VLOOKUP($A17,ConstEquipEmissFactors!$A$7:$N$23,10,FALSE)</f>
        <v>0.6270000000000001</v>
      </c>
      <c r="E17" s="18">
        <f>VLOOKUP($A17,ConstEquipEmissFactors!$A$7:$N$23,11,FALSE)</f>
        <v>0.20900000000000002</v>
      </c>
      <c r="F17" s="18">
        <f>VLOOKUP($A17,ConstEquipEmissFactors!$A$7:$N$23,12,FALSE)</f>
        <v>2.1945</v>
      </c>
      <c r="G17" s="18">
        <f>VLOOKUP($A17,ConstEquipEmissFactors!$A$7:$N$23,13,FALSE)</f>
        <v>0.20900000000000002</v>
      </c>
      <c r="H17" s="27">
        <f>VLOOKUP($A17,ConstEquipEmissFactors!$A$7:$N$23,14,FALSE)</f>
        <v>0.15675000000000003</v>
      </c>
      <c r="I17" s="133">
        <f t="shared" si="0"/>
        <v>0</v>
      </c>
      <c r="J17" s="134">
        <f t="shared" si="1"/>
        <v>0</v>
      </c>
      <c r="K17" s="134">
        <f t="shared" si="2"/>
        <v>0</v>
      </c>
      <c r="L17" s="134">
        <f t="shared" si="3"/>
        <v>0</v>
      </c>
      <c r="M17" s="135">
        <f t="shared" si="4"/>
        <v>0</v>
      </c>
    </row>
    <row r="18" spans="1:13" ht="12.75">
      <c r="A18" s="40" t="s">
        <v>32</v>
      </c>
      <c r="B18" s="43">
        <v>0</v>
      </c>
      <c r="C18" s="47">
        <v>0</v>
      </c>
      <c r="D18" s="26">
        <f>VLOOKUP($A18,ConstEquipEmissFactors!$A$7:$N$23,10,FALSE)</f>
        <v>1.595</v>
      </c>
      <c r="E18" s="18">
        <f>VLOOKUP($A18,ConstEquipEmissFactors!$A$7:$N$23,11,FALSE)</f>
        <v>0.145</v>
      </c>
      <c r="F18" s="18">
        <f>VLOOKUP($A18,ConstEquipEmissFactors!$A$7:$N$23,12,FALSE)</f>
        <v>3.4799999999999995</v>
      </c>
      <c r="G18" s="18">
        <f>VLOOKUP($A18,ConstEquipEmissFactors!$A$7:$N$23,13,FALSE)</f>
        <v>0.29</v>
      </c>
      <c r="H18" s="27">
        <f>VLOOKUP($A18,ConstEquipEmissFactors!$A$7:$N$23,14,FALSE)</f>
        <v>0.21749999999999997</v>
      </c>
      <c r="I18" s="133">
        <f t="shared" si="0"/>
        <v>0</v>
      </c>
      <c r="J18" s="134">
        <f t="shared" si="1"/>
        <v>0</v>
      </c>
      <c r="K18" s="134">
        <f t="shared" si="2"/>
        <v>0</v>
      </c>
      <c r="L18" s="134">
        <f t="shared" si="3"/>
        <v>0</v>
      </c>
      <c r="M18" s="135">
        <f t="shared" si="4"/>
        <v>0</v>
      </c>
    </row>
    <row r="19" spans="1:13" ht="12.75">
      <c r="A19" s="40" t="s">
        <v>39</v>
      </c>
      <c r="B19" s="43">
        <v>2</v>
      </c>
      <c r="C19" s="47">
        <v>10</v>
      </c>
      <c r="D19" s="26">
        <f>VLOOKUP($A19,ConstEquipEmissFactors!$A$7:$N$23,10,FALSE)</f>
        <v>0.3081</v>
      </c>
      <c r="E19" s="18">
        <f>VLOOKUP($A19,ConstEquipEmissFactors!$A$7:$N$23,11,FALSE)</f>
        <v>0.0711</v>
      </c>
      <c r="F19" s="18">
        <f>VLOOKUP($A19,ConstEquipEmissFactors!$A$7:$N$23,12,FALSE)</f>
        <v>0.7346999999999999</v>
      </c>
      <c r="G19" s="18">
        <f>VLOOKUP($A19,ConstEquipEmissFactors!$A$7:$N$23,13,FALSE)</f>
        <v>0.0474</v>
      </c>
      <c r="H19" s="27">
        <f>VLOOKUP($A19,ConstEquipEmissFactors!$A$7:$N$23,14,FALSE)</f>
        <v>0.03555</v>
      </c>
      <c r="I19" s="133">
        <f t="shared" si="0"/>
        <v>6.162</v>
      </c>
      <c r="J19" s="134">
        <f t="shared" si="1"/>
        <v>1.422</v>
      </c>
      <c r="K19" s="134">
        <f t="shared" si="2"/>
        <v>14.693999999999999</v>
      </c>
      <c r="L19" s="134">
        <f t="shared" si="3"/>
        <v>0.948</v>
      </c>
      <c r="M19" s="135">
        <f t="shared" si="4"/>
        <v>0.711</v>
      </c>
    </row>
    <row r="20" spans="1:13" ht="12.75">
      <c r="A20" s="40" t="s">
        <v>17</v>
      </c>
      <c r="B20" s="43">
        <v>0</v>
      </c>
      <c r="C20" s="47">
        <v>0</v>
      </c>
      <c r="D20" s="26">
        <f>VLOOKUP($A20,ConstEquipEmissFactors!$A$7:$N$23,10,FALSE)</f>
        <v>1.46475</v>
      </c>
      <c r="E20" s="18">
        <f>VLOOKUP($A20,ConstEquipEmissFactors!$A$7:$N$23,11,FALSE)</f>
        <v>0.29295000000000004</v>
      </c>
      <c r="F20" s="18">
        <f>VLOOKUP($A20,ConstEquipEmissFactors!$A$7:$N$23,12,FALSE)</f>
        <v>2.1483000000000003</v>
      </c>
      <c r="G20" s="18">
        <f>VLOOKUP($A20,ConstEquipEmissFactors!$A$7:$N$23,13,FALSE)</f>
        <v>0.1953</v>
      </c>
      <c r="H20" s="27">
        <f>VLOOKUP($A20,ConstEquipEmissFactors!$A$7:$N$23,14,FALSE)</f>
        <v>0.09765</v>
      </c>
      <c r="I20" s="133">
        <f t="shared" si="0"/>
        <v>0</v>
      </c>
      <c r="J20" s="134">
        <f t="shared" si="1"/>
        <v>0</v>
      </c>
      <c r="K20" s="134">
        <f t="shared" si="2"/>
        <v>0</v>
      </c>
      <c r="L20" s="134">
        <f t="shared" si="3"/>
        <v>0</v>
      </c>
      <c r="M20" s="135">
        <f t="shared" si="4"/>
        <v>0</v>
      </c>
    </row>
    <row r="21" spans="1:13" ht="12.75">
      <c r="A21" s="41" t="s">
        <v>126</v>
      </c>
      <c r="B21" s="43">
        <v>0</v>
      </c>
      <c r="C21" s="47">
        <v>0</v>
      </c>
      <c r="D21" s="26">
        <f>VLOOKUP($A21,ConstEquipEmissFactors!$A$7:$N$23,10,FALSE)</f>
        <v>0.6919</v>
      </c>
      <c r="E21" s="18">
        <f>VLOOKUP($A21,ConstEquipEmissFactors!$A$7:$N$23,11,FALSE)</f>
        <v>0.1258</v>
      </c>
      <c r="F21" s="18">
        <f>VLOOKUP($A21,ConstEquipEmissFactors!$A$7:$N$23,12,FALSE)</f>
        <v>1.1321999999999999</v>
      </c>
      <c r="G21" s="18">
        <f>VLOOKUP($A21,ConstEquipEmissFactors!$A$7:$N$23,13,FALSE)</f>
        <v>0.1258</v>
      </c>
      <c r="H21" s="27">
        <f>VLOOKUP($A21,ConstEquipEmissFactors!$A$7:$N$23,14,FALSE)</f>
        <v>0.0629</v>
      </c>
      <c r="I21" s="133">
        <f>D21*$C21*$B21</f>
        <v>0</v>
      </c>
      <c r="J21" s="134">
        <f>E21*$C21*$B21</f>
        <v>0</v>
      </c>
      <c r="K21" s="134">
        <f>F21*$C21*$B21</f>
        <v>0</v>
      </c>
      <c r="L21" s="134">
        <f>G21*$C21*$B21</f>
        <v>0</v>
      </c>
      <c r="M21" s="135">
        <f>H21*$C21*$B21</f>
        <v>0</v>
      </c>
    </row>
    <row r="22" spans="1:13" ht="12.75">
      <c r="A22" s="41" t="s">
        <v>46</v>
      </c>
      <c r="B22" s="43">
        <v>4</v>
      </c>
      <c r="C22" s="47">
        <v>10</v>
      </c>
      <c r="D22" s="26">
        <f>VLOOKUP($A22,ConstEquipEmissFactors!$A$7:$N$23,10,FALSE)</f>
        <v>0.11725999999999999</v>
      </c>
      <c r="E22" s="18">
        <f>VLOOKUP($A22,ConstEquipEmissFactors!$A$7:$N$23,11,FALSE)</f>
        <v>0.021320000000000002</v>
      </c>
      <c r="F22" s="18">
        <f>VLOOKUP($A22,ConstEquipEmissFactors!$A$7:$N$23,12,FALSE)</f>
        <v>0.19187999999999997</v>
      </c>
      <c r="G22" s="18">
        <f>VLOOKUP($A22,ConstEquipEmissFactors!$A$7:$N$23,13,FALSE)</f>
        <v>0.021320000000000002</v>
      </c>
      <c r="H22" s="27">
        <f>VLOOKUP($A22,ConstEquipEmissFactors!$A$7:$N$23,14,FALSE)</f>
        <v>0.010660000000000001</v>
      </c>
      <c r="I22" s="133">
        <f t="shared" si="0"/>
        <v>4.6903999999999995</v>
      </c>
      <c r="J22" s="134">
        <f t="shared" si="1"/>
        <v>0.8528000000000001</v>
      </c>
      <c r="K22" s="134">
        <f t="shared" si="2"/>
        <v>7.6751999999999985</v>
      </c>
      <c r="L22" s="134">
        <f t="shared" si="3"/>
        <v>0.8528000000000001</v>
      </c>
      <c r="M22" s="135">
        <f t="shared" si="4"/>
        <v>0.42640000000000006</v>
      </c>
    </row>
    <row r="23" spans="1:13" ht="12.75">
      <c r="A23" s="41" t="s">
        <v>38</v>
      </c>
      <c r="B23" s="43">
        <v>0</v>
      </c>
      <c r="C23" s="47">
        <v>0</v>
      </c>
      <c r="D23" s="39">
        <f>VLOOKUP($A23,ConstEquipEmissFactors!$A$7:$N$23,10,FALSE)</f>
        <v>0.820625</v>
      </c>
      <c r="E23" s="37">
        <f>VLOOKUP($A23,ConstEquipEmissFactors!$A$7:$N$23,11,FALSE)</f>
        <v>0.18937500000000002</v>
      </c>
      <c r="F23" s="37">
        <f>VLOOKUP($A23,ConstEquipEmissFactors!$A$7:$N$23,12,FALSE)</f>
        <v>1.956875</v>
      </c>
      <c r="G23" s="37">
        <f>VLOOKUP($A23,ConstEquipEmissFactors!$A$7:$N$23,13,FALSE)</f>
        <v>0.12625</v>
      </c>
      <c r="H23" s="38">
        <f>VLOOKUP($A23,ConstEquipEmissFactors!$A$7:$N$23,14,FALSE)</f>
        <v>0.09468750000000001</v>
      </c>
      <c r="I23" s="133">
        <f t="shared" si="0"/>
        <v>0</v>
      </c>
      <c r="J23" s="134">
        <f t="shared" si="1"/>
        <v>0</v>
      </c>
      <c r="K23" s="134">
        <f t="shared" si="2"/>
        <v>0</v>
      </c>
      <c r="L23" s="134">
        <f t="shared" si="3"/>
        <v>0</v>
      </c>
      <c r="M23" s="135">
        <f t="shared" si="4"/>
        <v>0</v>
      </c>
    </row>
    <row r="24" spans="1:13" ht="12.75" customHeight="1" thickBot="1">
      <c r="A24" s="41" t="s">
        <v>47</v>
      </c>
      <c r="B24" s="44">
        <v>2</v>
      </c>
      <c r="C24" s="48">
        <v>10</v>
      </c>
      <c r="D24" s="39">
        <f>VLOOKUP($A24,ConstEquipEmissFactors!$A$7:$N$23,10,FALSE)</f>
        <v>0.24254999999999996</v>
      </c>
      <c r="E24" s="37">
        <f>VLOOKUP($A24,ConstEquipEmissFactors!$A$7:$N$23,11,FALSE)</f>
        <v>0.0441</v>
      </c>
      <c r="F24" s="37">
        <f>VLOOKUP($A24,ConstEquipEmissFactors!$A$7:$N$23,12,FALSE)</f>
        <v>0.3969</v>
      </c>
      <c r="G24" s="37">
        <f>VLOOKUP($A24,ConstEquipEmissFactors!$A$7:$N$23,13,FALSE)</f>
        <v>0.0441</v>
      </c>
      <c r="H24" s="38">
        <f>VLOOKUP($A24,ConstEquipEmissFactors!$A$7:$N$23,14,FALSE)</f>
        <v>0.02205</v>
      </c>
      <c r="I24" s="136">
        <f t="shared" si="0"/>
        <v>4.850999999999999</v>
      </c>
      <c r="J24" s="137">
        <f t="shared" si="1"/>
        <v>0.882</v>
      </c>
      <c r="K24" s="137">
        <f t="shared" si="2"/>
        <v>7.938</v>
      </c>
      <c r="L24" s="137">
        <f t="shared" si="3"/>
        <v>0.882</v>
      </c>
      <c r="M24" s="138">
        <f t="shared" si="4"/>
        <v>0.441</v>
      </c>
    </row>
    <row r="25" spans="1:13" ht="13.5" thickBot="1">
      <c r="A25" s="127" t="s">
        <v>48</v>
      </c>
      <c r="B25" s="128"/>
      <c r="C25" s="129"/>
      <c r="D25" s="130"/>
      <c r="E25" s="131"/>
      <c r="F25" s="131"/>
      <c r="G25" s="131"/>
      <c r="H25" s="132"/>
      <c r="I25" s="139">
        <f>SUM(I8:I24)</f>
        <v>46.154599999999995</v>
      </c>
      <c r="J25" s="140">
        <f>SUM(J8:J24)</f>
        <v>12.9152</v>
      </c>
      <c r="K25" s="141">
        <f>SUM(K8:K24)</f>
        <v>105.7488</v>
      </c>
      <c r="L25" s="140">
        <f>SUM(L8:L24)</f>
        <v>9.345199999999998</v>
      </c>
      <c r="M25" s="142">
        <f>SUM(M8:M24)</f>
        <v>6.4576</v>
      </c>
    </row>
    <row r="26" spans="9:13" ht="12.75">
      <c r="I26" s="7"/>
      <c r="J26" s="7"/>
      <c r="K26" s="7"/>
      <c r="L26" s="7"/>
      <c r="M26" s="7"/>
    </row>
    <row r="27" spans="1:13" ht="12.75">
      <c r="A27" s="221" t="s">
        <v>168</v>
      </c>
      <c r="B27" s="217"/>
      <c r="C27" s="217"/>
      <c r="D27" s="217"/>
      <c r="E27" s="217"/>
      <c r="F27" s="217"/>
      <c r="G27" s="217"/>
      <c r="H27" s="217"/>
      <c r="I27" s="217"/>
      <c r="M27" s="10"/>
    </row>
    <row r="28" ht="12.75">
      <c r="A28" s="1"/>
    </row>
    <row r="29" ht="12.75">
      <c r="A29" s="93" t="s">
        <v>109</v>
      </c>
    </row>
    <row r="30" ht="12.75">
      <c r="A30" s="93" t="s">
        <v>110</v>
      </c>
    </row>
    <row r="40" spans="1:13" ht="12.75">
      <c r="A40" s="210"/>
      <c r="B40" s="44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</row>
  </sheetData>
  <sheetProtection/>
  <mergeCells count="6">
    <mergeCell ref="A3:M3"/>
    <mergeCell ref="A2:M2"/>
    <mergeCell ref="A27:I27"/>
    <mergeCell ref="I6:M6"/>
    <mergeCell ref="A4:M4"/>
    <mergeCell ref="A6:A7"/>
  </mergeCells>
  <conditionalFormatting sqref="L26:M26 I26">
    <cfRule type="cellIs" priority="1" dxfId="0" operator="greaterThanOrEqual" stopIfTrue="1">
      <formula>#REF!</formula>
    </cfRule>
  </conditionalFormatting>
  <conditionalFormatting sqref="K26">
    <cfRule type="cellIs" priority="2" dxfId="0" operator="greaterThanOrEqual" stopIfTrue="1">
      <formula>#REF!</formula>
    </cfRule>
  </conditionalFormatting>
  <conditionalFormatting sqref="J26">
    <cfRule type="cellIs" priority="3" dxfId="0" operator="greaterThanOrEqual" stopIfTrue="1">
      <formula>#REF!</formula>
    </cfRule>
  </conditionalFormatting>
  <printOptions horizontalCentered="1"/>
  <pageMargins left="0.25" right="0.25" top="1.25" bottom="0.5" header="1" footer="0.5"/>
  <pageSetup fitToHeight="1" fitToWidth="1" horizontalDpi="300" verticalDpi="300" orientation="landscape" scale="94" r:id="rId1"/>
  <headerFooter alignWithMargins="0">
    <oddHeader>&amp;C&amp;"Arial,Bold"&amp;12
&amp;RExxonMobil Rule 1105.1 Compliance Project</oddHeader>
    <oddFooter>&amp;LFinal EIR&amp;CC-5&amp;RMarch 2007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N34"/>
  <sheetViews>
    <sheetView view="pageBreakPreview" zoomScale="60" zoomScalePageLayoutView="0" workbookViewId="0" topLeftCell="A1">
      <selection activeCell="J48" sqref="J48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10.421875" style="0" customWidth="1"/>
    <col min="4" max="4" width="9.57421875" style="0" customWidth="1"/>
    <col min="5" max="5" width="9.7109375" style="0" customWidth="1"/>
    <col min="6" max="7" width="9.57421875" style="0" customWidth="1"/>
    <col min="8" max="8" width="9.7109375" style="0" customWidth="1"/>
    <col min="9" max="9" width="9.57421875" style="0" customWidth="1"/>
    <col min="10" max="12" width="9.7109375" style="0" customWidth="1"/>
    <col min="13" max="13" width="4.7109375" style="0" customWidth="1"/>
  </cols>
  <sheetData>
    <row r="1" spans="1:13" ht="12.75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2:12" ht="15">
      <c r="B2" s="213" t="s">
        <v>176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2:12" ht="15">
      <c r="B3" s="213" t="s">
        <v>177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ht="13.5" thickBot="1"/>
    <row r="5" spans="2:12" ht="30" customHeight="1" thickBot="1">
      <c r="B5" s="113" t="s">
        <v>9</v>
      </c>
      <c r="C5" s="227" t="s">
        <v>23</v>
      </c>
      <c r="D5" s="229"/>
      <c r="E5" s="227" t="s">
        <v>71</v>
      </c>
      <c r="F5" s="228"/>
      <c r="G5" s="227" t="s">
        <v>24</v>
      </c>
      <c r="H5" s="229"/>
      <c r="I5" s="227" t="s">
        <v>25</v>
      </c>
      <c r="J5" s="228"/>
      <c r="K5" s="227" t="s">
        <v>26</v>
      </c>
      <c r="L5" s="229"/>
    </row>
    <row r="6" spans="2:12" ht="15">
      <c r="B6" s="61" t="s">
        <v>104</v>
      </c>
      <c r="C6" s="225">
        <v>0.01282</v>
      </c>
      <c r="D6" s="225"/>
      <c r="E6" s="225">
        <v>0.001383</v>
      </c>
      <c r="F6" s="225"/>
      <c r="G6" s="225">
        <v>0.001361</v>
      </c>
      <c r="H6" s="225"/>
      <c r="I6" s="225">
        <v>9E-06</v>
      </c>
      <c r="J6" s="225"/>
      <c r="K6" s="225">
        <v>8E-05</v>
      </c>
      <c r="L6" s="226"/>
    </row>
    <row r="7" spans="2:12" ht="15">
      <c r="B7" s="62" t="s">
        <v>98</v>
      </c>
      <c r="C7" s="223">
        <v>0.01282</v>
      </c>
      <c r="D7" s="223"/>
      <c r="E7" s="223">
        <v>0.001383</v>
      </c>
      <c r="F7" s="223"/>
      <c r="G7" s="223">
        <v>0.001361</v>
      </c>
      <c r="H7" s="223"/>
      <c r="I7" s="223">
        <v>9E-06</v>
      </c>
      <c r="J7" s="223"/>
      <c r="K7" s="223">
        <v>8E-05</v>
      </c>
      <c r="L7" s="224"/>
    </row>
    <row r="8" spans="2:12" ht="15">
      <c r="B8" s="63" t="s">
        <v>58</v>
      </c>
      <c r="C8" s="223">
        <v>0.017455</v>
      </c>
      <c r="D8" s="223"/>
      <c r="E8" s="223">
        <v>0.002608</v>
      </c>
      <c r="F8" s="223"/>
      <c r="G8" s="223">
        <v>0.024978</v>
      </c>
      <c r="H8" s="223"/>
      <c r="I8" s="223">
        <v>3.3E-05</v>
      </c>
      <c r="J8" s="223"/>
      <c r="K8" s="223">
        <v>0.00044</v>
      </c>
      <c r="L8" s="224"/>
    </row>
    <row r="9" spans="2:12" ht="15">
      <c r="B9" s="62" t="s">
        <v>111</v>
      </c>
      <c r="C9" s="223">
        <v>0.017455</v>
      </c>
      <c r="D9" s="223"/>
      <c r="E9" s="223">
        <v>0.002608</v>
      </c>
      <c r="F9" s="223"/>
      <c r="G9" s="223">
        <v>0.024978</v>
      </c>
      <c r="H9" s="223"/>
      <c r="I9" s="223">
        <v>3.3E-05</v>
      </c>
      <c r="J9" s="223"/>
      <c r="K9" s="223">
        <v>0.00044</v>
      </c>
      <c r="L9" s="224"/>
    </row>
    <row r="10" spans="2:12" ht="15">
      <c r="B10" s="62" t="s">
        <v>127</v>
      </c>
      <c r="C10" s="223">
        <v>0.017455</v>
      </c>
      <c r="D10" s="223"/>
      <c r="E10" s="223">
        <v>0.002608</v>
      </c>
      <c r="F10" s="223"/>
      <c r="G10" s="223">
        <v>0.024978</v>
      </c>
      <c r="H10" s="223"/>
      <c r="I10" s="223">
        <v>3.3E-05</v>
      </c>
      <c r="J10" s="223"/>
      <c r="K10" s="223">
        <v>0.00044</v>
      </c>
      <c r="L10" s="224"/>
    </row>
    <row r="11" spans="2:12" ht="15">
      <c r="B11" s="62" t="s">
        <v>69</v>
      </c>
      <c r="C11" s="223">
        <v>0.00552</v>
      </c>
      <c r="D11" s="223"/>
      <c r="E11" s="223">
        <v>0.001227</v>
      </c>
      <c r="F11" s="223"/>
      <c r="G11" s="223">
        <v>0.035635</v>
      </c>
      <c r="H11" s="223"/>
      <c r="I11" s="223">
        <v>4.57E-05</v>
      </c>
      <c r="J11" s="223"/>
      <c r="K11" s="223">
        <v>0.000644</v>
      </c>
      <c r="L11" s="224"/>
    </row>
    <row r="12" spans="2:12" ht="15.75" thickBot="1">
      <c r="B12" s="64" t="s">
        <v>73</v>
      </c>
      <c r="C12" s="231">
        <v>0.00552</v>
      </c>
      <c r="D12" s="231"/>
      <c r="E12" s="231">
        <v>0.001227</v>
      </c>
      <c r="F12" s="231"/>
      <c r="G12" s="231">
        <v>0.035635</v>
      </c>
      <c r="H12" s="231"/>
      <c r="I12" s="231">
        <v>4.57E-05</v>
      </c>
      <c r="J12" s="231"/>
      <c r="K12" s="231">
        <v>0.000644</v>
      </c>
      <c r="L12" s="240"/>
    </row>
    <row r="13" spans="2:12" ht="12.75">
      <c r="B13" s="236" t="s">
        <v>56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</row>
    <row r="14" spans="2:12" ht="12.75">
      <c r="B14" s="237" t="s">
        <v>57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</row>
    <row r="15" spans="2:12" ht="12.75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ht="13.5" thickBot="1"/>
    <row r="17" spans="2:13" ht="15.75" thickBot="1">
      <c r="B17" s="114"/>
      <c r="C17" s="233" t="s">
        <v>10</v>
      </c>
      <c r="D17" s="234"/>
      <c r="E17" s="234"/>
      <c r="F17" s="235"/>
      <c r="G17" s="233" t="s">
        <v>59</v>
      </c>
      <c r="H17" s="234"/>
      <c r="I17" s="234"/>
      <c r="J17" s="234"/>
      <c r="K17" s="235"/>
      <c r="L17" s="8"/>
      <c r="M17" s="8"/>
    </row>
    <row r="18" spans="1:14" ht="55.5" thickBot="1">
      <c r="A18" s="230"/>
      <c r="B18" s="115" t="s">
        <v>11</v>
      </c>
      <c r="C18" s="116" t="s">
        <v>43</v>
      </c>
      <c r="D18" s="117" t="s">
        <v>42</v>
      </c>
      <c r="E18" s="118" t="s">
        <v>137</v>
      </c>
      <c r="F18" s="119" t="s">
        <v>138</v>
      </c>
      <c r="G18" s="120" t="s">
        <v>27</v>
      </c>
      <c r="H18" s="121" t="s">
        <v>28</v>
      </c>
      <c r="I18" s="120" t="s">
        <v>29</v>
      </c>
      <c r="J18" s="120" t="s">
        <v>30</v>
      </c>
      <c r="K18" s="121" t="s">
        <v>31</v>
      </c>
      <c r="L18" s="9"/>
      <c r="M18" s="17"/>
      <c r="N18" s="17"/>
    </row>
    <row r="19" spans="1:14" ht="12.75">
      <c r="A19" s="230"/>
      <c r="B19" s="61" t="s">
        <v>105</v>
      </c>
      <c r="C19" s="33">
        <v>45</v>
      </c>
      <c r="D19" s="33">
        <v>2</v>
      </c>
      <c r="E19" s="65">
        <v>16.2</v>
      </c>
      <c r="F19" s="65">
        <f>E19*D19*C19</f>
        <v>1458</v>
      </c>
      <c r="G19" s="66">
        <f aca="true" t="shared" si="0" ref="G19:G25">F19*C6</f>
        <v>18.69156</v>
      </c>
      <c r="H19" s="66">
        <f aca="true" t="shared" si="1" ref="H19:H25">F19*E6</f>
        <v>2.0164139999999997</v>
      </c>
      <c r="I19" s="66">
        <f aca="true" t="shared" si="2" ref="I19:I25">F19*G6</f>
        <v>1.984338</v>
      </c>
      <c r="J19" s="66">
        <f aca="true" t="shared" si="3" ref="J19:J25">F19*I6</f>
        <v>0.013122</v>
      </c>
      <c r="K19" s="67">
        <f aca="true" t="shared" si="4" ref="K19:K25">F19*K6</f>
        <v>0.11664000000000001</v>
      </c>
      <c r="L19" s="31"/>
      <c r="M19" s="32"/>
      <c r="N19" s="32"/>
    </row>
    <row r="20" spans="2:14" ht="12.75">
      <c r="B20" s="62" t="s">
        <v>99</v>
      </c>
      <c r="C20" s="22">
        <v>4</v>
      </c>
      <c r="D20" s="22">
        <v>1</v>
      </c>
      <c r="E20" s="22">
        <v>5</v>
      </c>
      <c r="F20" s="68">
        <f aca="true" t="shared" si="5" ref="F20:F25">E20*D20*C20</f>
        <v>20</v>
      </c>
      <c r="G20" s="6">
        <f t="shared" si="0"/>
        <v>0.2564</v>
      </c>
      <c r="H20" s="6">
        <f t="shared" si="1"/>
        <v>0.027659999999999997</v>
      </c>
      <c r="I20" s="6">
        <f t="shared" si="2"/>
        <v>0.02722</v>
      </c>
      <c r="J20" s="147">
        <f t="shared" si="3"/>
        <v>0.00018</v>
      </c>
      <c r="K20" s="148">
        <f t="shared" si="4"/>
        <v>0.0016</v>
      </c>
      <c r="L20" s="31"/>
      <c r="M20" s="32"/>
      <c r="N20" s="32"/>
    </row>
    <row r="21" spans="2:14" ht="12.75">
      <c r="B21" s="63" t="s">
        <v>34</v>
      </c>
      <c r="C21" s="22">
        <v>8</v>
      </c>
      <c r="D21" s="22">
        <v>2</v>
      </c>
      <c r="E21" s="22">
        <v>10</v>
      </c>
      <c r="F21" s="22">
        <f t="shared" si="5"/>
        <v>160</v>
      </c>
      <c r="G21" s="6">
        <f t="shared" si="0"/>
        <v>2.7927999999999997</v>
      </c>
      <c r="H21" s="6">
        <f t="shared" si="1"/>
        <v>0.41728</v>
      </c>
      <c r="I21" s="6">
        <f t="shared" si="2"/>
        <v>3.99648</v>
      </c>
      <c r="J21" s="6">
        <f t="shared" si="3"/>
        <v>0.00528</v>
      </c>
      <c r="K21" s="69">
        <f t="shared" si="4"/>
        <v>0.0704</v>
      </c>
      <c r="L21" s="16"/>
      <c r="M21" s="20"/>
      <c r="N21" s="20"/>
    </row>
    <row r="22" spans="1:14" s="12" customFormat="1" ht="12.75">
      <c r="A22" s="232"/>
      <c r="B22" s="62" t="s">
        <v>41</v>
      </c>
      <c r="C22" s="22">
        <v>1</v>
      </c>
      <c r="D22" s="22">
        <v>1</v>
      </c>
      <c r="E22" s="22">
        <v>5</v>
      </c>
      <c r="F22" s="68">
        <f t="shared" si="5"/>
        <v>5</v>
      </c>
      <c r="G22" s="6">
        <f t="shared" si="0"/>
        <v>0.08727499999999999</v>
      </c>
      <c r="H22" s="6">
        <f t="shared" si="1"/>
        <v>0.01304</v>
      </c>
      <c r="I22" s="6">
        <f t="shared" si="2"/>
        <v>0.12489</v>
      </c>
      <c r="J22" s="147">
        <f t="shared" si="3"/>
        <v>0.000165</v>
      </c>
      <c r="K22" s="148">
        <f t="shared" si="4"/>
        <v>0.0022</v>
      </c>
      <c r="L22" s="16"/>
      <c r="M22" s="20"/>
      <c r="N22" s="20"/>
    </row>
    <row r="23" spans="1:14" s="12" customFormat="1" ht="12.75">
      <c r="A23" s="232"/>
      <c r="B23" s="62" t="s">
        <v>40</v>
      </c>
      <c r="C23" s="22">
        <v>0</v>
      </c>
      <c r="D23" s="22">
        <v>0</v>
      </c>
      <c r="E23" s="22">
        <v>0</v>
      </c>
      <c r="F23" s="68">
        <f t="shared" si="5"/>
        <v>0</v>
      </c>
      <c r="G23" s="22">
        <f t="shared" si="0"/>
        <v>0</v>
      </c>
      <c r="H23" s="22">
        <f t="shared" si="1"/>
        <v>0</v>
      </c>
      <c r="I23" s="22">
        <f t="shared" si="2"/>
        <v>0</v>
      </c>
      <c r="J23" s="22">
        <f t="shared" si="3"/>
        <v>0</v>
      </c>
      <c r="K23" s="145">
        <f t="shared" si="4"/>
        <v>0</v>
      </c>
      <c r="L23" s="16"/>
      <c r="M23" s="20"/>
      <c r="N23" s="20"/>
    </row>
    <row r="24" spans="1:14" s="12" customFormat="1" ht="12.75">
      <c r="A24" s="49"/>
      <c r="B24" s="62" t="s">
        <v>70</v>
      </c>
      <c r="C24" s="22">
        <v>5</v>
      </c>
      <c r="D24" s="22">
        <v>2</v>
      </c>
      <c r="E24" s="152">
        <v>15</v>
      </c>
      <c r="F24" s="68">
        <f t="shared" si="5"/>
        <v>150</v>
      </c>
      <c r="G24" s="6">
        <f t="shared" si="0"/>
        <v>0.828</v>
      </c>
      <c r="H24" s="6">
        <f t="shared" si="1"/>
        <v>0.18405</v>
      </c>
      <c r="I24" s="6">
        <f t="shared" si="2"/>
        <v>5.34525</v>
      </c>
      <c r="J24" s="6">
        <f t="shared" si="3"/>
        <v>0.006855</v>
      </c>
      <c r="K24" s="69">
        <f t="shared" si="4"/>
        <v>0.0966</v>
      </c>
      <c r="L24" s="20"/>
      <c r="M24" s="20"/>
      <c r="N24" s="20"/>
    </row>
    <row r="25" spans="1:14" s="12" customFormat="1" ht="13.5" thickBot="1">
      <c r="A25" s="49"/>
      <c r="B25" s="70" t="s">
        <v>74</v>
      </c>
      <c r="C25" s="34">
        <v>10</v>
      </c>
      <c r="D25" s="34">
        <v>2</v>
      </c>
      <c r="E25" s="153">
        <v>10</v>
      </c>
      <c r="F25" s="71">
        <f t="shared" si="5"/>
        <v>200</v>
      </c>
      <c r="G25" s="35">
        <f t="shared" si="0"/>
        <v>1.1039999999999999</v>
      </c>
      <c r="H25" s="35">
        <f t="shared" si="1"/>
        <v>0.2454</v>
      </c>
      <c r="I25" s="35">
        <f t="shared" si="2"/>
        <v>7.127</v>
      </c>
      <c r="J25" s="35">
        <f t="shared" si="3"/>
        <v>0.00914</v>
      </c>
      <c r="K25" s="72">
        <f t="shared" si="4"/>
        <v>0.1288</v>
      </c>
      <c r="L25" s="20"/>
      <c r="M25" s="20"/>
      <c r="N25" s="20"/>
    </row>
    <row r="26" spans="2:14" ht="14.25" thickBot="1" thickTop="1">
      <c r="B26" s="143" t="s">
        <v>33</v>
      </c>
      <c r="C26" s="144"/>
      <c r="D26" s="144"/>
      <c r="E26" s="144"/>
      <c r="F26" s="144"/>
      <c r="G26" s="149">
        <f>SUM(G19:G25)</f>
        <v>23.760035</v>
      </c>
      <c r="H26" s="149">
        <f>SUM(H19:H25)</f>
        <v>2.903844</v>
      </c>
      <c r="I26" s="149">
        <f>SUM(I19:I25)</f>
        <v>18.605178</v>
      </c>
      <c r="J26" s="149">
        <f>SUM(J19:J25)</f>
        <v>0.034742</v>
      </c>
      <c r="K26" s="150">
        <f>SUM(K19:K25)</f>
        <v>0.41624000000000005</v>
      </c>
      <c r="L26" s="20"/>
      <c r="M26" s="20"/>
      <c r="N26" s="20"/>
    </row>
    <row r="27" spans="1:10" ht="12.75">
      <c r="A27" s="98"/>
      <c r="B27" s="98" t="s">
        <v>72</v>
      </c>
      <c r="C27" s="98"/>
      <c r="D27" s="98"/>
      <c r="E27" s="98"/>
      <c r="F27" s="98"/>
      <c r="G27" s="98"/>
      <c r="H27" s="98"/>
      <c r="I27" s="98"/>
      <c r="J27" s="98"/>
    </row>
    <row r="28" spans="2:13" ht="12.75">
      <c r="B28" s="99" t="s">
        <v>94</v>
      </c>
      <c r="C28" s="99"/>
      <c r="D28" s="99"/>
      <c r="E28" s="99"/>
      <c r="F28" s="99"/>
      <c r="M28" s="10"/>
    </row>
    <row r="29" spans="2:11" ht="12.75">
      <c r="B29" s="238" t="s">
        <v>166</v>
      </c>
      <c r="C29" s="217"/>
      <c r="D29" s="217"/>
      <c r="E29" s="217"/>
      <c r="F29" s="217"/>
      <c r="G29" s="217"/>
      <c r="H29" s="217"/>
      <c r="I29" s="217"/>
      <c r="J29" s="217"/>
      <c r="K29" s="217"/>
    </row>
    <row r="30" spans="2:11" ht="12.75">
      <c r="B30" s="239" t="s">
        <v>167</v>
      </c>
      <c r="C30" s="239"/>
      <c r="D30" s="239"/>
      <c r="E30" s="239"/>
      <c r="F30" s="239"/>
      <c r="G30" s="239"/>
      <c r="H30" s="239"/>
      <c r="I30" s="239"/>
      <c r="J30" s="239"/>
      <c r="K30" s="239"/>
    </row>
    <row r="33" spans="1:13" ht="12.75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</row>
    <row r="34" spans="1:1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</sheetData>
  <sheetProtection/>
  <mergeCells count="50">
    <mergeCell ref="B2:L2"/>
    <mergeCell ref="B3:L3"/>
    <mergeCell ref="B29:K29"/>
    <mergeCell ref="B30:K30"/>
    <mergeCell ref="G12:H12"/>
    <mergeCell ref="I12:J12"/>
    <mergeCell ref="K12:L12"/>
    <mergeCell ref="K5:L5"/>
    <mergeCell ref="I5:J5"/>
    <mergeCell ref="C6:D6"/>
    <mergeCell ref="C9:D9"/>
    <mergeCell ref="C11:D11"/>
    <mergeCell ref="E9:F9"/>
    <mergeCell ref="C10:D10"/>
    <mergeCell ref="E10:F10"/>
    <mergeCell ref="A22:A23"/>
    <mergeCell ref="C17:F17"/>
    <mergeCell ref="G17:K17"/>
    <mergeCell ref="B13:L13"/>
    <mergeCell ref="B14:L14"/>
    <mergeCell ref="A18:A19"/>
    <mergeCell ref="E11:F11"/>
    <mergeCell ref="G11:H11"/>
    <mergeCell ref="I11:J11"/>
    <mergeCell ref="K11:L11"/>
    <mergeCell ref="C12:D12"/>
    <mergeCell ref="E12:F12"/>
    <mergeCell ref="E5:F5"/>
    <mergeCell ref="E6:F6"/>
    <mergeCell ref="C5:D5"/>
    <mergeCell ref="G8:H8"/>
    <mergeCell ref="G5:H5"/>
    <mergeCell ref="C8:D8"/>
    <mergeCell ref="E8:F8"/>
    <mergeCell ref="C7:D7"/>
    <mergeCell ref="E7:F7"/>
    <mergeCell ref="K6:L6"/>
    <mergeCell ref="K7:L7"/>
    <mergeCell ref="K8:L8"/>
    <mergeCell ref="G6:H6"/>
    <mergeCell ref="G7:H7"/>
    <mergeCell ref="I7:J7"/>
    <mergeCell ref="I6:J6"/>
    <mergeCell ref="K10:L10"/>
    <mergeCell ref="I9:J9"/>
    <mergeCell ref="G10:H10"/>
    <mergeCell ref="I10:J10"/>
    <mergeCell ref="I8:J8"/>
    <mergeCell ref="G9:H9"/>
    <mergeCell ref="K9:L9"/>
  </mergeCells>
  <printOptions horizontalCentered="1"/>
  <pageMargins left="0.25" right="0.25" top="1" bottom="0.5" header="0.75" footer="0.5"/>
  <pageSetup firstPageNumber="3" useFirstPageNumber="1" fitToHeight="1" fitToWidth="1" horizontalDpi="600" verticalDpi="600" orientation="landscape" r:id="rId1"/>
  <headerFooter alignWithMargins="0">
    <oddHeader>&amp;RExxonMobil Rule 1105.1 Compliance Project</oddHeader>
    <oddFooter>&amp;LFinal EIR&amp;CC-6&amp;RMarch 2007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N34"/>
  <sheetViews>
    <sheetView view="pageBreakPreview" zoomScale="60" zoomScalePageLayoutView="0" workbookViewId="0" topLeftCell="A1">
      <selection activeCell="H34" sqref="H34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10.421875" style="0" customWidth="1"/>
    <col min="4" max="4" width="9.57421875" style="0" customWidth="1"/>
    <col min="5" max="5" width="9.7109375" style="0" customWidth="1"/>
    <col min="6" max="7" width="9.57421875" style="0" customWidth="1"/>
    <col min="8" max="8" width="9.7109375" style="0" customWidth="1"/>
    <col min="9" max="9" width="9.57421875" style="0" customWidth="1"/>
    <col min="10" max="12" width="9.7109375" style="0" customWidth="1"/>
    <col min="13" max="13" width="4.7109375" style="0" customWidth="1"/>
  </cols>
  <sheetData>
    <row r="1" spans="1:13" ht="12.75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2:12" ht="15">
      <c r="B2" s="213" t="s">
        <v>178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2:12" ht="15">
      <c r="B3" s="213" t="s">
        <v>179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ht="13.5" thickBot="1"/>
    <row r="5" spans="2:12" ht="30" customHeight="1" thickBot="1">
      <c r="B5" s="113" t="s">
        <v>9</v>
      </c>
      <c r="C5" s="227" t="s">
        <v>23</v>
      </c>
      <c r="D5" s="229"/>
      <c r="E5" s="227" t="s">
        <v>71</v>
      </c>
      <c r="F5" s="228"/>
      <c r="G5" s="227" t="s">
        <v>24</v>
      </c>
      <c r="H5" s="229"/>
      <c r="I5" s="227" t="s">
        <v>25</v>
      </c>
      <c r="J5" s="228"/>
      <c r="K5" s="227" t="s">
        <v>26</v>
      </c>
      <c r="L5" s="229"/>
    </row>
    <row r="6" spans="2:12" ht="15">
      <c r="B6" s="61" t="s">
        <v>104</v>
      </c>
      <c r="C6" s="225">
        <v>0.01282</v>
      </c>
      <c r="D6" s="225"/>
      <c r="E6" s="225">
        <v>0.001383</v>
      </c>
      <c r="F6" s="225"/>
      <c r="G6" s="225">
        <v>0.001361</v>
      </c>
      <c r="H6" s="225"/>
      <c r="I6" s="225">
        <v>9E-06</v>
      </c>
      <c r="J6" s="225"/>
      <c r="K6" s="225">
        <v>8E-05</v>
      </c>
      <c r="L6" s="226"/>
    </row>
    <row r="7" spans="2:12" ht="15">
      <c r="B7" s="62" t="s">
        <v>98</v>
      </c>
      <c r="C7" s="223">
        <v>0.01282</v>
      </c>
      <c r="D7" s="223"/>
      <c r="E7" s="223">
        <v>0.001383</v>
      </c>
      <c r="F7" s="223"/>
      <c r="G7" s="223">
        <v>0.001361</v>
      </c>
      <c r="H7" s="223"/>
      <c r="I7" s="223">
        <v>9E-06</v>
      </c>
      <c r="J7" s="223"/>
      <c r="K7" s="223">
        <v>8E-05</v>
      </c>
      <c r="L7" s="224"/>
    </row>
    <row r="8" spans="2:12" ht="15">
      <c r="B8" s="63" t="s">
        <v>58</v>
      </c>
      <c r="C8" s="223">
        <v>0.017455</v>
      </c>
      <c r="D8" s="223"/>
      <c r="E8" s="223">
        <v>0.002608</v>
      </c>
      <c r="F8" s="223"/>
      <c r="G8" s="223">
        <v>0.024978</v>
      </c>
      <c r="H8" s="223"/>
      <c r="I8" s="223">
        <v>3.3E-05</v>
      </c>
      <c r="J8" s="223"/>
      <c r="K8" s="223">
        <v>0.00044</v>
      </c>
      <c r="L8" s="224"/>
    </row>
    <row r="9" spans="2:12" ht="15">
      <c r="B9" s="62" t="s">
        <v>111</v>
      </c>
      <c r="C9" s="223">
        <v>0.017455</v>
      </c>
      <c r="D9" s="223"/>
      <c r="E9" s="223">
        <v>0.002608</v>
      </c>
      <c r="F9" s="223"/>
      <c r="G9" s="223">
        <v>0.024978</v>
      </c>
      <c r="H9" s="223"/>
      <c r="I9" s="223">
        <v>3.3E-05</v>
      </c>
      <c r="J9" s="223"/>
      <c r="K9" s="223">
        <v>0.00044</v>
      </c>
      <c r="L9" s="224"/>
    </row>
    <row r="10" spans="2:12" ht="15">
      <c r="B10" s="62" t="s">
        <v>127</v>
      </c>
      <c r="C10" s="223">
        <v>0.017455</v>
      </c>
      <c r="D10" s="223"/>
      <c r="E10" s="223">
        <v>0.002608</v>
      </c>
      <c r="F10" s="223"/>
      <c r="G10" s="223">
        <v>0.024978</v>
      </c>
      <c r="H10" s="223"/>
      <c r="I10" s="223">
        <v>3.3E-05</v>
      </c>
      <c r="J10" s="223"/>
      <c r="K10" s="223">
        <v>0.00044</v>
      </c>
      <c r="L10" s="224"/>
    </row>
    <row r="11" spans="2:12" ht="15">
      <c r="B11" s="62" t="s">
        <v>69</v>
      </c>
      <c r="C11" s="223">
        <v>0.00552</v>
      </c>
      <c r="D11" s="223"/>
      <c r="E11" s="223">
        <v>0.001227</v>
      </c>
      <c r="F11" s="223"/>
      <c r="G11" s="223">
        <v>0.035635</v>
      </c>
      <c r="H11" s="223"/>
      <c r="I11" s="223">
        <v>4.57E-05</v>
      </c>
      <c r="J11" s="223"/>
      <c r="K11" s="223">
        <v>0.000644</v>
      </c>
      <c r="L11" s="224"/>
    </row>
    <row r="12" spans="2:12" ht="15.75" thickBot="1">
      <c r="B12" s="64" t="s">
        <v>73</v>
      </c>
      <c r="C12" s="231">
        <v>0.00552</v>
      </c>
      <c r="D12" s="231"/>
      <c r="E12" s="231">
        <v>0.001227</v>
      </c>
      <c r="F12" s="231"/>
      <c r="G12" s="231">
        <v>0.035635</v>
      </c>
      <c r="H12" s="231"/>
      <c r="I12" s="231">
        <v>4.57E-05</v>
      </c>
      <c r="J12" s="231"/>
      <c r="K12" s="231">
        <v>0.000644</v>
      </c>
      <c r="L12" s="240"/>
    </row>
    <row r="13" spans="2:12" ht="12.75">
      <c r="B13" s="236" t="s">
        <v>56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</row>
    <row r="14" spans="2:12" ht="12.75">
      <c r="B14" s="237" t="s">
        <v>57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</row>
    <row r="15" spans="2:12" ht="12.75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ht="13.5" thickBot="1"/>
    <row r="17" spans="2:13" ht="15.75" thickBot="1">
      <c r="B17" s="114"/>
      <c r="C17" s="233" t="s">
        <v>10</v>
      </c>
      <c r="D17" s="234"/>
      <c r="E17" s="234"/>
      <c r="F17" s="235"/>
      <c r="G17" s="233" t="s">
        <v>59</v>
      </c>
      <c r="H17" s="234"/>
      <c r="I17" s="234"/>
      <c r="J17" s="234"/>
      <c r="K17" s="235"/>
      <c r="L17" s="8"/>
      <c r="M17" s="8"/>
    </row>
    <row r="18" spans="1:14" ht="55.5" thickBot="1">
      <c r="A18" s="241"/>
      <c r="B18" s="115" t="s">
        <v>11</v>
      </c>
      <c r="C18" s="116" t="s">
        <v>43</v>
      </c>
      <c r="D18" s="117" t="s">
        <v>42</v>
      </c>
      <c r="E18" s="118" t="s">
        <v>137</v>
      </c>
      <c r="F18" s="119" t="s">
        <v>138</v>
      </c>
      <c r="G18" s="120" t="s">
        <v>27</v>
      </c>
      <c r="H18" s="121" t="s">
        <v>28</v>
      </c>
      <c r="I18" s="120" t="s">
        <v>29</v>
      </c>
      <c r="J18" s="120" t="s">
        <v>30</v>
      </c>
      <c r="K18" s="121" t="s">
        <v>31</v>
      </c>
      <c r="L18" s="9"/>
      <c r="M18" s="17"/>
      <c r="N18" s="17"/>
    </row>
    <row r="19" spans="1:14" ht="12.75">
      <c r="A19" s="241"/>
      <c r="B19" s="61" t="s">
        <v>105</v>
      </c>
      <c r="C19" s="33">
        <v>115</v>
      </c>
      <c r="D19" s="33">
        <v>2</v>
      </c>
      <c r="E19" s="65">
        <v>16.2</v>
      </c>
      <c r="F19" s="65">
        <f>E19*D19*C19</f>
        <v>3726</v>
      </c>
      <c r="G19" s="66">
        <f aca="true" t="shared" si="0" ref="G19:G25">F19*C6</f>
        <v>47.76732</v>
      </c>
      <c r="H19" s="66">
        <f aca="true" t="shared" si="1" ref="H19:H25">F19*E6</f>
        <v>5.153058</v>
      </c>
      <c r="I19" s="66">
        <f aca="true" t="shared" si="2" ref="I19:I25">F19*G6</f>
        <v>5.071086</v>
      </c>
      <c r="J19" s="66">
        <f aca="true" t="shared" si="3" ref="J19:J25">F19*I6</f>
        <v>0.033534</v>
      </c>
      <c r="K19" s="67">
        <f aca="true" t="shared" si="4" ref="K19:K25">F19*K6</f>
        <v>0.29808</v>
      </c>
      <c r="L19" s="31"/>
      <c r="M19" s="32"/>
      <c r="N19" s="32"/>
    </row>
    <row r="20" spans="2:14" ht="12.75">
      <c r="B20" s="62" t="s">
        <v>99</v>
      </c>
      <c r="C20" s="22">
        <v>5</v>
      </c>
      <c r="D20" s="22">
        <v>1</v>
      </c>
      <c r="E20" s="68">
        <v>5</v>
      </c>
      <c r="F20" s="68">
        <f aca="true" t="shared" si="5" ref="F20:F25">E20*D20*C20</f>
        <v>25</v>
      </c>
      <c r="G20" s="6">
        <f t="shared" si="0"/>
        <v>0.3205</v>
      </c>
      <c r="H20" s="6">
        <f t="shared" si="1"/>
        <v>0.034574999999999995</v>
      </c>
      <c r="I20" s="6">
        <f t="shared" si="2"/>
        <v>0.034025</v>
      </c>
      <c r="J20" s="147">
        <f t="shared" si="3"/>
        <v>0.000225</v>
      </c>
      <c r="K20" s="148">
        <f t="shared" si="4"/>
        <v>0.002</v>
      </c>
      <c r="L20" s="31"/>
      <c r="M20" s="32"/>
      <c r="N20" s="32"/>
    </row>
    <row r="21" spans="2:14" ht="12.75">
      <c r="B21" s="63" t="s">
        <v>34</v>
      </c>
      <c r="C21" s="22">
        <v>15</v>
      </c>
      <c r="D21" s="22">
        <v>2</v>
      </c>
      <c r="E21" s="68">
        <v>10</v>
      </c>
      <c r="F21" s="22">
        <f t="shared" si="5"/>
        <v>300</v>
      </c>
      <c r="G21" s="6">
        <f t="shared" si="0"/>
        <v>5.2364999999999995</v>
      </c>
      <c r="H21" s="6">
        <f t="shared" si="1"/>
        <v>0.7824</v>
      </c>
      <c r="I21" s="6">
        <f t="shared" si="2"/>
        <v>7.4934</v>
      </c>
      <c r="J21" s="6">
        <f t="shared" si="3"/>
        <v>0.0099</v>
      </c>
      <c r="K21" s="69">
        <f t="shared" si="4"/>
        <v>0.132</v>
      </c>
      <c r="L21" s="16"/>
      <c r="M21" s="20"/>
      <c r="N21" s="20"/>
    </row>
    <row r="22" spans="1:14" s="12" customFormat="1" ht="12.75">
      <c r="A22" s="232"/>
      <c r="B22" s="62" t="s">
        <v>41</v>
      </c>
      <c r="C22" s="22">
        <v>1</v>
      </c>
      <c r="D22" s="22">
        <v>1</v>
      </c>
      <c r="E22" s="68">
        <v>5</v>
      </c>
      <c r="F22" s="68">
        <f t="shared" si="5"/>
        <v>5</v>
      </c>
      <c r="G22" s="6">
        <f t="shared" si="0"/>
        <v>0.08727499999999999</v>
      </c>
      <c r="H22" s="6">
        <f t="shared" si="1"/>
        <v>0.01304</v>
      </c>
      <c r="I22" s="6">
        <f t="shared" si="2"/>
        <v>0.12489</v>
      </c>
      <c r="J22" s="147">
        <f t="shared" si="3"/>
        <v>0.000165</v>
      </c>
      <c r="K22" s="148">
        <f t="shared" si="4"/>
        <v>0.0022</v>
      </c>
      <c r="L22" s="16"/>
      <c r="M22" s="20"/>
      <c r="N22" s="20"/>
    </row>
    <row r="23" spans="1:14" s="12" customFormat="1" ht="12.75">
      <c r="A23" s="232"/>
      <c r="B23" s="62" t="s">
        <v>40</v>
      </c>
      <c r="C23" s="22">
        <v>2</v>
      </c>
      <c r="D23" s="22">
        <v>1</v>
      </c>
      <c r="E23" s="68">
        <v>5</v>
      </c>
      <c r="F23" s="68">
        <f t="shared" si="5"/>
        <v>10</v>
      </c>
      <c r="G23" s="6">
        <f t="shared" si="0"/>
        <v>0.17454999999999998</v>
      </c>
      <c r="H23" s="6">
        <f t="shared" si="1"/>
        <v>0.02608</v>
      </c>
      <c r="I23" s="6">
        <f t="shared" si="2"/>
        <v>0.24978</v>
      </c>
      <c r="J23" s="147">
        <f t="shared" si="3"/>
        <v>0.00033</v>
      </c>
      <c r="K23" s="148">
        <f t="shared" si="4"/>
        <v>0.0044</v>
      </c>
      <c r="L23" s="16"/>
      <c r="M23" s="20"/>
      <c r="N23" s="20"/>
    </row>
    <row r="24" spans="1:14" s="12" customFormat="1" ht="12.75">
      <c r="A24" s="49"/>
      <c r="B24" s="62" t="s">
        <v>70</v>
      </c>
      <c r="C24" s="22">
        <v>0</v>
      </c>
      <c r="D24" s="22">
        <v>0</v>
      </c>
      <c r="E24" s="152">
        <v>0</v>
      </c>
      <c r="F24" s="22">
        <f t="shared" si="5"/>
        <v>0</v>
      </c>
      <c r="G24" s="22">
        <f t="shared" si="0"/>
        <v>0</v>
      </c>
      <c r="H24" s="22">
        <f t="shared" si="1"/>
        <v>0</v>
      </c>
      <c r="I24" s="22">
        <f t="shared" si="2"/>
        <v>0</v>
      </c>
      <c r="J24" s="22">
        <f t="shared" si="3"/>
        <v>0</v>
      </c>
      <c r="K24" s="145">
        <f t="shared" si="4"/>
        <v>0</v>
      </c>
      <c r="L24" s="20"/>
      <c r="M24" s="20"/>
      <c r="N24" s="20"/>
    </row>
    <row r="25" spans="1:14" s="12" customFormat="1" ht="13.5" thickBot="1">
      <c r="A25" s="49"/>
      <c r="B25" s="70" t="s">
        <v>74</v>
      </c>
      <c r="C25" s="34">
        <v>0</v>
      </c>
      <c r="D25" s="34">
        <v>0</v>
      </c>
      <c r="E25" s="153">
        <v>0</v>
      </c>
      <c r="F25" s="34">
        <f t="shared" si="5"/>
        <v>0</v>
      </c>
      <c r="G25" s="34">
        <f t="shared" si="0"/>
        <v>0</v>
      </c>
      <c r="H25" s="34">
        <f t="shared" si="1"/>
        <v>0</v>
      </c>
      <c r="I25" s="34">
        <f t="shared" si="2"/>
        <v>0</v>
      </c>
      <c r="J25" s="34">
        <f t="shared" si="3"/>
        <v>0</v>
      </c>
      <c r="K25" s="151">
        <f t="shared" si="4"/>
        <v>0</v>
      </c>
      <c r="L25" s="20"/>
      <c r="M25" s="20"/>
      <c r="N25" s="20"/>
    </row>
    <row r="26" spans="2:14" ht="14.25" thickBot="1" thickTop="1">
      <c r="B26" s="143" t="s">
        <v>33</v>
      </c>
      <c r="C26" s="144"/>
      <c r="D26" s="144"/>
      <c r="E26" s="144"/>
      <c r="F26" s="144"/>
      <c r="G26" s="149">
        <f>SUM(G19:G25)</f>
        <v>53.586145</v>
      </c>
      <c r="H26" s="149">
        <f>SUM(H19:H25)</f>
        <v>6.009153</v>
      </c>
      <c r="I26" s="149">
        <f>SUM(I19:I25)</f>
        <v>12.973181</v>
      </c>
      <c r="J26" s="149">
        <f>SUM(J19:J25)</f>
        <v>0.044154</v>
      </c>
      <c r="K26" s="154">
        <f>SUM(K19:K25)</f>
        <v>0.43868</v>
      </c>
      <c r="L26" s="20"/>
      <c r="M26" s="20"/>
      <c r="N26" s="20"/>
    </row>
    <row r="27" spans="2:10" ht="12.75">
      <c r="B27" s="99" t="s">
        <v>72</v>
      </c>
      <c r="C27" s="99"/>
      <c r="D27" s="99"/>
      <c r="E27" s="99"/>
      <c r="F27" s="99"/>
      <c r="G27" s="99"/>
      <c r="H27" s="99"/>
      <c r="I27" s="99"/>
      <c r="J27" s="99"/>
    </row>
    <row r="28" spans="2:13" ht="12.75">
      <c r="B28" s="99" t="s">
        <v>94</v>
      </c>
      <c r="C28" s="99"/>
      <c r="D28" s="99"/>
      <c r="E28" s="99"/>
      <c r="F28" s="99"/>
      <c r="G28" s="99"/>
      <c r="H28" s="99"/>
      <c r="I28" s="99"/>
      <c r="J28" s="99"/>
      <c r="M28" s="10"/>
    </row>
    <row r="29" spans="2:11" ht="12.75">
      <c r="B29" s="238" t="s">
        <v>166</v>
      </c>
      <c r="C29" s="217"/>
      <c r="D29" s="217"/>
      <c r="E29" s="217"/>
      <c r="F29" s="217"/>
      <c r="G29" s="217"/>
      <c r="H29" s="217"/>
      <c r="I29" s="217"/>
      <c r="J29" s="217"/>
      <c r="K29" s="217"/>
    </row>
    <row r="30" spans="2:11" ht="12.75">
      <c r="B30" s="239" t="s">
        <v>167</v>
      </c>
      <c r="C30" s="239"/>
      <c r="D30" s="239"/>
      <c r="E30" s="239"/>
      <c r="F30" s="239"/>
      <c r="G30" s="239"/>
      <c r="H30" s="239"/>
      <c r="I30" s="239"/>
      <c r="J30" s="239"/>
      <c r="K30" s="239"/>
    </row>
    <row r="33" spans="1:13" ht="12.75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</row>
    <row r="34" spans="1:1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</sheetData>
  <sheetProtection/>
  <mergeCells count="50">
    <mergeCell ref="B2:L2"/>
    <mergeCell ref="B3:L3"/>
    <mergeCell ref="B29:K29"/>
    <mergeCell ref="B30:K30"/>
    <mergeCell ref="G11:H11"/>
    <mergeCell ref="I11:J11"/>
    <mergeCell ref="K11:L11"/>
    <mergeCell ref="C12:D12"/>
    <mergeCell ref="E12:F12"/>
    <mergeCell ref="G12:H12"/>
    <mergeCell ref="I12:J12"/>
    <mergeCell ref="K12:L12"/>
    <mergeCell ref="A18:A19"/>
    <mergeCell ref="C10:D10"/>
    <mergeCell ref="E10:F10"/>
    <mergeCell ref="C11:D11"/>
    <mergeCell ref="E11:F11"/>
    <mergeCell ref="K10:L10"/>
    <mergeCell ref="C9:D9"/>
    <mergeCell ref="I9:J9"/>
    <mergeCell ref="G10:H10"/>
    <mergeCell ref="I10:J10"/>
    <mergeCell ref="G9:H9"/>
    <mergeCell ref="E9:F9"/>
    <mergeCell ref="K6:L6"/>
    <mergeCell ref="G6:H6"/>
    <mergeCell ref="K9:L9"/>
    <mergeCell ref="G7:H7"/>
    <mergeCell ref="I7:J7"/>
    <mergeCell ref="I6:J6"/>
    <mergeCell ref="G8:H8"/>
    <mergeCell ref="I8:J8"/>
    <mergeCell ref="K7:L7"/>
    <mergeCell ref="K8:L8"/>
    <mergeCell ref="A22:A23"/>
    <mergeCell ref="C7:D7"/>
    <mergeCell ref="E7:F7"/>
    <mergeCell ref="G5:H5"/>
    <mergeCell ref="C8:D8"/>
    <mergeCell ref="E8:F8"/>
    <mergeCell ref="C17:F17"/>
    <mergeCell ref="G17:K17"/>
    <mergeCell ref="B13:L13"/>
    <mergeCell ref="B14:L14"/>
    <mergeCell ref="C6:D6"/>
    <mergeCell ref="E5:F5"/>
    <mergeCell ref="E6:F6"/>
    <mergeCell ref="C5:D5"/>
    <mergeCell ref="K5:L5"/>
    <mergeCell ref="I5:J5"/>
  </mergeCells>
  <printOptions horizontalCentered="1"/>
  <pageMargins left="0.25" right="0.25" top="1" bottom="0.5" header="0.75" footer="0.5"/>
  <pageSetup firstPageNumber="3" useFirstPageNumber="1" fitToHeight="1" fitToWidth="1" horizontalDpi="600" verticalDpi="600" orientation="landscape" r:id="rId1"/>
  <headerFooter alignWithMargins="0">
    <oddHeader>&amp;RExxonMobil Rule 1105.1 Compliance Project</oddHeader>
    <oddFooter>&amp;LFinal EIR&amp;CC-7&amp;RMarch 2007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N33"/>
  <sheetViews>
    <sheetView view="pageBreakPreview" zoomScale="60" zoomScalePageLayoutView="0" workbookViewId="0" topLeftCell="A1">
      <selection activeCell="B3" sqref="B3:L3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10.421875" style="0" customWidth="1"/>
    <col min="4" max="4" width="9.57421875" style="0" customWidth="1"/>
    <col min="5" max="5" width="9.7109375" style="0" customWidth="1"/>
    <col min="6" max="7" width="9.57421875" style="0" customWidth="1"/>
    <col min="8" max="8" width="9.7109375" style="0" customWidth="1"/>
    <col min="9" max="9" width="9.57421875" style="0" customWidth="1"/>
    <col min="10" max="12" width="9.7109375" style="0" customWidth="1"/>
    <col min="13" max="13" width="4.7109375" style="0" customWidth="1"/>
  </cols>
  <sheetData>
    <row r="1" spans="1:13" ht="12.75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2:12" ht="15">
      <c r="B2" s="213" t="s">
        <v>180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2:12" ht="15">
      <c r="B3" s="213" t="s">
        <v>181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ht="13.5" thickBot="1"/>
    <row r="5" spans="2:12" ht="30" customHeight="1" thickBot="1">
      <c r="B5" s="113" t="s">
        <v>9</v>
      </c>
      <c r="C5" s="227" t="s">
        <v>23</v>
      </c>
      <c r="D5" s="229"/>
      <c r="E5" s="227" t="s">
        <v>71</v>
      </c>
      <c r="F5" s="228"/>
      <c r="G5" s="227" t="s">
        <v>24</v>
      </c>
      <c r="H5" s="229"/>
      <c r="I5" s="227" t="s">
        <v>25</v>
      </c>
      <c r="J5" s="228"/>
      <c r="K5" s="227" t="s">
        <v>26</v>
      </c>
      <c r="L5" s="229"/>
    </row>
    <row r="6" spans="2:12" ht="15">
      <c r="B6" s="61" t="s">
        <v>104</v>
      </c>
      <c r="C6" s="225">
        <v>0.011798</v>
      </c>
      <c r="D6" s="225"/>
      <c r="E6" s="225">
        <v>0.001277</v>
      </c>
      <c r="F6" s="225"/>
      <c r="G6" s="225">
        <v>0.001245</v>
      </c>
      <c r="H6" s="225"/>
      <c r="I6" s="225">
        <v>9E-06</v>
      </c>
      <c r="J6" s="225"/>
      <c r="K6" s="225">
        <v>8E-05</v>
      </c>
      <c r="L6" s="226"/>
    </row>
    <row r="7" spans="2:12" ht="15">
      <c r="B7" s="62" t="s">
        <v>98</v>
      </c>
      <c r="C7" s="223">
        <v>0.011798</v>
      </c>
      <c r="D7" s="223"/>
      <c r="E7" s="223">
        <v>0.001277</v>
      </c>
      <c r="F7" s="223"/>
      <c r="G7" s="223">
        <v>0.001245</v>
      </c>
      <c r="H7" s="223"/>
      <c r="I7" s="223">
        <v>9E-06</v>
      </c>
      <c r="J7" s="223"/>
      <c r="K7" s="223">
        <v>8E-05</v>
      </c>
      <c r="L7" s="224"/>
    </row>
    <row r="8" spans="2:12" ht="15">
      <c r="B8" s="63" t="s">
        <v>58</v>
      </c>
      <c r="C8" s="223">
        <v>0.015942</v>
      </c>
      <c r="D8" s="223"/>
      <c r="E8" s="223">
        <v>0.00245</v>
      </c>
      <c r="F8" s="223"/>
      <c r="G8" s="223">
        <v>0.023199</v>
      </c>
      <c r="H8" s="223"/>
      <c r="I8" s="223">
        <v>3.3E-05</v>
      </c>
      <c r="J8" s="223"/>
      <c r="K8" s="223">
        <v>0.000419</v>
      </c>
      <c r="L8" s="224"/>
    </row>
    <row r="9" spans="2:12" ht="15">
      <c r="B9" s="62" t="s">
        <v>111</v>
      </c>
      <c r="C9" s="223">
        <v>0.015942</v>
      </c>
      <c r="D9" s="223"/>
      <c r="E9" s="223">
        <v>0.00245</v>
      </c>
      <c r="F9" s="223"/>
      <c r="G9" s="223">
        <v>0.023199</v>
      </c>
      <c r="H9" s="223"/>
      <c r="I9" s="223">
        <v>3.3E-05</v>
      </c>
      <c r="J9" s="223"/>
      <c r="K9" s="223">
        <v>0.000419</v>
      </c>
      <c r="L9" s="224"/>
    </row>
    <row r="10" spans="2:12" ht="15">
      <c r="B10" s="62" t="s">
        <v>127</v>
      </c>
      <c r="C10" s="223">
        <v>0.015942</v>
      </c>
      <c r="D10" s="223"/>
      <c r="E10" s="223">
        <v>0.00245</v>
      </c>
      <c r="F10" s="223"/>
      <c r="G10" s="223">
        <v>0.023199</v>
      </c>
      <c r="H10" s="223"/>
      <c r="I10" s="223">
        <v>3.3E-05</v>
      </c>
      <c r="J10" s="223"/>
      <c r="K10" s="223">
        <v>0.000419</v>
      </c>
      <c r="L10" s="224"/>
    </row>
    <row r="11" spans="2:12" ht="15">
      <c r="B11" s="62" t="s">
        <v>69</v>
      </c>
      <c r="C11" s="223">
        <v>0.005117</v>
      </c>
      <c r="D11" s="223"/>
      <c r="E11" s="223">
        <v>0.001133</v>
      </c>
      <c r="F11" s="223"/>
      <c r="G11" s="223">
        <v>0.032442</v>
      </c>
      <c r="H11" s="223"/>
      <c r="I11" s="223">
        <v>4.6E-05</v>
      </c>
      <c r="J11" s="223"/>
      <c r="K11" s="223">
        <v>0.000598</v>
      </c>
      <c r="L11" s="224"/>
    </row>
    <row r="12" spans="2:12" ht="15.75" thickBot="1">
      <c r="B12" s="64" t="s">
        <v>73</v>
      </c>
      <c r="C12" s="231">
        <v>0.005117</v>
      </c>
      <c r="D12" s="231"/>
      <c r="E12" s="231">
        <v>0.001133</v>
      </c>
      <c r="F12" s="231"/>
      <c r="G12" s="231">
        <v>0.032442</v>
      </c>
      <c r="H12" s="231"/>
      <c r="I12" s="231">
        <v>4.6E-05</v>
      </c>
      <c r="J12" s="231"/>
      <c r="K12" s="231">
        <v>0.000598</v>
      </c>
      <c r="L12" s="240"/>
    </row>
    <row r="13" spans="2:12" ht="12.75">
      <c r="B13" s="236" t="s">
        <v>60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</row>
    <row r="14" spans="2:12" ht="12.75">
      <c r="B14" s="237" t="s">
        <v>61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</row>
    <row r="15" spans="2:12" ht="12.75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ht="13.5" thickBot="1"/>
    <row r="17" spans="2:13" ht="15.75" thickBot="1">
      <c r="B17" s="114"/>
      <c r="C17" s="233" t="s">
        <v>10</v>
      </c>
      <c r="D17" s="234"/>
      <c r="E17" s="234"/>
      <c r="F17" s="235"/>
      <c r="G17" s="233" t="s">
        <v>59</v>
      </c>
      <c r="H17" s="234"/>
      <c r="I17" s="234"/>
      <c r="J17" s="234"/>
      <c r="K17" s="235"/>
      <c r="L17" s="8"/>
      <c r="M17" s="8"/>
    </row>
    <row r="18" spans="1:14" ht="55.5" thickBot="1">
      <c r="A18" s="241"/>
      <c r="B18" s="115" t="s">
        <v>11</v>
      </c>
      <c r="C18" s="116" t="s">
        <v>43</v>
      </c>
      <c r="D18" s="117" t="s">
        <v>42</v>
      </c>
      <c r="E18" s="118" t="s">
        <v>137</v>
      </c>
      <c r="F18" s="119" t="s">
        <v>138</v>
      </c>
      <c r="G18" s="120" t="s">
        <v>27</v>
      </c>
      <c r="H18" s="121" t="s">
        <v>28</v>
      </c>
      <c r="I18" s="120" t="s">
        <v>29</v>
      </c>
      <c r="J18" s="120" t="s">
        <v>30</v>
      </c>
      <c r="K18" s="121" t="s">
        <v>31</v>
      </c>
      <c r="L18" s="9"/>
      <c r="M18" s="17"/>
      <c r="N18" s="17"/>
    </row>
    <row r="19" spans="1:14" ht="12.75">
      <c r="A19" s="241"/>
      <c r="B19" s="61" t="s">
        <v>105</v>
      </c>
      <c r="C19" s="33">
        <v>15</v>
      </c>
      <c r="D19" s="33">
        <v>2</v>
      </c>
      <c r="E19" s="65">
        <v>16.2</v>
      </c>
      <c r="F19" s="65">
        <f>E19*D19*C19</f>
        <v>486</v>
      </c>
      <c r="G19" s="66">
        <f aca="true" t="shared" si="0" ref="G19:G25">F19*C6</f>
        <v>5.733828</v>
      </c>
      <c r="H19" s="66">
        <f aca="true" t="shared" si="1" ref="H19:H25">F19*E6</f>
        <v>0.620622</v>
      </c>
      <c r="I19" s="66">
        <f aca="true" t="shared" si="2" ref="I19:I25">F19*G6</f>
        <v>0.60507</v>
      </c>
      <c r="J19" s="155">
        <f aca="true" t="shared" si="3" ref="J19:J25">F19*I6</f>
        <v>0.004374</v>
      </c>
      <c r="K19" s="67">
        <f aca="true" t="shared" si="4" ref="K19:K25">F19*K6</f>
        <v>0.038880000000000005</v>
      </c>
      <c r="L19" s="31"/>
      <c r="M19" s="32"/>
      <c r="N19" s="32"/>
    </row>
    <row r="20" spans="2:14" ht="12.75">
      <c r="B20" s="62" t="s">
        <v>99</v>
      </c>
      <c r="C20" s="22">
        <v>2</v>
      </c>
      <c r="D20" s="22">
        <v>1</v>
      </c>
      <c r="E20" s="68">
        <v>5</v>
      </c>
      <c r="F20" s="68">
        <f aca="true" t="shared" si="5" ref="F20:F25">E20*D20*C20</f>
        <v>10</v>
      </c>
      <c r="G20" s="6">
        <f t="shared" si="0"/>
        <v>0.11798</v>
      </c>
      <c r="H20" s="6">
        <f t="shared" si="1"/>
        <v>0.01277</v>
      </c>
      <c r="I20" s="6">
        <f t="shared" si="2"/>
        <v>0.01245</v>
      </c>
      <c r="J20" s="147">
        <f t="shared" si="3"/>
        <v>9E-05</v>
      </c>
      <c r="K20" s="148">
        <f t="shared" si="4"/>
        <v>0.0008</v>
      </c>
      <c r="L20" s="31"/>
      <c r="M20" s="32"/>
      <c r="N20" s="32"/>
    </row>
    <row r="21" spans="2:14" ht="12.75">
      <c r="B21" s="63" t="s">
        <v>34</v>
      </c>
      <c r="C21" s="22">
        <v>1</v>
      </c>
      <c r="D21" s="22">
        <v>2</v>
      </c>
      <c r="E21" s="68">
        <v>10</v>
      </c>
      <c r="F21" s="22">
        <f t="shared" si="5"/>
        <v>20</v>
      </c>
      <c r="G21" s="6">
        <f t="shared" si="0"/>
        <v>0.31884</v>
      </c>
      <c r="H21" s="6">
        <f t="shared" si="1"/>
        <v>0.049</v>
      </c>
      <c r="I21" s="6">
        <f t="shared" si="2"/>
        <v>0.46398</v>
      </c>
      <c r="J21" s="146">
        <f t="shared" si="3"/>
        <v>0.00066</v>
      </c>
      <c r="K21" s="69">
        <f t="shared" si="4"/>
        <v>0.00838</v>
      </c>
      <c r="L21" s="16"/>
      <c r="M21" s="20"/>
      <c r="N21" s="20"/>
    </row>
    <row r="22" spans="1:14" s="12" customFormat="1" ht="12.75">
      <c r="A22" s="232"/>
      <c r="B22" s="62" t="s">
        <v>41</v>
      </c>
      <c r="C22" s="22">
        <v>1</v>
      </c>
      <c r="D22" s="22">
        <v>1</v>
      </c>
      <c r="E22" s="68">
        <v>5</v>
      </c>
      <c r="F22" s="68">
        <f t="shared" si="5"/>
        <v>5</v>
      </c>
      <c r="G22" s="6">
        <f t="shared" si="0"/>
        <v>0.07971</v>
      </c>
      <c r="H22" s="6">
        <f t="shared" si="1"/>
        <v>0.01225</v>
      </c>
      <c r="I22" s="6">
        <f t="shared" si="2"/>
        <v>0.115995</v>
      </c>
      <c r="J22" s="147">
        <f t="shared" si="3"/>
        <v>0.000165</v>
      </c>
      <c r="K22" s="148">
        <f t="shared" si="4"/>
        <v>0.002095</v>
      </c>
      <c r="L22" s="16"/>
      <c r="M22" s="20"/>
      <c r="N22" s="20"/>
    </row>
    <row r="23" spans="1:14" s="12" customFormat="1" ht="12.75">
      <c r="A23" s="232"/>
      <c r="B23" s="62" t="s">
        <v>40</v>
      </c>
      <c r="C23" s="22">
        <v>0</v>
      </c>
      <c r="D23" s="22">
        <v>0</v>
      </c>
      <c r="E23" s="22">
        <v>0</v>
      </c>
      <c r="F23" s="22">
        <f t="shared" si="5"/>
        <v>0</v>
      </c>
      <c r="G23" s="22">
        <f t="shared" si="0"/>
        <v>0</v>
      </c>
      <c r="H23" s="22">
        <f t="shared" si="1"/>
        <v>0</v>
      </c>
      <c r="I23" s="22">
        <f t="shared" si="2"/>
        <v>0</v>
      </c>
      <c r="J23" s="22">
        <f t="shared" si="3"/>
        <v>0</v>
      </c>
      <c r="K23" s="145">
        <f t="shared" si="4"/>
        <v>0</v>
      </c>
      <c r="L23" s="16"/>
      <c r="M23" s="20"/>
      <c r="N23" s="20"/>
    </row>
    <row r="24" spans="1:14" s="12" customFormat="1" ht="12.75">
      <c r="A24" s="49"/>
      <c r="B24" s="62" t="s">
        <v>70</v>
      </c>
      <c r="C24" s="22">
        <v>0</v>
      </c>
      <c r="D24" s="22">
        <v>0</v>
      </c>
      <c r="E24" s="152">
        <v>0</v>
      </c>
      <c r="F24" s="22">
        <f t="shared" si="5"/>
        <v>0</v>
      </c>
      <c r="G24" s="22">
        <f t="shared" si="0"/>
        <v>0</v>
      </c>
      <c r="H24" s="22">
        <f t="shared" si="1"/>
        <v>0</v>
      </c>
      <c r="I24" s="22">
        <f t="shared" si="2"/>
        <v>0</v>
      </c>
      <c r="J24" s="22">
        <f t="shared" si="3"/>
        <v>0</v>
      </c>
      <c r="K24" s="145">
        <f t="shared" si="4"/>
        <v>0</v>
      </c>
      <c r="L24" s="20"/>
      <c r="M24" s="20"/>
      <c r="N24" s="20"/>
    </row>
    <row r="25" spans="1:14" s="12" customFormat="1" ht="13.5" thickBot="1">
      <c r="A25" s="49"/>
      <c r="B25" s="70" t="s">
        <v>74</v>
      </c>
      <c r="C25" s="34">
        <v>0</v>
      </c>
      <c r="D25" s="34">
        <v>0</v>
      </c>
      <c r="E25" s="153">
        <v>0</v>
      </c>
      <c r="F25" s="34">
        <f t="shared" si="5"/>
        <v>0</v>
      </c>
      <c r="G25" s="34">
        <f t="shared" si="0"/>
        <v>0</v>
      </c>
      <c r="H25" s="34">
        <f t="shared" si="1"/>
        <v>0</v>
      </c>
      <c r="I25" s="34">
        <f t="shared" si="2"/>
        <v>0</v>
      </c>
      <c r="J25" s="34">
        <f t="shared" si="3"/>
        <v>0</v>
      </c>
      <c r="K25" s="151">
        <f t="shared" si="4"/>
        <v>0</v>
      </c>
      <c r="L25" s="20"/>
      <c r="M25" s="20"/>
      <c r="N25" s="20"/>
    </row>
    <row r="26" spans="2:14" ht="14.25" thickBot="1" thickTop="1">
      <c r="B26" s="143" t="s">
        <v>33</v>
      </c>
      <c r="C26" s="144"/>
      <c r="D26" s="144"/>
      <c r="E26" s="144"/>
      <c r="F26" s="144"/>
      <c r="G26" s="149">
        <f>SUM(G19:G25)</f>
        <v>6.250358</v>
      </c>
      <c r="H26" s="149">
        <f>SUM(H19:H25)</f>
        <v>0.694642</v>
      </c>
      <c r="I26" s="149">
        <f>SUM(I19:I25)</f>
        <v>1.197495</v>
      </c>
      <c r="J26" s="156">
        <f>SUM(J19:J25)</f>
        <v>0.005289</v>
      </c>
      <c r="K26" s="154">
        <f>SUM(K19:K25)</f>
        <v>0.050155000000000005</v>
      </c>
      <c r="L26" s="20"/>
      <c r="M26" s="20"/>
      <c r="N26" s="20"/>
    </row>
    <row r="27" spans="2:11" ht="12.75">
      <c r="B27" s="99" t="s">
        <v>72</v>
      </c>
      <c r="C27" s="99"/>
      <c r="D27" s="99"/>
      <c r="E27" s="99"/>
      <c r="F27" s="99"/>
      <c r="G27" s="99"/>
      <c r="H27" s="99"/>
      <c r="I27" s="99"/>
      <c r="J27" s="99"/>
      <c r="K27" s="99"/>
    </row>
    <row r="28" spans="2:13" ht="12.75">
      <c r="B28" s="99" t="s">
        <v>94</v>
      </c>
      <c r="C28" s="99"/>
      <c r="D28" s="99"/>
      <c r="E28" s="99"/>
      <c r="F28" s="99"/>
      <c r="G28" s="99"/>
      <c r="H28" s="99"/>
      <c r="I28" s="99"/>
      <c r="J28" s="99"/>
      <c r="K28" s="99"/>
      <c r="M28" s="10"/>
    </row>
    <row r="29" spans="2:11" ht="12.75">
      <c r="B29" s="238" t="s">
        <v>166</v>
      </c>
      <c r="C29" s="217"/>
      <c r="D29" s="217"/>
      <c r="E29" s="217"/>
      <c r="F29" s="217"/>
      <c r="G29" s="217"/>
      <c r="H29" s="217"/>
      <c r="I29" s="217"/>
      <c r="J29" s="217"/>
      <c r="K29" s="217"/>
    </row>
    <row r="30" spans="2:11" ht="12.75">
      <c r="B30" s="239" t="s">
        <v>167</v>
      </c>
      <c r="C30" s="239"/>
      <c r="D30" s="239"/>
      <c r="E30" s="239"/>
      <c r="F30" s="239"/>
      <c r="G30" s="239"/>
      <c r="H30" s="239"/>
      <c r="I30" s="239"/>
      <c r="J30" s="239"/>
      <c r="K30" s="239"/>
    </row>
    <row r="33" spans="1:13" ht="12.75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</row>
  </sheetData>
  <sheetProtection/>
  <mergeCells count="50">
    <mergeCell ref="B2:L2"/>
    <mergeCell ref="B3:L3"/>
    <mergeCell ref="B29:K29"/>
    <mergeCell ref="B30:K30"/>
    <mergeCell ref="A22:A23"/>
    <mergeCell ref="A18:A19"/>
    <mergeCell ref="C17:F17"/>
    <mergeCell ref="G17:K17"/>
    <mergeCell ref="B13:L13"/>
    <mergeCell ref="B14:L14"/>
    <mergeCell ref="K12:L12"/>
    <mergeCell ref="I12:J12"/>
    <mergeCell ref="C12:D12"/>
    <mergeCell ref="E12:F12"/>
    <mergeCell ref="G12:H12"/>
    <mergeCell ref="K5:L5"/>
    <mergeCell ref="I5:J5"/>
    <mergeCell ref="C6:D6"/>
    <mergeCell ref="E11:F11"/>
    <mergeCell ref="G11:H11"/>
    <mergeCell ref="I11:J11"/>
    <mergeCell ref="K11:L11"/>
    <mergeCell ref="K6:L6"/>
    <mergeCell ref="K7:L7"/>
    <mergeCell ref="E5:F5"/>
    <mergeCell ref="C11:D11"/>
    <mergeCell ref="G10:H10"/>
    <mergeCell ref="I10:J10"/>
    <mergeCell ref="E6:F6"/>
    <mergeCell ref="C5:D5"/>
    <mergeCell ref="G8:H8"/>
    <mergeCell ref="G5:H5"/>
    <mergeCell ref="C8:D8"/>
    <mergeCell ref="E8:F8"/>
    <mergeCell ref="C7:D7"/>
    <mergeCell ref="E7:F7"/>
    <mergeCell ref="G6:H6"/>
    <mergeCell ref="G7:H7"/>
    <mergeCell ref="I6:J6"/>
    <mergeCell ref="K10:L10"/>
    <mergeCell ref="I8:J8"/>
    <mergeCell ref="G9:H9"/>
    <mergeCell ref="K8:L8"/>
    <mergeCell ref="I9:J9"/>
    <mergeCell ref="K9:L9"/>
    <mergeCell ref="E9:F9"/>
    <mergeCell ref="C9:D9"/>
    <mergeCell ref="C10:D10"/>
    <mergeCell ref="E10:F10"/>
    <mergeCell ref="I7:J7"/>
  </mergeCells>
  <printOptions horizontalCentered="1"/>
  <pageMargins left="0.25" right="0.25" top="1" bottom="0.5" header="0.75" footer="0.5"/>
  <pageSetup firstPageNumber="3" useFirstPageNumber="1" fitToHeight="1" fitToWidth="1" horizontalDpi="600" verticalDpi="600" orientation="landscape" r:id="rId1"/>
  <headerFooter alignWithMargins="0">
    <oddHeader>&amp;RExxonMobil Rule 1105.1 Compliance Project</oddHeader>
    <oddFooter>&amp;LFinal EIR&amp;CC-8&amp;RMarch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Prelim ND Appendix A</dc:title>
  <dc:subject>Construction Emission Calculations</dc:subject>
  <dc:creator>Kathy C. Stevens</dc:creator>
  <cp:keywords/>
  <dc:description/>
  <cp:lastModifiedBy>dsasaki</cp:lastModifiedBy>
  <cp:lastPrinted>2007-03-06T02:19:36Z</cp:lastPrinted>
  <dcterms:created xsi:type="dcterms:W3CDTF">2001-03-17T00:01:53Z</dcterms:created>
  <dcterms:modified xsi:type="dcterms:W3CDTF">2014-08-06T19:30:00Z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-772332275</vt:i4>
  </property>
  <property fmtid="{D5CDD505-2E9C-101B-9397-08002B2CF9AE}" pid="3" name="_EmailSubject">
    <vt:lpwstr>Final EIR for ExxonMobil's Rule 1105.1 </vt:lpwstr>
  </property>
  <property fmtid="{D5CDD505-2E9C-101B-9397-08002B2CF9AE}" pid="4" name="_AuthorEmail">
    <vt:lpwstr>JKoizumi@aqmd.gov</vt:lpwstr>
  </property>
  <property fmtid="{D5CDD505-2E9C-101B-9397-08002B2CF9AE}" pid="5" name="_AuthorEmailDisplayName">
    <vt:lpwstr>James Koizumi</vt:lpwstr>
  </property>
  <property fmtid="{D5CDD505-2E9C-101B-9397-08002B2CF9AE}" pid="6" name="_ReviewingToolsShownOnce">
    <vt:lpwstr/>
  </property>
</Properties>
</file>