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32" windowWidth="12288" windowHeight="6876" tabRatio="800" firstSheet="10" activeTab="14"/>
  </bookViews>
  <sheets>
    <sheet name="Sheet1" sheetId="1" r:id="rId1"/>
    <sheet name="ConstEquipEmissFactors" sheetId="2" r:id="rId2"/>
    <sheet name="ConstEquip-Phase 1" sheetId="3" r:id="rId3"/>
    <sheet name="ConstEquip-Phase 2" sheetId="4" r:id="rId4"/>
    <sheet name="ConstEquip-Phase 3" sheetId="5" r:id="rId5"/>
    <sheet name="ConstEquip-Phase 4" sheetId="6" r:id="rId6"/>
    <sheet name="VehicleEmiss-Phase 1" sheetId="7" r:id="rId7"/>
    <sheet name="VehicleEmiss-Phase 2" sheetId="8" r:id="rId8"/>
    <sheet name="VehicleEmiss-Phase 3" sheetId="9" r:id="rId9"/>
    <sheet name="VehicleEmiss-Phase 4" sheetId="10" r:id="rId10"/>
    <sheet name="FugConstEmiss-Phase 1" sheetId="11" r:id="rId11"/>
    <sheet name="FugConstEmiss-Phase 2" sheetId="12" r:id="rId12"/>
    <sheet name="FugConstEmiss-Phase 3" sheetId="13" r:id="rId13"/>
    <sheet name="FugConstEmiss-Phase 4" sheetId="14" r:id="rId14"/>
    <sheet name="Construct Emissions Summary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uxfuel">'[1]Vessel TAC Modeling Inputs'!$H$9</definedName>
    <definedName name="auxhours">'[1]Vessel TAC Modeling Inputs'!$G$9</definedName>
    <definedName name="baselinetanks">'[2]Baseline Tank VOCs'!$A$1:$BS$42</definedName>
    <definedName name="EF">'ConstEquipEmissFactors'!$A:$N</definedName>
    <definedName name="maxannual">'[1]Vessel TAC Modeling Inputs'!$B$10</definedName>
    <definedName name="maxglc">'[1]Vessel GLC and Background Calcs'!$D$26</definedName>
    <definedName name="maxhourly">'[1]Vessel TAC Modeling Inputs'!$B$9</definedName>
    <definedName name="postprojectefrtanks">'[2]Post Project Tanks - EFR'!$A$1:$BS$28</definedName>
    <definedName name="postprojectfixedtanks">'[2]Post Project Tanks - Fixed'!$A$1:$BS$11</definedName>
    <definedName name="_xlnm.Print_Area" localSheetId="2">'ConstEquip-Phase 1'!$A$1:$M$40</definedName>
    <definedName name="_xlnm.Print_Area" localSheetId="3">'ConstEquip-Phase 2'!$A$1:$M$40</definedName>
    <definedName name="_xlnm.Print_Area" localSheetId="4">'ConstEquip-Phase 3'!$A$1:$M$41</definedName>
    <definedName name="_xlnm.Print_Area" localSheetId="5">'ConstEquip-Phase 4'!$A$1:$M$41</definedName>
    <definedName name="_xlnm.Print_Area" localSheetId="6">'VehicleEmiss-Phase 1'!$A$1:$M$33</definedName>
    <definedName name="_xlnm.Print_Area" localSheetId="7">'VehicleEmiss-Phase 2'!$A$1:$M$33</definedName>
    <definedName name="_xlnm.Print_Area" localSheetId="8">'VehicleEmiss-Phase 3'!$A$1:$M$33</definedName>
    <definedName name="_xlnm.Print_Area" localSheetId="9">'VehicleEmiss-Phase 4'!$A$1:$M$34</definedName>
    <definedName name="projecttankemissions">#REF!</definedName>
    <definedName name="stackflow56h1">'[3]Combustion Source Test Data'!#REF!</definedName>
    <definedName name="Tank_Emissions_Data">'[4]Tank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<sst xmlns="http://schemas.openxmlformats.org/spreadsheetml/2006/main" count="692" uniqueCount="190">
  <si>
    <t>CO</t>
  </si>
  <si>
    <t>VOC</t>
  </si>
  <si>
    <t>NOx</t>
  </si>
  <si>
    <t>PM10</t>
  </si>
  <si>
    <t>SOx</t>
  </si>
  <si>
    <t>Table A9-9</t>
  </si>
  <si>
    <t>Peak Acreage Disturbed Per Day</t>
  </si>
  <si>
    <t>Fuel</t>
  </si>
  <si>
    <t>Diesel</t>
  </si>
  <si>
    <t>Vehicle Type</t>
  </si>
  <si>
    <t>Parameters</t>
  </si>
  <si>
    <t>Source</t>
  </si>
  <si>
    <t>Construction Equipment</t>
  </si>
  <si>
    <t>Equipment Type</t>
  </si>
  <si>
    <t xml:space="preserve">Hours </t>
  </si>
  <si>
    <t>Per Day</t>
  </si>
  <si>
    <t>Backhoe</t>
  </si>
  <si>
    <t>Front End Loader</t>
  </si>
  <si>
    <t>TOTAL EMISSIONS</t>
  </si>
  <si>
    <t>Table A9-9-G</t>
  </si>
  <si>
    <t>Vehicle Emissions</t>
  </si>
  <si>
    <t>SCAQMD Thresholds</t>
  </si>
  <si>
    <t>Significant</t>
  </si>
  <si>
    <t>CO Emissions Factor (lb/mile)</t>
  </si>
  <si>
    <t>NOx Emissions Factor (lb/mile)</t>
  </si>
  <si>
    <t>SOx Emissions Factor (lb/mile)</t>
  </si>
  <si>
    <t>PM10 Emissions Factor (lb/mile)</t>
  </si>
  <si>
    <t>CO Emissions</t>
  </si>
  <si>
    <t>VOC Emissions</t>
  </si>
  <si>
    <t>NOx Emissions</t>
  </si>
  <si>
    <t>SOx Emissions</t>
  </si>
  <si>
    <t>PM10 Emissions</t>
  </si>
  <si>
    <t>Excavator</t>
  </si>
  <si>
    <t>Totals</t>
  </si>
  <si>
    <t>Delivery Trucks</t>
  </si>
  <si>
    <t>Concrete Pump Truck</t>
  </si>
  <si>
    <t>Compressor</t>
  </si>
  <si>
    <t>Concrete Saw</t>
  </si>
  <si>
    <t>Manlift</t>
  </si>
  <si>
    <t>Forklift</t>
  </si>
  <si>
    <t>Flatbed Trucks</t>
  </si>
  <si>
    <t>Stakebed Trucks</t>
  </si>
  <si>
    <t>Trips per Day per Vehicle</t>
  </si>
  <si>
    <t>Number of Vehicles per Day</t>
  </si>
  <si>
    <t>Crane 100 Ton</t>
  </si>
  <si>
    <t>Crane 300 Ton</t>
  </si>
  <si>
    <t>Light Plants</t>
  </si>
  <si>
    <t>Welding Machine</t>
  </si>
  <si>
    <t>Emission Totals</t>
  </si>
  <si>
    <t>Cement Truck</t>
  </si>
  <si>
    <r>
      <t>Load</t>
    </r>
    <r>
      <rPr>
        <b/>
        <vertAlign val="superscript"/>
        <sz val="10"/>
        <rFont val="Arial"/>
        <family val="2"/>
      </rPr>
      <t>(2)</t>
    </r>
  </si>
  <si>
    <r>
      <t>Emission Factors lb/hp-hr</t>
    </r>
    <r>
      <rPr>
        <b/>
        <vertAlign val="superscript"/>
        <sz val="10"/>
        <rFont val="Arial"/>
        <family val="2"/>
      </rPr>
      <t>(3)</t>
    </r>
  </si>
  <si>
    <r>
      <t>Hp</t>
    </r>
    <r>
      <rPr>
        <b/>
        <vertAlign val="superscript"/>
        <sz val="10"/>
        <rFont val="Arial"/>
        <family val="2"/>
      </rPr>
      <t>(1)</t>
    </r>
  </si>
  <si>
    <t>Phase 1 - Site Preparation/Excavation</t>
  </si>
  <si>
    <t>Phase 2 - Erection and Installation</t>
  </si>
  <si>
    <t>Phase 3 - QA/QC Punchout</t>
  </si>
  <si>
    <t>(1) Emission factors derived from CARB's EMFAC 2002 (Version 2.2) BURDEN model, Scenario Year 2007, for passenger vehicles and delivery trucks.</t>
  </si>
  <si>
    <t>(2) Emission factors derived from CARB's EMFAC 2002 (Version 2.2) BURDEN model, Scenario Year 2007, for heavy-heavy duty diesel trucks.</t>
  </si>
  <si>
    <r>
      <t>Delivery Trucks</t>
    </r>
    <r>
      <rPr>
        <vertAlign val="superscript"/>
        <sz val="10"/>
        <rFont val="Arial"/>
        <family val="2"/>
      </rPr>
      <t>(1)</t>
    </r>
  </si>
  <si>
    <r>
      <t xml:space="preserve">Peak Day Emissions (lbs/day) </t>
    </r>
    <r>
      <rPr>
        <vertAlign val="superscript"/>
        <sz val="10"/>
        <rFont val="Arial"/>
        <family val="2"/>
      </rPr>
      <t>(2)</t>
    </r>
  </si>
  <si>
    <t>(1) Emission factors derived from CARB's EMFAC 2002 (Version 2.2) BURDEN model, Scenario Year 2008, for passenger vehicles and delivery trucks.</t>
  </si>
  <si>
    <t>(2) Emission factors derived from CARB's EMFAC 2002 (Version 2.2) BURDEN model, Scenario Year 2008, for heavy-heavy duty diesel trucks.</t>
  </si>
  <si>
    <t>Number of Trucks</t>
  </si>
  <si>
    <t>Peak Daily Vehicle Miles Traveled</t>
  </si>
  <si>
    <t>Daily Trips</t>
  </si>
  <si>
    <t>Fugitive PM10 Construction Emissions</t>
  </si>
  <si>
    <r>
      <t>Emission Factors lb/hr</t>
    </r>
    <r>
      <rPr>
        <b/>
        <vertAlign val="superscript"/>
        <sz val="10"/>
        <rFont val="Arial"/>
        <family val="2"/>
      </rPr>
      <t>(4)</t>
    </r>
  </si>
  <si>
    <t>Crane 65 Ton</t>
  </si>
  <si>
    <t>Drill Rig Large</t>
  </si>
  <si>
    <r>
      <t>Dump Trucks</t>
    </r>
    <r>
      <rPr>
        <vertAlign val="superscript"/>
        <sz val="10"/>
        <rFont val="Arial"/>
        <family val="2"/>
      </rPr>
      <t>(2)</t>
    </r>
  </si>
  <si>
    <t xml:space="preserve">Dump Trucks </t>
  </si>
  <si>
    <t>VOC Emissions Factor (lb/mile)</t>
  </si>
  <si>
    <t>(1) Distance Traveled per Day = Number of Vehicles per Day x Trips per Day per Vehicle x Distance Traveled per Trip</t>
  </si>
  <si>
    <r>
      <t>Cement Trucks</t>
    </r>
    <r>
      <rPr>
        <vertAlign val="superscript"/>
        <sz val="10"/>
        <rFont val="Arial"/>
        <family val="2"/>
      </rPr>
      <t>(2)</t>
    </r>
  </si>
  <si>
    <t>Cement Trucks</t>
  </si>
  <si>
    <t>Fugitive - Excavation</t>
  </si>
  <si>
    <t>Emissions from Material Handling</t>
  </si>
  <si>
    <t>Peak Pounds of Material Handled Per Day</t>
  </si>
  <si>
    <t>Emission 
Factor Source</t>
  </si>
  <si>
    <t>Fugitive - Construction</t>
  </si>
  <si>
    <t>Disturbed Surfaces</t>
  </si>
  <si>
    <t>Water Control Factor</t>
  </si>
  <si>
    <t>(3) Peak Controlled PM10 Emissions (pounds/day) = Peak Acreage Disturbed Per Day x PM10 Emission Factor x Water Control Factor.  Assume watering 3 times per day.</t>
  </si>
  <si>
    <t>Fugitive - Road Dust</t>
  </si>
  <si>
    <t>On-site Trucks</t>
  </si>
  <si>
    <r>
      <t xml:space="preserve">Peak Uncontrolled PM10 Emissions (pounds/day) </t>
    </r>
    <r>
      <rPr>
        <vertAlign val="superscript"/>
        <sz val="10"/>
        <rFont val="Arial"/>
        <family val="2"/>
      </rPr>
      <t>(2)</t>
    </r>
  </si>
  <si>
    <t>Table A9-9-C &amp; A9-9-C-1</t>
  </si>
  <si>
    <t>* The tables referenced as Emission Factor Sources can be found in the 1993 SCAQMD CEQA Air Quality Handbook.</t>
  </si>
  <si>
    <r>
      <t xml:space="preserve">PM10 Emission Factor (pounds/day/acre) </t>
    </r>
    <r>
      <rPr>
        <vertAlign val="superscript"/>
        <sz val="10"/>
        <rFont val="Arial"/>
        <family val="2"/>
      </rPr>
      <t>(1)</t>
    </r>
  </si>
  <si>
    <r>
      <t xml:space="preserve">Peak Uncontrolled
PM10 
Emissions 
(pounds/day) </t>
    </r>
    <r>
      <rPr>
        <vertAlign val="superscript"/>
        <sz val="10"/>
        <rFont val="Arial"/>
        <family val="2"/>
      </rPr>
      <t>(2)</t>
    </r>
  </si>
  <si>
    <r>
      <t xml:space="preserve">Peak Controlled
PM10 
Emissions 
(pounds/day) </t>
    </r>
    <r>
      <rPr>
        <vertAlign val="superscript"/>
        <sz val="10"/>
        <rFont val="Arial"/>
        <family val="2"/>
      </rPr>
      <t>(3)</t>
    </r>
  </si>
  <si>
    <r>
      <t xml:space="preserve">PM10 Emission Factor (pounds/VMT) </t>
    </r>
    <r>
      <rPr>
        <vertAlign val="superscript"/>
        <sz val="10"/>
        <rFont val="Arial"/>
        <family val="2"/>
      </rPr>
      <t>(1)</t>
    </r>
  </si>
  <si>
    <t xml:space="preserve">Emission Source </t>
  </si>
  <si>
    <t>(lbs/day)</t>
  </si>
  <si>
    <t>(2) Peak Day Emissions = Emission Factor x Distance Traveled per Day</t>
  </si>
  <si>
    <t>(2) Load factors are from 1993 SCAQMD CEQA Air Quality Handbook, Table A-9-8-D.</t>
  </si>
  <si>
    <t>(3) Emission factors are from 1993 SCAQMD CEQA Air Quality Handbook, Table A-9-8-B.</t>
  </si>
  <si>
    <t>(4) Emission factors (lbs/hr) conversion: Hp x Load x Emission Factor (lbs/hp-hr).</t>
  </si>
  <si>
    <r>
      <t xml:space="preserve">Pickup Trucks </t>
    </r>
    <r>
      <rPr>
        <vertAlign val="superscript"/>
        <sz val="10"/>
        <rFont val="Arial"/>
        <family val="2"/>
      </rPr>
      <t>(1)</t>
    </r>
  </si>
  <si>
    <t xml:space="preserve">Pickup Trucks </t>
  </si>
  <si>
    <t xml:space="preserve">Delivery Trucks </t>
  </si>
  <si>
    <t xml:space="preserve">Stakebed Trucks </t>
  </si>
  <si>
    <t xml:space="preserve">Flatbed Trucks </t>
  </si>
  <si>
    <t xml:space="preserve">Cement Trucks </t>
  </si>
  <si>
    <r>
      <t xml:space="preserve">Worker Vehicles </t>
    </r>
    <r>
      <rPr>
        <vertAlign val="superscript"/>
        <sz val="10"/>
        <rFont val="Arial"/>
        <family val="2"/>
      </rPr>
      <t>(1)</t>
    </r>
  </si>
  <si>
    <t xml:space="preserve">Worker Vehicles </t>
  </si>
  <si>
    <t>Number</t>
  </si>
  <si>
    <r>
      <t xml:space="preserve">Emission Factors (lb/hr) </t>
    </r>
    <r>
      <rPr>
        <b/>
        <vertAlign val="superscript"/>
        <sz val="10"/>
        <rFont val="Arial"/>
        <family val="2"/>
      </rPr>
      <t>(1)</t>
    </r>
  </si>
  <si>
    <r>
      <t xml:space="preserve">Peak Daily Emissions (lbs/day) </t>
    </r>
    <r>
      <rPr>
        <b/>
        <vertAlign val="superscript"/>
        <sz val="10"/>
        <rFont val="Arial"/>
        <family val="2"/>
      </rPr>
      <t>(2)</t>
    </r>
  </si>
  <si>
    <t>(1) Emission factors are from 1993 SCAQMD CEQA Air Quality Handbook, Table A-9-8-B (for conversion calculation refer to Table A-1).</t>
  </si>
  <si>
    <t>(2) Peak Daily Emissions (lbs/day) = Number of equipment x Hours Per Day x Emission Factor (lb/hr)</t>
  </si>
  <si>
    <r>
      <t>Stakebed Trucks</t>
    </r>
    <r>
      <rPr>
        <vertAlign val="superscript"/>
        <sz val="10"/>
        <rFont val="Arial"/>
        <family val="2"/>
      </rPr>
      <t>(1)</t>
    </r>
  </si>
  <si>
    <t>(1) Uncontrolled PM10 Emissions (lbs/day) = 0.00112 x [(G/5)1.3/(H/2)1.4] x I/J; where G=mean wind speed (12 mph), H=moisture content of surface material (2%); I=lbs of dirt handled per day; and J=2,000 lbs/ton</t>
  </si>
  <si>
    <t xml:space="preserve">Peak Tons of Material Handled Per Day </t>
  </si>
  <si>
    <r>
      <t xml:space="preserve">Peak Uncontrolled
PM10 
Emissions 
(pounds/day) </t>
    </r>
    <r>
      <rPr>
        <vertAlign val="superscript"/>
        <sz val="10"/>
        <rFont val="Arial"/>
        <family val="2"/>
      </rPr>
      <t>(1)</t>
    </r>
  </si>
  <si>
    <t xml:space="preserve">(1) Onsite trucks used for transportation during construction are pickups, stakebed trucks, and flatbed trucks. </t>
  </si>
  <si>
    <r>
      <t xml:space="preserve">Number of Trucks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</t>
    </r>
  </si>
  <si>
    <r>
      <t xml:space="preserve">PM10 Emission Factor (pounds/VMT) </t>
    </r>
    <r>
      <rPr>
        <vertAlign val="superscript"/>
        <sz val="10"/>
        <rFont val="Arial"/>
        <family val="2"/>
      </rPr>
      <t>(2)</t>
    </r>
  </si>
  <si>
    <t>(3) Peak Uncontrolled PM10 Emissions (pounds/day) = Number of Trucks x Daily Trips x Peak Daily Vehicle Miles Traveled x PM10 Emission Factor.</t>
  </si>
  <si>
    <t>(4) Peak Controlled PM10 Emissions (pounds/day) = Number of Trucks x Daily Trips x Peak Daily Vehicle Miles Traveled x PM10 Emission Factor x Water Control Factor.</t>
  </si>
  <si>
    <r>
      <t xml:space="preserve">Peak Uncontrolled PM10 Emissions (pounds/day) </t>
    </r>
    <r>
      <rPr>
        <vertAlign val="superscript"/>
        <sz val="10"/>
        <rFont val="Arial"/>
        <family val="2"/>
      </rPr>
      <t>(3)</t>
    </r>
  </si>
  <si>
    <r>
      <t xml:space="preserve">Peak Controlled
PM10 
Emissions 
(pounds/day) </t>
    </r>
    <r>
      <rPr>
        <vertAlign val="superscript"/>
        <sz val="10"/>
        <rFont val="Arial"/>
        <family val="2"/>
      </rPr>
      <t>(4)</t>
    </r>
  </si>
  <si>
    <r>
      <t>(2) PM10 Emission Factor (lbs/day) = 0.77 x (G x 0.35)</t>
    </r>
    <r>
      <rPr>
        <vertAlign val="superscript"/>
        <sz val="9"/>
        <rFont val="Arial"/>
        <family val="0"/>
      </rPr>
      <t>0.3</t>
    </r>
    <r>
      <rPr>
        <sz val="9"/>
        <rFont val="Arial"/>
        <family val="0"/>
      </rPr>
      <t>, where G equals surface silt loading in ounces/square yards (0.04 for construction sites with cleaning).</t>
    </r>
  </si>
  <si>
    <t>(1) Emission factor associated with grading activities was used as a "worst-case" (Table A9-9, SCAQMD CEQA Handbook).
(2) Peak Uncontrolled PM10 Emissions (pounds/day) = Peak Acreage Disturbed Per Day x PM10 Emission Factor.</t>
  </si>
  <si>
    <r>
      <t xml:space="preserve">Number of Trucks </t>
    </r>
    <r>
      <rPr>
        <vertAlign val="superscript"/>
        <sz val="10"/>
        <rFont val="Arial"/>
        <family val="2"/>
      </rPr>
      <t>(1)</t>
    </r>
  </si>
  <si>
    <r>
      <t xml:space="preserve">Number of Trucks </t>
    </r>
    <r>
      <rPr>
        <vertAlign val="superscript"/>
        <sz val="10"/>
        <rFont val="Arial"/>
        <family val="2"/>
      </rPr>
      <t xml:space="preserve">(1) </t>
    </r>
  </si>
  <si>
    <t>Generator</t>
  </si>
  <si>
    <r>
      <t>Flatbed Trucks</t>
    </r>
    <r>
      <rPr>
        <vertAlign val="superscript"/>
        <sz val="10"/>
        <rFont val="Arial"/>
        <family val="2"/>
      </rPr>
      <t>(1)</t>
    </r>
  </si>
  <si>
    <t>(1) Construction details provided by Jacobs Engineering (e.g., # and type of equipment, confirmed horsepower, excavated volume, scheduling &amp; phases, and # of workers).</t>
  </si>
  <si>
    <t>15 Ton Boom Truck</t>
  </si>
  <si>
    <t xml:space="preserve">* Phase 1 occurs for six months between April 1, 2007 and September 30, 2007.  </t>
  </si>
  <si>
    <t xml:space="preserve">* Phase 3 occurs for one month between December 1, 2008 and December 29, 2008. </t>
  </si>
  <si>
    <t xml:space="preserve">* Phase 4 occurs for two weeks between December 30, 2008 and January 16, 2009.  </t>
  </si>
  <si>
    <t xml:space="preserve">Phase 1 </t>
  </si>
  <si>
    <t xml:space="preserve">Phase 2 </t>
  </si>
  <si>
    <t>Phase 3</t>
  </si>
  <si>
    <t>Phase 4 - FCCU Tie-In</t>
  </si>
  <si>
    <t xml:space="preserve">Phase 4 </t>
  </si>
  <si>
    <t>(3) The 10 cement trucks @ 1 hour per day represents 10 cement trucks idling for 1 hour while pouring the cement.</t>
  </si>
  <si>
    <t>(3) No water trucks are required.  Refinery fire water system via fire hoses will be used.</t>
  </si>
  <si>
    <t>Distance Traveled per Trip (miles)</t>
  </si>
  <si>
    <r>
      <t xml:space="preserve">Distance Traveled per Day </t>
    </r>
    <r>
      <rPr>
        <vertAlign val="superscript"/>
        <sz val="10"/>
        <rFont val="Arial"/>
        <family val="2"/>
      </rPr>
      <t xml:space="preserve">(1)  </t>
    </r>
    <r>
      <rPr>
        <sz val="10"/>
        <rFont val="Arial"/>
        <family val="2"/>
      </rPr>
      <t>(miles)</t>
    </r>
  </si>
  <si>
    <t xml:space="preserve">*Peak Phase is Highlighted.  </t>
  </si>
  <si>
    <t xml:space="preserve">* Phase 2 occurs for 14 months between October 1, 2007 and November 30, 2008. </t>
  </si>
  <si>
    <t>APPENDIX B</t>
  </si>
  <si>
    <t>CONSTRUCTION EMISSION CALCULATIONS - PROPOSED PROJECT</t>
  </si>
  <si>
    <t>Number of Vehicles/Trucks</t>
  </si>
  <si>
    <t>Peak Daily Vehicle Miles Traveled (VMT)</t>
  </si>
  <si>
    <r>
      <t xml:space="preserve">Emission Factor (lbs/VMT) </t>
    </r>
    <r>
      <rPr>
        <vertAlign val="superscript"/>
        <sz val="10"/>
        <rFont val="Arial"/>
        <family val="2"/>
      </rPr>
      <t>(1)</t>
    </r>
  </si>
  <si>
    <t>Peak PM10 (lbs/day)</t>
  </si>
  <si>
    <t>Worker Vehicles</t>
  </si>
  <si>
    <t>Gasoline</t>
  </si>
  <si>
    <t>Pickup Trucks</t>
  </si>
  <si>
    <t>Total</t>
  </si>
  <si>
    <t>(1) Emission factor for travel on paved road is from EPA AP-42 Section 13.2.1, December 2003.</t>
  </si>
  <si>
    <r>
      <t>E = k(sL/2)</t>
    </r>
    <r>
      <rPr>
        <vertAlign val="superscript"/>
        <sz val="9"/>
        <rFont val="Arial"/>
        <family val="0"/>
      </rPr>
      <t>0.65</t>
    </r>
    <r>
      <rPr>
        <sz val="9"/>
        <rFont val="Arial"/>
        <family val="0"/>
      </rPr>
      <t xml:space="preserve"> x (W/3)</t>
    </r>
    <r>
      <rPr>
        <vertAlign val="superscript"/>
        <sz val="9"/>
        <rFont val="Arial"/>
        <family val="0"/>
      </rPr>
      <t>1.5</t>
    </r>
    <r>
      <rPr>
        <sz val="9"/>
        <rFont val="Arial"/>
        <family val="0"/>
      </rPr>
      <t xml:space="preserve"> - C</t>
    </r>
  </si>
  <si>
    <t>Where:</t>
  </si>
  <si>
    <t>k (particle size multiplier) = 0.016 lb/VMT for PM10</t>
  </si>
  <si>
    <r>
      <t>sL (road silt loading) = 0.037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for major/collector roads (CARB Methodology 7.9 for paved roads)</t>
    </r>
  </si>
  <si>
    <t>W (average vehicle weight) = 2.4 tons for cars, 5 tons for pickup trucks, and 20 tons for heavy trucks</t>
  </si>
  <si>
    <t>C (emission factor for 1980's vehicle fleet exhaust, brake wear and tire wear) = 0.00047 lbs/VMT</t>
  </si>
  <si>
    <t>Phase 4 Emissions</t>
  </si>
  <si>
    <t>Phase 3 Emissions</t>
  </si>
  <si>
    <t>Phase 2 Emissions</t>
  </si>
  <si>
    <t>Phase 1 Emissions</t>
  </si>
  <si>
    <t>CONSTRUCTION EMISSIONS SUMMARY - PROPOSED PROJECT</t>
  </si>
  <si>
    <r>
      <t xml:space="preserve">Emission Factor (lbs/VMT) </t>
    </r>
    <r>
      <rPr>
        <sz val="10"/>
        <rFont val="Arial"/>
        <family val="2"/>
      </rPr>
      <t>(1)</t>
    </r>
  </si>
  <si>
    <t>(4) Construction data provided by Jacobs Engineering. Labor resources and deliveries will be supplied from local sources.</t>
  </si>
  <si>
    <t>Delivery and Cement Trucks</t>
  </si>
  <si>
    <t>Dump Trucks</t>
  </si>
  <si>
    <t>Table B-14</t>
  </si>
  <si>
    <t>Table B-1</t>
  </si>
  <si>
    <t>Construction Equipment Emission Factors</t>
  </si>
  <si>
    <t>Table B-2</t>
  </si>
  <si>
    <t>Construction Equipment Emissions</t>
  </si>
  <si>
    <t>Table B-3</t>
  </si>
  <si>
    <t>Table B-4</t>
  </si>
  <si>
    <t>Table B-5</t>
  </si>
  <si>
    <t>Table B-6</t>
  </si>
  <si>
    <t>On-site/Off-site Construction Vehicle Emissions - Phase 1</t>
  </si>
  <si>
    <t>Table B-7</t>
  </si>
  <si>
    <t>On-site/Off-site Construction Vehicle Emissions - Phase 2</t>
  </si>
  <si>
    <t>Table B-8</t>
  </si>
  <si>
    <t>On-site/Off-site Construction Vehicle Emissions -  Phase 3</t>
  </si>
  <si>
    <t>Table B-9</t>
  </si>
  <si>
    <t>On-site/Off-site Construction Vehicle Emissions -  Phase 4</t>
  </si>
  <si>
    <t>Table B-10</t>
  </si>
  <si>
    <t>Table B-11</t>
  </si>
  <si>
    <t>Table B-12</t>
  </si>
  <si>
    <t>Table B-13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</si>
</sst>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%"/>
    <numFmt numFmtId="169" formatCode="0.000000"/>
    <numFmt numFmtId="170" formatCode="#,##0.00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2" fillId="33" borderId="21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3" borderId="23" xfId="0" applyFill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textRotation="180"/>
    </xf>
    <xf numFmtId="0" fontId="0" fillId="0" borderId="35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4" fontId="0" fillId="0" borderId="17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36" xfId="0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 quotePrefix="1">
      <alignment horizontal="right"/>
    </xf>
    <xf numFmtId="0" fontId="0" fillId="0" borderId="37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 textRotation="180"/>
    </xf>
    <xf numFmtId="0" fontId="0" fillId="0" borderId="39" xfId="0" applyBorder="1" applyAlignment="1">
      <alignment/>
    </xf>
    <xf numFmtId="3" fontId="0" fillId="0" borderId="36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/>
    </xf>
    <xf numFmtId="3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Alignment="1">
      <alignment vertical="center" textRotation="18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16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 quotePrefix="1">
      <alignment horizontal="center"/>
    </xf>
    <xf numFmtId="168" fontId="0" fillId="0" borderId="10" xfId="0" applyNumberForma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45" xfId="0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wrapText="1"/>
    </xf>
    <xf numFmtId="0" fontId="0" fillId="33" borderId="32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 horizontal="center" wrapText="1"/>
    </xf>
    <xf numFmtId="0" fontId="0" fillId="33" borderId="50" xfId="0" applyFill="1" applyBorder="1" applyAlignment="1">
      <alignment horizontal="center" wrapText="1"/>
    </xf>
    <xf numFmtId="0" fontId="0" fillId="33" borderId="51" xfId="0" applyFill="1" applyBorder="1" applyAlignment="1">
      <alignment horizontal="center" wrapText="1"/>
    </xf>
    <xf numFmtId="0" fontId="0" fillId="33" borderId="52" xfId="0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33" borderId="38" xfId="0" applyFill="1" applyBorder="1" applyAlignment="1">
      <alignment/>
    </xf>
    <xf numFmtId="0" fontId="0" fillId="33" borderId="22" xfId="0" applyFill="1" applyBorder="1" applyAlignment="1">
      <alignment horizontal="center" wrapText="1"/>
    </xf>
    <xf numFmtId="0" fontId="0" fillId="33" borderId="53" xfId="0" applyFill="1" applyBorder="1" applyAlignment="1">
      <alignment horizontal="center" wrapText="1"/>
    </xf>
    <xf numFmtId="0" fontId="0" fillId="33" borderId="38" xfId="0" applyFill="1" applyBorder="1" applyAlignment="1">
      <alignment wrapText="1"/>
    </xf>
    <xf numFmtId="0" fontId="0" fillId="33" borderId="54" xfId="0" applyFill="1" applyBorder="1" applyAlignment="1">
      <alignment horizontal="center" wrapText="1"/>
    </xf>
    <xf numFmtId="171" fontId="0" fillId="0" borderId="36" xfId="0" applyNumberFormat="1" applyBorder="1" applyAlignment="1">
      <alignment horizontal="center"/>
    </xf>
    <xf numFmtId="171" fontId="0" fillId="0" borderId="40" xfId="0" applyNumberForma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0" fillId="0" borderId="40" xfId="0" applyNumberFormat="1" applyBorder="1" applyAlignment="1">
      <alignment horizontal="center"/>
    </xf>
    <xf numFmtId="171" fontId="0" fillId="0" borderId="36" xfId="0" applyNumberFormat="1" applyFill="1" applyBorder="1" applyAlignment="1">
      <alignment horizontal="center"/>
    </xf>
    <xf numFmtId="171" fontId="0" fillId="0" borderId="37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7" fontId="0" fillId="0" borderId="40" xfId="0" applyNumberFormat="1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167" fontId="0" fillId="0" borderId="19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2" fillId="0" borderId="56" xfId="0" applyNumberFormat="1" applyFont="1" applyBorder="1" applyAlignment="1">
      <alignment/>
    </xf>
    <xf numFmtId="167" fontId="2" fillId="0" borderId="57" xfId="0" applyNumberFormat="1" applyFont="1" applyBorder="1" applyAlignment="1">
      <alignment/>
    </xf>
    <xf numFmtId="167" fontId="2" fillId="0" borderId="57" xfId="0" applyNumberFormat="1" applyFont="1" applyFill="1" applyBorder="1" applyAlignment="1">
      <alignment/>
    </xf>
    <xf numFmtId="167" fontId="2" fillId="0" borderId="58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2" fillId="0" borderId="57" xfId="0" applyNumberFormat="1" applyFont="1" applyBorder="1" applyAlignment="1">
      <alignment/>
    </xf>
    <xf numFmtId="2" fontId="2" fillId="0" borderId="57" xfId="0" applyNumberFormat="1" applyFont="1" applyFill="1" applyBorder="1" applyAlignment="1">
      <alignment/>
    </xf>
    <xf numFmtId="2" fontId="2" fillId="0" borderId="58" xfId="0" applyNumberFormat="1" applyFont="1" applyBorder="1" applyAlignment="1">
      <alignment/>
    </xf>
    <xf numFmtId="1" fontId="0" fillId="34" borderId="50" xfId="0" applyNumberFormat="1" applyFill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67" fontId="0" fillId="0" borderId="36" xfId="0" applyNumberForma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9" fontId="0" fillId="0" borderId="10" xfId="0" applyNumberFormat="1" applyBorder="1" applyAlignment="1">
      <alignment horizontal="center" wrapText="1"/>
    </xf>
    <xf numFmtId="167" fontId="0" fillId="0" borderId="18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2" fillId="0" borderId="60" xfId="0" applyFont="1" applyBorder="1" applyAlignment="1">
      <alignment wrapText="1"/>
    </xf>
    <xf numFmtId="167" fontId="2" fillId="0" borderId="61" xfId="0" applyNumberFormat="1" applyFont="1" applyBorder="1" applyAlignment="1">
      <alignment horizontal="center" wrapText="1"/>
    </xf>
    <xf numFmtId="0" fontId="1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Fill="1" applyBorder="1" applyAlignment="1">
      <alignment horizontal="left" indent="3"/>
    </xf>
    <xf numFmtId="0" fontId="10" fillId="0" borderId="0" xfId="0" applyFont="1" applyFill="1" applyBorder="1" applyAlignment="1">
      <alignment horizontal="left" indent="5"/>
    </xf>
    <xf numFmtId="166" fontId="0" fillId="0" borderId="0" xfId="0" applyNumberFormat="1" applyBorder="1" applyAlignment="1">
      <alignment horizontal="center" wrapText="1"/>
    </xf>
    <xf numFmtId="0" fontId="10" fillId="0" borderId="0" xfId="0" applyFont="1" applyBorder="1" applyAlignment="1">
      <alignment horizontal="left" indent="5"/>
    </xf>
    <xf numFmtId="1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7" fontId="0" fillId="0" borderId="22" xfId="0" applyNumberFormat="1" applyBorder="1" applyAlignment="1">
      <alignment horizontal="center"/>
    </xf>
    <xf numFmtId="0" fontId="2" fillId="34" borderId="62" xfId="0" applyFont="1" applyFill="1" applyBorder="1" applyAlignment="1">
      <alignment wrapText="1"/>
    </xf>
    <xf numFmtId="165" fontId="12" fillId="34" borderId="62" xfId="0" applyNumberFormat="1" applyFont="1" applyFill="1" applyBorder="1" applyAlignment="1">
      <alignment wrapText="1"/>
    </xf>
    <xf numFmtId="0" fontId="12" fillId="34" borderId="62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9" fontId="0" fillId="0" borderId="10" xfId="0" applyNumberFormat="1" applyFont="1" applyBorder="1" applyAlignment="1">
      <alignment horizontal="center" wrapText="1"/>
    </xf>
    <xf numFmtId="167" fontId="0" fillId="0" borderId="18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63" xfId="0" applyFont="1" applyBorder="1" applyAlignment="1">
      <alignment wrapText="1"/>
    </xf>
    <xf numFmtId="1" fontId="0" fillId="0" borderId="0" xfId="0" applyNumberFormat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31" xfId="0" applyBorder="1" applyAlignment="1">
      <alignment/>
    </xf>
    <xf numFmtId="0" fontId="6" fillId="0" borderId="0" xfId="0" applyFont="1" applyAlignment="1">
      <alignment horizontal="centerContinuous" vertical="center"/>
    </xf>
    <xf numFmtId="1" fontId="0" fillId="0" borderId="31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41" xfId="0" applyFont="1" applyBorder="1" applyAlignment="1">
      <alignment/>
    </xf>
    <xf numFmtId="0" fontId="0" fillId="0" borderId="41" xfId="0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10" fillId="0" borderId="2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65" xfId="0" applyFont="1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0" borderId="68" xfId="0" applyBorder="1" applyAlignment="1">
      <alignment vertical="center" textRotation="180"/>
    </xf>
    <xf numFmtId="0" fontId="0" fillId="0" borderId="68" xfId="0" applyBorder="1" applyAlignment="1">
      <alignment textRotation="180"/>
    </xf>
    <xf numFmtId="0" fontId="2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6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0" xfId="0" applyFont="1" applyAlignment="1">
      <alignment/>
    </xf>
    <xf numFmtId="0" fontId="0" fillId="0" borderId="64" xfId="0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05\2105Appendix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b\1936\POST%20PROJECT%20HRA\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50\2150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b\1936\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ssel GLC and Background Calcs"/>
      <sheetName val="Vessel Threshold Evaluation"/>
      <sheetName val="Vessel TAC Modeling Inputs"/>
    </sheetNames>
    <sheetDataSet>
      <sheetData sheetId="0">
        <row r="26">
          <cell r="D26">
            <v>11.64</v>
          </cell>
        </row>
      </sheetData>
      <sheetData sheetId="2">
        <row r="9">
          <cell r="B9">
            <v>11.68921</v>
          </cell>
          <cell r="G9">
            <v>1164</v>
          </cell>
          <cell r="H9">
            <v>58200</v>
          </cell>
        </row>
        <row r="10">
          <cell r="B10">
            <v>1.12075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50SCH1"/>
      <sheetName val="Combustion Source Test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18"/>
  <sheetViews>
    <sheetView zoomScalePageLayoutView="0" workbookViewId="0" topLeftCell="A1">
      <selection activeCell="C41" sqref="C41"/>
    </sheetView>
  </sheetViews>
  <sheetFormatPr defaultColWidth="9.140625" defaultRowHeight="12.75"/>
  <sheetData>
    <row r="16" spans="1:9" ht="15.75" thickBot="1">
      <c r="A16" s="207" t="s">
        <v>144</v>
      </c>
      <c r="B16" s="208"/>
      <c r="C16" s="208"/>
      <c r="D16" s="208"/>
      <c r="E16" s="208"/>
      <c r="F16" s="208"/>
      <c r="G16" s="208"/>
      <c r="H16" s="208"/>
      <c r="I16" s="5"/>
    </row>
    <row r="18" ht="15">
      <c r="A18" s="49" t="s">
        <v>145</v>
      </c>
    </row>
  </sheetData>
  <sheetProtection/>
  <mergeCells count="1">
    <mergeCell ref="A16:H16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N34"/>
  <sheetViews>
    <sheetView view="pageBreakPreview" zoomScale="60" zoomScalePageLayoutView="0" workbookViewId="0" topLeftCell="A1">
      <selection activeCell="A18" sqref="A18:A19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2" ht="12.75">
      <c r="B2" s="236" t="s">
        <v>184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2:12" ht="12.75">
      <c r="B3" s="236" t="s">
        <v>185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ht="13.5" thickBot="1"/>
    <row r="5" spans="2:12" ht="30" customHeight="1" thickBot="1">
      <c r="B5" s="106" t="s">
        <v>9</v>
      </c>
      <c r="C5" s="227" t="s">
        <v>23</v>
      </c>
      <c r="D5" s="228"/>
      <c r="E5" s="227" t="s">
        <v>71</v>
      </c>
      <c r="F5" s="229"/>
      <c r="G5" s="227" t="s">
        <v>24</v>
      </c>
      <c r="H5" s="228"/>
      <c r="I5" s="227" t="s">
        <v>25</v>
      </c>
      <c r="J5" s="229"/>
      <c r="K5" s="227" t="s">
        <v>26</v>
      </c>
      <c r="L5" s="228"/>
    </row>
    <row r="6" spans="2:12" ht="15">
      <c r="B6" s="59" t="s">
        <v>104</v>
      </c>
      <c r="C6" s="230">
        <v>0.011798</v>
      </c>
      <c r="D6" s="230"/>
      <c r="E6" s="230">
        <v>0.001277</v>
      </c>
      <c r="F6" s="230"/>
      <c r="G6" s="230">
        <v>0.001245</v>
      </c>
      <c r="H6" s="230"/>
      <c r="I6" s="230">
        <v>9E-06</v>
      </c>
      <c r="J6" s="230"/>
      <c r="K6" s="230">
        <v>8E-05</v>
      </c>
      <c r="L6" s="233"/>
    </row>
    <row r="7" spans="2:12" ht="15">
      <c r="B7" s="60" t="s">
        <v>98</v>
      </c>
      <c r="C7" s="226">
        <v>0.011798</v>
      </c>
      <c r="D7" s="226"/>
      <c r="E7" s="226">
        <v>0.001277</v>
      </c>
      <c r="F7" s="226"/>
      <c r="G7" s="226">
        <v>0.001245</v>
      </c>
      <c r="H7" s="226"/>
      <c r="I7" s="226">
        <v>9E-06</v>
      </c>
      <c r="J7" s="226"/>
      <c r="K7" s="226">
        <v>8E-05</v>
      </c>
      <c r="L7" s="231"/>
    </row>
    <row r="8" spans="2:12" ht="15">
      <c r="B8" s="61" t="s">
        <v>58</v>
      </c>
      <c r="C8" s="226">
        <v>0.015942</v>
      </c>
      <c r="D8" s="226"/>
      <c r="E8" s="226">
        <v>0.00245</v>
      </c>
      <c r="F8" s="226"/>
      <c r="G8" s="226">
        <v>0.023199</v>
      </c>
      <c r="H8" s="226"/>
      <c r="I8" s="226">
        <v>3.3E-05</v>
      </c>
      <c r="J8" s="226"/>
      <c r="K8" s="226">
        <v>0.000419</v>
      </c>
      <c r="L8" s="231"/>
    </row>
    <row r="9" spans="2:12" ht="15">
      <c r="B9" s="60" t="s">
        <v>111</v>
      </c>
      <c r="C9" s="226">
        <v>0.015942</v>
      </c>
      <c r="D9" s="226"/>
      <c r="E9" s="226">
        <v>0.00245</v>
      </c>
      <c r="F9" s="226"/>
      <c r="G9" s="226">
        <v>0.023199</v>
      </c>
      <c r="H9" s="226"/>
      <c r="I9" s="226">
        <v>3.3E-05</v>
      </c>
      <c r="J9" s="226"/>
      <c r="K9" s="226">
        <v>0.000419</v>
      </c>
      <c r="L9" s="231"/>
    </row>
    <row r="10" spans="2:12" ht="15">
      <c r="B10" s="60" t="s">
        <v>127</v>
      </c>
      <c r="C10" s="226">
        <v>0.015942</v>
      </c>
      <c r="D10" s="226"/>
      <c r="E10" s="226">
        <v>0.00245</v>
      </c>
      <c r="F10" s="226"/>
      <c r="G10" s="226">
        <v>0.023199</v>
      </c>
      <c r="H10" s="226"/>
      <c r="I10" s="226">
        <v>3.3E-05</v>
      </c>
      <c r="J10" s="226"/>
      <c r="K10" s="226">
        <v>0.000419</v>
      </c>
      <c r="L10" s="231"/>
    </row>
    <row r="11" spans="2:12" ht="15">
      <c r="B11" s="60" t="s">
        <v>69</v>
      </c>
      <c r="C11" s="226">
        <v>0.005117</v>
      </c>
      <c r="D11" s="226"/>
      <c r="E11" s="226">
        <v>0.001133</v>
      </c>
      <c r="F11" s="226"/>
      <c r="G11" s="226">
        <v>0.032442</v>
      </c>
      <c r="H11" s="226"/>
      <c r="I11" s="226">
        <v>4.6E-05</v>
      </c>
      <c r="J11" s="226"/>
      <c r="K11" s="226">
        <v>0.000598</v>
      </c>
      <c r="L11" s="231"/>
    </row>
    <row r="12" spans="2:12" ht="15.75" thickBot="1">
      <c r="B12" s="62" t="s">
        <v>73</v>
      </c>
      <c r="C12" s="217">
        <v>0.005117</v>
      </c>
      <c r="D12" s="217"/>
      <c r="E12" s="217">
        <v>0.001133</v>
      </c>
      <c r="F12" s="217"/>
      <c r="G12" s="217">
        <v>0.032442</v>
      </c>
      <c r="H12" s="217"/>
      <c r="I12" s="217">
        <v>4.6E-05</v>
      </c>
      <c r="J12" s="217"/>
      <c r="K12" s="217">
        <v>0.000598</v>
      </c>
      <c r="L12" s="218"/>
    </row>
    <row r="13" spans="2:13" ht="12.75">
      <c r="B13" s="222" t="s">
        <v>60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91"/>
    </row>
    <row r="14" spans="2:13" ht="12.75">
      <c r="B14" s="223" t="s">
        <v>61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91"/>
    </row>
    <row r="15" spans="2:12" ht="12.75">
      <c r="B15" s="86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3.5" thickBot="1"/>
    <row r="17" spans="2:13" ht="15.75" thickBot="1">
      <c r="B17" s="107"/>
      <c r="C17" s="219" t="s">
        <v>10</v>
      </c>
      <c r="D17" s="220"/>
      <c r="E17" s="220"/>
      <c r="F17" s="221"/>
      <c r="G17" s="219" t="s">
        <v>59</v>
      </c>
      <c r="H17" s="220"/>
      <c r="I17" s="220"/>
      <c r="J17" s="220"/>
      <c r="K17" s="221"/>
      <c r="L17" s="7"/>
      <c r="M17" s="7"/>
    </row>
    <row r="18" spans="1:14" ht="55.5" thickBot="1">
      <c r="A18" s="234"/>
      <c r="B18" s="108" t="s">
        <v>11</v>
      </c>
      <c r="C18" s="109" t="s">
        <v>43</v>
      </c>
      <c r="D18" s="110" t="s">
        <v>42</v>
      </c>
      <c r="E18" s="111" t="s">
        <v>140</v>
      </c>
      <c r="F18" s="112" t="s">
        <v>141</v>
      </c>
      <c r="G18" s="113" t="s">
        <v>27</v>
      </c>
      <c r="H18" s="114" t="s">
        <v>28</v>
      </c>
      <c r="I18" s="113" t="s">
        <v>29</v>
      </c>
      <c r="J18" s="113" t="s">
        <v>30</v>
      </c>
      <c r="K18" s="114" t="s">
        <v>31</v>
      </c>
      <c r="L18" s="8"/>
      <c r="M18" s="16"/>
      <c r="N18" s="16"/>
    </row>
    <row r="19" spans="1:14" ht="12.75">
      <c r="A19" s="234"/>
      <c r="B19" s="59" t="s">
        <v>105</v>
      </c>
      <c r="C19" s="32">
        <v>60</v>
      </c>
      <c r="D19" s="32">
        <v>2</v>
      </c>
      <c r="E19" s="183">
        <v>16.2</v>
      </c>
      <c r="F19" s="32">
        <f aca="true" t="shared" si="0" ref="F19:F25">E19*D19*C19</f>
        <v>1944</v>
      </c>
      <c r="G19" s="128">
        <f aca="true" t="shared" si="1" ref="G19:G25">F19*C6</f>
        <v>22.935312</v>
      </c>
      <c r="H19" s="128">
        <f aca="true" t="shared" si="2" ref="H19:H25">F19*E6</f>
        <v>2.482488</v>
      </c>
      <c r="I19" s="128">
        <f aca="true" t="shared" si="3" ref="I19:I25">F19*G6</f>
        <v>2.42028</v>
      </c>
      <c r="J19" s="128">
        <f aca="true" t="shared" si="4" ref="J19:J25">F19*I6</f>
        <v>0.017496</v>
      </c>
      <c r="K19" s="129">
        <f aca="true" t="shared" si="5" ref="K19:K25">F19*K6</f>
        <v>0.15552000000000002</v>
      </c>
      <c r="L19" s="30"/>
      <c r="M19" s="31"/>
      <c r="N19" s="31"/>
    </row>
    <row r="20" spans="2:14" ht="12.75">
      <c r="B20" s="60" t="s">
        <v>99</v>
      </c>
      <c r="C20" s="21">
        <v>4</v>
      </c>
      <c r="D20" s="21">
        <v>1</v>
      </c>
      <c r="E20" s="21">
        <v>5</v>
      </c>
      <c r="F20" s="21">
        <f t="shared" si="0"/>
        <v>20</v>
      </c>
      <c r="G20" s="130">
        <f t="shared" si="1"/>
        <v>0.23596</v>
      </c>
      <c r="H20" s="130">
        <f t="shared" si="2"/>
        <v>0.02554</v>
      </c>
      <c r="I20" s="130">
        <f t="shared" si="3"/>
        <v>0.0249</v>
      </c>
      <c r="J20" s="159">
        <f t="shared" si="4"/>
        <v>0.00018</v>
      </c>
      <c r="K20" s="160">
        <f t="shared" si="5"/>
        <v>0.0016</v>
      </c>
      <c r="L20" s="30"/>
      <c r="M20" s="31"/>
      <c r="N20" s="31"/>
    </row>
    <row r="21" spans="2:14" ht="12.75">
      <c r="B21" s="61" t="s">
        <v>100</v>
      </c>
      <c r="C21" s="21">
        <v>2</v>
      </c>
      <c r="D21" s="21">
        <v>2</v>
      </c>
      <c r="E21" s="21">
        <v>10</v>
      </c>
      <c r="F21" s="21">
        <f t="shared" si="0"/>
        <v>40</v>
      </c>
      <c r="G21" s="130">
        <f t="shared" si="1"/>
        <v>0.63768</v>
      </c>
      <c r="H21" s="130">
        <f t="shared" si="2"/>
        <v>0.098</v>
      </c>
      <c r="I21" s="130">
        <f t="shared" si="3"/>
        <v>0.92796</v>
      </c>
      <c r="J21" s="158">
        <f t="shared" si="4"/>
        <v>0.00132</v>
      </c>
      <c r="K21" s="131">
        <f t="shared" si="5"/>
        <v>0.01676</v>
      </c>
      <c r="L21" s="15"/>
      <c r="M21" s="19"/>
      <c r="N21" s="19"/>
    </row>
    <row r="22" spans="1:14" s="11" customFormat="1" ht="12.75">
      <c r="A22" s="235"/>
      <c r="B22" s="60" t="s">
        <v>101</v>
      </c>
      <c r="C22" s="21">
        <v>2</v>
      </c>
      <c r="D22" s="21">
        <v>1</v>
      </c>
      <c r="E22" s="21">
        <v>5</v>
      </c>
      <c r="F22" s="21">
        <f t="shared" si="0"/>
        <v>10</v>
      </c>
      <c r="G22" s="130">
        <f t="shared" si="1"/>
        <v>0.15942</v>
      </c>
      <c r="H22" s="130">
        <f t="shared" si="2"/>
        <v>0.0245</v>
      </c>
      <c r="I22" s="130">
        <f t="shared" si="3"/>
        <v>0.23199</v>
      </c>
      <c r="J22" s="159">
        <f t="shared" si="4"/>
        <v>0.00033</v>
      </c>
      <c r="K22" s="160">
        <f t="shared" si="5"/>
        <v>0.00419</v>
      </c>
      <c r="L22" s="15"/>
      <c r="M22" s="19"/>
      <c r="N22" s="19"/>
    </row>
    <row r="23" spans="1:14" s="11" customFormat="1" ht="12.75">
      <c r="A23" s="235"/>
      <c r="B23" s="60" t="s">
        <v>102</v>
      </c>
      <c r="C23" s="21">
        <v>1</v>
      </c>
      <c r="D23" s="21">
        <v>1</v>
      </c>
      <c r="E23" s="21">
        <v>5</v>
      </c>
      <c r="F23" s="21">
        <f t="shared" si="0"/>
        <v>5</v>
      </c>
      <c r="G23" s="130">
        <f t="shared" si="1"/>
        <v>0.07971</v>
      </c>
      <c r="H23" s="130">
        <f t="shared" si="2"/>
        <v>0.01225</v>
      </c>
      <c r="I23" s="130">
        <f t="shared" si="3"/>
        <v>0.115995</v>
      </c>
      <c r="J23" s="159">
        <f t="shared" si="4"/>
        <v>0.000165</v>
      </c>
      <c r="K23" s="160">
        <f t="shared" si="5"/>
        <v>0.002095</v>
      </c>
      <c r="L23" s="15"/>
      <c r="M23" s="19"/>
      <c r="N23" s="19"/>
    </row>
    <row r="24" spans="1:14" s="11" customFormat="1" ht="12.75">
      <c r="A24" s="47"/>
      <c r="B24" s="60" t="s">
        <v>70</v>
      </c>
      <c r="C24" s="21">
        <v>0</v>
      </c>
      <c r="D24" s="21">
        <v>0</v>
      </c>
      <c r="E24" s="126">
        <v>0</v>
      </c>
      <c r="F24" s="21">
        <f t="shared" si="0"/>
        <v>0</v>
      </c>
      <c r="G24" s="21">
        <f t="shared" si="1"/>
        <v>0</v>
      </c>
      <c r="H24" s="21">
        <f t="shared" si="2"/>
        <v>0</v>
      </c>
      <c r="I24" s="21">
        <f t="shared" si="3"/>
        <v>0</v>
      </c>
      <c r="J24" s="21">
        <f t="shared" si="4"/>
        <v>0</v>
      </c>
      <c r="K24" s="157">
        <f t="shared" si="5"/>
        <v>0</v>
      </c>
      <c r="L24" s="19"/>
      <c r="M24" s="19"/>
      <c r="N24" s="19"/>
    </row>
    <row r="25" spans="1:14" s="11" customFormat="1" ht="13.5" thickBot="1">
      <c r="A25" s="47"/>
      <c r="B25" s="63" t="s">
        <v>103</v>
      </c>
      <c r="C25" s="33">
        <v>0</v>
      </c>
      <c r="D25" s="33">
        <v>0</v>
      </c>
      <c r="E25" s="127">
        <v>0</v>
      </c>
      <c r="F25" s="33">
        <f t="shared" si="0"/>
        <v>0</v>
      </c>
      <c r="G25" s="33">
        <f t="shared" si="1"/>
        <v>0</v>
      </c>
      <c r="H25" s="33">
        <f t="shared" si="2"/>
        <v>0</v>
      </c>
      <c r="I25" s="33">
        <f t="shared" si="3"/>
        <v>0</v>
      </c>
      <c r="J25" s="33">
        <f t="shared" si="4"/>
        <v>0</v>
      </c>
      <c r="K25" s="162">
        <f t="shared" si="5"/>
        <v>0</v>
      </c>
      <c r="L25" s="19"/>
      <c r="M25" s="19"/>
      <c r="N25" s="19"/>
    </row>
    <row r="26" spans="2:14" ht="14.25" thickBot="1" thickTop="1">
      <c r="B26" s="163" t="s">
        <v>33</v>
      </c>
      <c r="C26" s="154"/>
      <c r="D26" s="154"/>
      <c r="E26" s="154"/>
      <c r="F26" s="154"/>
      <c r="G26" s="155">
        <f>SUM(G19:G25)</f>
        <v>24.048081999999997</v>
      </c>
      <c r="H26" s="155">
        <f>SUM(H19:H25)</f>
        <v>2.642778</v>
      </c>
      <c r="I26" s="155">
        <f>SUM(I19:I25)</f>
        <v>3.7211250000000002</v>
      </c>
      <c r="J26" s="155">
        <f>SUM(J19:J25)</f>
        <v>0.019490999999999998</v>
      </c>
      <c r="K26" s="161">
        <f>SUM(K19:K25)</f>
        <v>0.18016500000000002</v>
      </c>
      <c r="L26" s="19"/>
      <c r="M26" s="19"/>
      <c r="N26" s="19"/>
    </row>
    <row r="27" spans="2:11" ht="12.75">
      <c r="B27" s="91" t="s">
        <v>72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2:13" ht="12.75">
      <c r="B28" s="91" t="s">
        <v>94</v>
      </c>
      <c r="C28" s="91"/>
      <c r="D28" s="91"/>
      <c r="E28" s="91"/>
      <c r="F28" s="91"/>
      <c r="G28" s="91"/>
      <c r="H28" s="91"/>
      <c r="I28" s="91"/>
      <c r="J28" s="91"/>
      <c r="K28" s="91"/>
      <c r="M28" s="9"/>
    </row>
    <row r="29" spans="2:11" ht="12.75">
      <c r="B29" s="225" t="s">
        <v>139</v>
      </c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t="12.75">
      <c r="B30" s="224" t="s">
        <v>167</v>
      </c>
      <c r="C30" s="224"/>
      <c r="D30" s="224"/>
      <c r="E30" s="224"/>
      <c r="F30" s="224"/>
      <c r="G30" s="224"/>
      <c r="H30" s="224"/>
      <c r="I30" s="224"/>
      <c r="J30" s="224"/>
      <c r="K30" s="224"/>
    </row>
    <row r="34" spans="1:13" ht="12.7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</row>
  </sheetData>
  <sheetProtection/>
  <mergeCells count="50">
    <mergeCell ref="B2:L2"/>
    <mergeCell ref="B3:L3"/>
    <mergeCell ref="A22:A23"/>
    <mergeCell ref="C7:D7"/>
    <mergeCell ref="E7:F7"/>
    <mergeCell ref="G5:H5"/>
    <mergeCell ref="C8:D8"/>
    <mergeCell ref="E8:F8"/>
    <mergeCell ref="C17:F17"/>
    <mergeCell ref="G17:K17"/>
    <mergeCell ref="K5:L5"/>
    <mergeCell ref="I5:J5"/>
    <mergeCell ref="C6:D6"/>
    <mergeCell ref="E5:F5"/>
    <mergeCell ref="E6:F6"/>
    <mergeCell ref="C5:D5"/>
    <mergeCell ref="K6:L6"/>
    <mergeCell ref="A18:A19"/>
    <mergeCell ref="E9:F9"/>
    <mergeCell ref="G8:H8"/>
    <mergeCell ref="I8:J8"/>
    <mergeCell ref="G9:H9"/>
    <mergeCell ref="B13:L13"/>
    <mergeCell ref="B14:L14"/>
    <mergeCell ref="K8:L8"/>
    <mergeCell ref="G6:H6"/>
    <mergeCell ref="G7:H7"/>
    <mergeCell ref="I7:J7"/>
    <mergeCell ref="I6:J6"/>
    <mergeCell ref="K7:L7"/>
    <mergeCell ref="K9:L9"/>
    <mergeCell ref="K10:L10"/>
    <mergeCell ref="C9:D9"/>
    <mergeCell ref="C10:D10"/>
    <mergeCell ref="E10:F10"/>
    <mergeCell ref="I9:J9"/>
    <mergeCell ref="G10:H10"/>
    <mergeCell ref="I10:J10"/>
    <mergeCell ref="B30:K30"/>
    <mergeCell ref="B29:K29"/>
    <mergeCell ref="K11:L11"/>
    <mergeCell ref="C12:D12"/>
    <mergeCell ref="E12:F12"/>
    <mergeCell ref="G12:H12"/>
    <mergeCell ref="I12:J12"/>
    <mergeCell ref="K12:L12"/>
    <mergeCell ref="C11:D11"/>
    <mergeCell ref="E11:F11"/>
    <mergeCell ref="I11:J11"/>
    <mergeCell ref="G11:H11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EIR&amp;CB-9&amp;RMarch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36"/>
  <sheetViews>
    <sheetView zoomScale="75" zoomScaleNormal="75" zoomScalePageLayoutView="0" workbookViewId="0" topLeftCell="A1">
      <selection activeCell="H33" sqref="H33"/>
    </sheetView>
  </sheetViews>
  <sheetFormatPr defaultColWidth="9.140625" defaultRowHeight="12.75"/>
  <cols>
    <col min="2" max="2" width="36.7109375" style="0" customWidth="1"/>
    <col min="3" max="4" width="16.28125" style="0" customWidth="1"/>
    <col min="5" max="5" width="18.5742187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37" t="s">
        <v>186</v>
      </c>
      <c r="B1" s="237" t="s">
        <v>186</v>
      </c>
      <c r="C1" s="237"/>
      <c r="D1" s="237"/>
      <c r="E1" s="237"/>
      <c r="F1" s="237"/>
      <c r="G1" s="237"/>
      <c r="H1" s="237"/>
      <c r="I1" s="237"/>
      <c r="J1" s="237"/>
    </row>
    <row r="2" spans="1:10" s="12" customFormat="1" ht="15">
      <c r="A2" s="232" t="s">
        <v>65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4" s="12" customFormat="1" ht="15">
      <c r="A3" s="232" t="s">
        <v>133</v>
      </c>
      <c r="B3" s="232"/>
      <c r="C3" s="232"/>
      <c r="D3" s="232"/>
      <c r="E3" s="232"/>
      <c r="F3" s="232"/>
      <c r="G3" s="232"/>
      <c r="H3" s="232"/>
      <c r="I3" s="232"/>
      <c r="J3" s="232"/>
      <c r="M3" s="13"/>
      <c r="N3" s="13"/>
    </row>
    <row r="4" spans="2:14" s="12" customFormat="1" ht="15.75" thickBot="1">
      <c r="B4" s="58"/>
      <c r="C4" s="58"/>
      <c r="D4" s="58"/>
      <c r="E4" s="58"/>
      <c r="F4" s="58"/>
      <c r="G4" s="58"/>
      <c r="H4" s="58"/>
      <c r="M4" s="13"/>
      <c r="N4" s="13"/>
    </row>
    <row r="5" spans="2:6" ht="54.75">
      <c r="B5" s="115" t="s">
        <v>75</v>
      </c>
      <c r="C5" s="116" t="s">
        <v>113</v>
      </c>
      <c r="D5" s="116" t="s">
        <v>77</v>
      </c>
      <c r="E5" s="116" t="s">
        <v>114</v>
      </c>
      <c r="F5" s="117" t="s">
        <v>78</v>
      </c>
    </row>
    <row r="6" spans="2:6" ht="13.5" thickBot="1">
      <c r="B6" s="65" t="s">
        <v>76</v>
      </c>
      <c r="C6" s="54">
        <v>58</v>
      </c>
      <c r="D6" s="66">
        <f>C6*2000</f>
        <v>116000</v>
      </c>
      <c r="E6" s="120">
        <f>0.00112*((12/5)^1.3)/((2/2)^1.4)*D6/2000</f>
        <v>0.20273121839745736</v>
      </c>
      <c r="F6" s="57" t="s">
        <v>19</v>
      </c>
    </row>
    <row r="7" spans="2:6" s="5" customFormat="1" ht="26.25" customHeight="1">
      <c r="B7" s="240" t="s">
        <v>112</v>
      </c>
      <c r="C7" s="240"/>
      <c r="D7" s="240"/>
      <c r="E7" s="240"/>
      <c r="F7" s="240"/>
    </row>
    <row r="8" spans="3:6" s="5" customFormat="1" ht="13.5" thickBot="1">
      <c r="C8" s="7"/>
      <c r="D8" s="73"/>
      <c r="E8" s="74"/>
      <c r="F8" s="7"/>
    </row>
    <row r="9" spans="2:8" ht="68.25">
      <c r="B9" s="118" t="s">
        <v>79</v>
      </c>
      <c r="C9" s="116" t="s">
        <v>6</v>
      </c>
      <c r="D9" s="116" t="s">
        <v>88</v>
      </c>
      <c r="E9" s="116" t="s">
        <v>81</v>
      </c>
      <c r="F9" s="116" t="s">
        <v>89</v>
      </c>
      <c r="G9" s="116" t="s">
        <v>90</v>
      </c>
      <c r="H9" s="117" t="s">
        <v>78</v>
      </c>
    </row>
    <row r="10" spans="2:8" ht="13.5" thickBot="1">
      <c r="B10" s="65" t="s">
        <v>80</v>
      </c>
      <c r="C10" s="54">
        <v>1</v>
      </c>
      <c r="D10" s="67">
        <v>26.4</v>
      </c>
      <c r="E10" s="67">
        <v>0.5</v>
      </c>
      <c r="F10" s="120">
        <f>C10*D10</f>
        <v>26.4</v>
      </c>
      <c r="G10" s="121">
        <f>C10*D10*E10</f>
        <v>13.2</v>
      </c>
      <c r="H10" s="57" t="s">
        <v>5</v>
      </c>
    </row>
    <row r="11" spans="1:8" ht="24.75" customHeight="1">
      <c r="A11" s="64"/>
      <c r="B11" s="239" t="s">
        <v>123</v>
      </c>
      <c r="C11" s="239"/>
      <c r="D11" s="239"/>
      <c r="E11" s="239"/>
      <c r="F11" s="239"/>
      <c r="G11" s="239"/>
      <c r="H11" s="90"/>
    </row>
    <row r="12" spans="1:8" ht="12.75">
      <c r="A12" s="64"/>
      <c r="B12" s="93" t="s">
        <v>82</v>
      </c>
      <c r="C12" s="94"/>
      <c r="D12" s="94"/>
      <c r="E12" s="94"/>
      <c r="F12" s="94"/>
      <c r="G12" s="94"/>
      <c r="H12" s="90"/>
    </row>
    <row r="13" ht="13.5" thickBot="1"/>
    <row r="14" spans="1:10" ht="54.75">
      <c r="A14" s="75"/>
      <c r="B14" s="115" t="s">
        <v>83</v>
      </c>
      <c r="C14" s="116" t="s">
        <v>116</v>
      </c>
      <c r="D14" s="116" t="s">
        <v>64</v>
      </c>
      <c r="E14" s="116" t="s">
        <v>63</v>
      </c>
      <c r="F14" s="116" t="s">
        <v>117</v>
      </c>
      <c r="G14" s="119" t="s">
        <v>81</v>
      </c>
      <c r="H14" s="117" t="s">
        <v>120</v>
      </c>
      <c r="I14" s="116" t="s">
        <v>121</v>
      </c>
      <c r="J14" s="117" t="s">
        <v>78</v>
      </c>
    </row>
    <row r="15" spans="2:10" ht="27" thickBot="1">
      <c r="B15" s="65" t="s">
        <v>84</v>
      </c>
      <c r="C15" s="69">
        <v>5</v>
      </c>
      <c r="D15" s="54">
        <v>1</v>
      </c>
      <c r="E15" s="70">
        <v>5</v>
      </c>
      <c r="F15" s="165">
        <f>0.77*(0.04*0.35)^0.3</f>
        <v>0.21395829867699712</v>
      </c>
      <c r="G15" s="134">
        <v>0.5</v>
      </c>
      <c r="H15" s="122">
        <f>C15*D15*E15*F15</f>
        <v>5.348957466924928</v>
      </c>
      <c r="I15" s="123">
        <f>C15*D15*E15*F15*G15</f>
        <v>2.674478733462464</v>
      </c>
      <c r="J15" s="68" t="s">
        <v>86</v>
      </c>
    </row>
    <row r="16" spans="2:10" ht="12.75">
      <c r="B16" s="238" t="s">
        <v>115</v>
      </c>
      <c r="C16" s="238"/>
      <c r="D16" s="238"/>
      <c r="E16" s="238"/>
      <c r="F16" s="238"/>
      <c r="G16" s="238"/>
      <c r="H16" s="238"/>
      <c r="I16" s="74"/>
      <c r="J16" s="92"/>
    </row>
    <row r="17" spans="2:8" s="5" customFormat="1" ht="13.5">
      <c r="B17" s="95" t="s">
        <v>122</v>
      </c>
      <c r="C17" s="95"/>
      <c r="D17" s="95"/>
      <c r="E17" s="95"/>
      <c r="F17" s="95"/>
      <c r="G17" s="95"/>
      <c r="H17" s="96"/>
    </row>
    <row r="18" spans="2:8" s="5" customFormat="1" ht="12.75">
      <c r="B18" s="95" t="s">
        <v>118</v>
      </c>
      <c r="C18" s="95"/>
      <c r="D18" s="95"/>
      <c r="E18" s="95"/>
      <c r="F18" s="95"/>
      <c r="G18" s="95"/>
      <c r="H18" s="96"/>
    </row>
    <row r="19" spans="2:8" s="5" customFormat="1" ht="12.75">
      <c r="B19" s="95" t="s">
        <v>119</v>
      </c>
      <c r="C19" s="95"/>
      <c r="D19" s="95"/>
      <c r="E19" s="95"/>
      <c r="F19" s="95"/>
      <c r="G19" s="95"/>
      <c r="H19" s="96"/>
    </row>
    <row r="21" spans="2:6" ht="12.75">
      <c r="B21" s="91" t="s">
        <v>87</v>
      </c>
      <c r="C21" s="91"/>
      <c r="D21" s="91"/>
      <c r="E21" s="91"/>
      <c r="F21" s="91"/>
    </row>
    <row r="22" ht="13.5" thickBot="1">
      <c r="G22" s="5"/>
    </row>
    <row r="23" spans="2:8" ht="39">
      <c r="B23" s="188" t="s">
        <v>83</v>
      </c>
      <c r="C23" s="166" t="s">
        <v>146</v>
      </c>
      <c r="D23" s="166" t="s">
        <v>7</v>
      </c>
      <c r="E23" s="166" t="s">
        <v>64</v>
      </c>
      <c r="F23" s="166" t="s">
        <v>147</v>
      </c>
      <c r="G23" s="166" t="s">
        <v>148</v>
      </c>
      <c r="H23" s="167" t="s">
        <v>149</v>
      </c>
    </row>
    <row r="24" spans="2:8" ht="12.75">
      <c r="B24" s="60" t="s">
        <v>150</v>
      </c>
      <c r="C24" s="168">
        <v>90</v>
      </c>
      <c r="D24" s="168" t="s">
        <v>151</v>
      </c>
      <c r="E24" s="168">
        <v>2</v>
      </c>
      <c r="F24" s="168">
        <f>C24*E24*16.2</f>
        <v>2916</v>
      </c>
      <c r="G24" s="169">
        <f>0.016*((0.037/2)^0.65)*((2.4/3)^1.5)-0.00047</f>
        <v>0.00038588730870570007</v>
      </c>
      <c r="H24" s="170">
        <f>F24*G24</f>
        <v>1.1252473921858215</v>
      </c>
    </row>
    <row r="25" spans="2:8" ht="12.75">
      <c r="B25" s="187" t="s">
        <v>152</v>
      </c>
      <c r="C25" s="168">
        <v>4</v>
      </c>
      <c r="D25" s="168" t="s">
        <v>151</v>
      </c>
      <c r="E25" s="168">
        <v>1</v>
      </c>
      <c r="F25" s="168">
        <f>C25*E25*5</f>
        <v>20</v>
      </c>
      <c r="G25" s="171">
        <f>0.016*((0.037/2)^0.65)*((5/3)^1.5)-0.00047</f>
        <v>0.0021036810837355225</v>
      </c>
      <c r="H25" s="170">
        <f>F25*G25</f>
        <v>0.042073621674710446</v>
      </c>
    </row>
    <row r="26" spans="2:8" ht="12.75">
      <c r="B26" s="187" t="s">
        <v>168</v>
      </c>
      <c r="C26" s="168">
        <v>18</v>
      </c>
      <c r="D26" s="168" t="s">
        <v>8</v>
      </c>
      <c r="E26" s="168">
        <v>2</v>
      </c>
      <c r="F26" s="168">
        <f>C26*E26*10</f>
        <v>360</v>
      </c>
      <c r="G26" s="171">
        <f>0.016*((0.037/2)^0.65)*((20/3)^1.5)-0.00047</f>
        <v>0.020119448669884177</v>
      </c>
      <c r="H26" s="170">
        <f>F26*G26</f>
        <v>7.243001521158304</v>
      </c>
    </row>
    <row r="27" spans="2:8" ht="12.75">
      <c r="B27" s="197" t="s">
        <v>169</v>
      </c>
      <c r="C27" s="168">
        <v>5</v>
      </c>
      <c r="D27" s="168" t="s">
        <v>8</v>
      </c>
      <c r="E27" s="168">
        <v>2</v>
      </c>
      <c r="F27" s="168">
        <f>C27*E27*15</f>
        <v>150</v>
      </c>
      <c r="G27" s="171">
        <f>0.016*((0.037/2)^0.65)*((20/3)^1.5)-0.00047</f>
        <v>0.020119448669884177</v>
      </c>
      <c r="H27" s="170">
        <f>F27*G27</f>
        <v>3.0179173004826265</v>
      </c>
    </row>
    <row r="28" spans="2:8" ht="14.25" thickBot="1">
      <c r="B28" s="172" t="s">
        <v>153</v>
      </c>
      <c r="C28" s="184"/>
      <c r="D28" s="185"/>
      <c r="E28" s="186"/>
      <c r="F28" s="184"/>
      <c r="G28" s="184"/>
      <c r="H28" s="173">
        <f>SUM(H24:H27)</f>
        <v>11.428239835501461</v>
      </c>
    </row>
    <row r="29" spans="2:8" ht="12.75">
      <c r="B29" s="174" t="s">
        <v>154</v>
      </c>
      <c r="C29" s="175"/>
      <c r="D29" s="175"/>
      <c r="E29" s="175"/>
      <c r="F29" s="175"/>
      <c r="G29" s="175"/>
      <c r="H29" s="175"/>
    </row>
    <row r="30" spans="2:8" ht="13.5">
      <c r="B30" s="176" t="s">
        <v>155</v>
      </c>
      <c r="C30" s="5"/>
      <c r="D30" s="5"/>
      <c r="E30" s="5"/>
      <c r="F30" s="5"/>
      <c r="G30" s="5"/>
      <c r="H30" s="5"/>
    </row>
    <row r="31" spans="2:8" ht="12.75">
      <c r="B31" s="177" t="s">
        <v>156</v>
      </c>
      <c r="C31" s="5"/>
      <c r="D31" s="5"/>
      <c r="E31" s="5"/>
      <c r="F31" s="5"/>
      <c r="G31" s="178"/>
      <c r="H31" s="5"/>
    </row>
    <row r="32" spans="2:8" ht="12.75">
      <c r="B32" s="179" t="s">
        <v>157</v>
      </c>
      <c r="C32" s="5"/>
      <c r="D32" s="5"/>
      <c r="E32" s="5"/>
      <c r="F32" s="5"/>
      <c r="G32" s="5"/>
      <c r="H32" s="5"/>
    </row>
    <row r="33" spans="2:8" ht="13.5">
      <c r="B33" s="177" t="s">
        <v>158</v>
      </c>
      <c r="C33" s="5"/>
      <c r="D33" s="5"/>
      <c r="E33" s="5"/>
      <c r="F33" s="5"/>
      <c r="G33" s="5"/>
      <c r="H33" s="5"/>
    </row>
    <row r="34" spans="2:8" ht="12.75">
      <c r="B34" s="177" t="s">
        <v>159</v>
      </c>
      <c r="C34" s="5"/>
      <c r="D34" s="5"/>
      <c r="E34" s="5"/>
      <c r="F34" s="5"/>
      <c r="G34" s="5"/>
      <c r="H34" s="5"/>
    </row>
    <row r="35" spans="1:10" ht="12.75">
      <c r="A35" s="5"/>
      <c r="B35" s="177" t="s">
        <v>160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199"/>
      <c r="B36" s="199"/>
      <c r="C36" s="199"/>
      <c r="D36" s="199"/>
      <c r="E36" s="199"/>
      <c r="F36" s="199"/>
      <c r="G36" s="199"/>
      <c r="H36" s="199"/>
      <c r="I36" s="199"/>
      <c r="J36" s="199"/>
    </row>
  </sheetData>
  <sheetProtection/>
  <mergeCells count="6">
    <mergeCell ref="A1:J1"/>
    <mergeCell ref="B16:H16"/>
    <mergeCell ref="B11:G11"/>
    <mergeCell ref="A2:J2"/>
    <mergeCell ref="A3:J3"/>
    <mergeCell ref="B7:F7"/>
  </mergeCells>
  <printOptions horizontalCentered="1"/>
  <pageMargins left="0.25" right="0.25" top="0.56" bottom="0.5" header="0.39" footer="0.5"/>
  <pageSetup fitToHeight="1" fitToWidth="1" horizontalDpi="300" verticalDpi="300" orientation="landscape" scale="78" r:id="rId1"/>
  <headerFooter alignWithMargins="0">
    <oddHeader>&amp;RExxonMobil Rule 1105.1 Compliance Project</oddHeader>
    <oddFooter>&amp;LFinal EIR&amp;CB-10&amp;RMarch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36"/>
  <sheetViews>
    <sheetView zoomScale="75" zoomScaleNormal="75" zoomScalePageLayoutView="0" workbookViewId="0" topLeftCell="A1">
      <selection activeCell="A2" sqref="A2:J2"/>
    </sheetView>
  </sheetViews>
  <sheetFormatPr defaultColWidth="9.140625" defaultRowHeight="12.75"/>
  <cols>
    <col min="2" max="2" width="36.7109375" style="0" customWidth="1"/>
    <col min="3" max="3" width="16.28125" style="0" customWidth="1"/>
    <col min="4" max="4" width="15.421875" style="0" customWidth="1"/>
    <col min="5" max="5" width="18.0039062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41" t="s">
        <v>187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12" customFormat="1" ht="15">
      <c r="A2" s="232" t="s">
        <v>65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4" s="12" customFormat="1" ht="15">
      <c r="A3" s="232" t="s">
        <v>134</v>
      </c>
      <c r="B3" s="232"/>
      <c r="C3" s="232"/>
      <c r="D3" s="232"/>
      <c r="E3" s="232"/>
      <c r="F3" s="232"/>
      <c r="G3" s="232"/>
      <c r="H3" s="232"/>
      <c r="I3" s="232"/>
      <c r="J3" s="232"/>
      <c r="M3" s="13"/>
      <c r="N3" s="13"/>
    </row>
    <row r="4" spans="2:14" s="12" customFormat="1" ht="15.75" thickBot="1">
      <c r="B4" s="58"/>
      <c r="C4" s="58"/>
      <c r="D4" s="58"/>
      <c r="E4" s="58"/>
      <c r="F4" s="58"/>
      <c r="G4" s="58"/>
      <c r="H4" s="58"/>
      <c r="M4" s="13"/>
      <c r="N4" s="13"/>
    </row>
    <row r="5" spans="2:6" ht="54.75">
      <c r="B5" s="115" t="s">
        <v>75</v>
      </c>
      <c r="C5" s="116" t="s">
        <v>113</v>
      </c>
      <c r="D5" s="116" t="s">
        <v>77</v>
      </c>
      <c r="E5" s="116" t="s">
        <v>114</v>
      </c>
      <c r="F5" s="117" t="s">
        <v>78</v>
      </c>
    </row>
    <row r="6" spans="2:6" ht="13.5" thickBot="1">
      <c r="B6" s="65" t="s">
        <v>76</v>
      </c>
      <c r="C6" s="54">
        <v>0</v>
      </c>
      <c r="D6" s="66">
        <f>C6*2000</f>
        <v>0</v>
      </c>
      <c r="E6" s="120">
        <f>0.00112*((12/5)^1.3)/((2/2)^1.4)*D6/2000</f>
        <v>0</v>
      </c>
      <c r="F6" s="57" t="s">
        <v>19</v>
      </c>
    </row>
    <row r="7" spans="2:6" s="5" customFormat="1" ht="24.75" customHeight="1">
      <c r="B7" s="242" t="s">
        <v>112</v>
      </c>
      <c r="C7" s="242"/>
      <c r="D7" s="242"/>
      <c r="E7" s="242"/>
      <c r="F7" s="242"/>
    </row>
    <row r="8" spans="2:6" s="5" customFormat="1" ht="13.5" thickBot="1">
      <c r="B8" s="72"/>
      <c r="C8" s="7"/>
      <c r="D8" s="73"/>
      <c r="E8" s="74"/>
      <c r="F8" s="7"/>
    </row>
    <row r="9" spans="2:8" ht="68.25">
      <c r="B9" s="118" t="s">
        <v>79</v>
      </c>
      <c r="C9" s="116" t="s">
        <v>6</v>
      </c>
      <c r="D9" s="116" t="s">
        <v>88</v>
      </c>
      <c r="E9" s="116" t="s">
        <v>81</v>
      </c>
      <c r="F9" s="116" t="s">
        <v>89</v>
      </c>
      <c r="G9" s="116" t="s">
        <v>90</v>
      </c>
      <c r="H9" s="117" t="s">
        <v>78</v>
      </c>
    </row>
    <row r="10" spans="2:8" ht="13.5" thickBot="1">
      <c r="B10" s="65" t="s">
        <v>80</v>
      </c>
      <c r="C10" s="54">
        <v>1</v>
      </c>
      <c r="D10" s="67">
        <v>26.4</v>
      </c>
      <c r="E10" s="67">
        <v>0.5</v>
      </c>
      <c r="F10" s="120">
        <f>C10*D10</f>
        <v>26.4</v>
      </c>
      <c r="G10" s="121">
        <f>C10*D10*E10</f>
        <v>13.2</v>
      </c>
      <c r="H10" s="57" t="s">
        <v>5</v>
      </c>
    </row>
    <row r="11" spans="1:7" ht="24.75" customHeight="1">
      <c r="A11" s="64"/>
      <c r="B11" s="239" t="s">
        <v>123</v>
      </c>
      <c r="C11" s="239"/>
      <c r="D11" s="239"/>
      <c r="E11" s="239"/>
      <c r="F11" s="239"/>
      <c r="G11" s="239"/>
    </row>
    <row r="12" spans="1:7" ht="12.75">
      <c r="A12" s="64"/>
      <c r="B12" s="93" t="s">
        <v>82</v>
      </c>
      <c r="C12" s="94"/>
      <c r="D12" s="94"/>
      <c r="E12" s="94"/>
      <c r="F12" s="94"/>
      <c r="G12" s="94"/>
    </row>
    <row r="13" ht="13.5" thickBot="1"/>
    <row r="14" spans="1:10" ht="54.75">
      <c r="A14" s="75"/>
      <c r="B14" s="115" t="s">
        <v>83</v>
      </c>
      <c r="C14" s="116" t="s">
        <v>124</v>
      </c>
      <c r="D14" s="116" t="s">
        <v>64</v>
      </c>
      <c r="E14" s="116" t="s">
        <v>63</v>
      </c>
      <c r="F14" s="116" t="s">
        <v>117</v>
      </c>
      <c r="G14" s="119" t="s">
        <v>81</v>
      </c>
      <c r="H14" s="117" t="s">
        <v>120</v>
      </c>
      <c r="I14" s="116" t="s">
        <v>121</v>
      </c>
      <c r="J14" s="117" t="s">
        <v>78</v>
      </c>
    </row>
    <row r="15" spans="2:10" ht="27" thickBot="1">
      <c r="B15" s="65" t="s">
        <v>84</v>
      </c>
      <c r="C15" s="69">
        <v>8</v>
      </c>
      <c r="D15" s="54">
        <v>1</v>
      </c>
      <c r="E15" s="70">
        <v>5</v>
      </c>
      <c r="F15" s="124">
        <f>0.77*(0.04*0.35)^0.3</f>
        <v>0.21395829867699712</v>
      </c>
      <c r="G15" s="71">
        <v>0.5</v>
      </c>
      <c r="H15" s="125">
        <f>C15*D15*E15*F15</f>
        <v>8.558331947079886</v>
      </c>
      <c r="I15" s="121">
        <f>C15*D15*E15*F15*G15</f>
        <v>4.279165973539943</v>
      </c>
      <c r="J15" s="68" t="s">
        <v>86</v>
      </c>
    </row>
    <row r="16" spans="2:10" ht="12.75">
      <c r="B16" s="238" t="s">
        <v>115</v>
      </c>
      <c r="C16" s="238"/>
      <c r="D16" s="238"/>
      <c r="E16" s="238"/>
      <c r="F16" s="238"/>
      <c r="G16" s="238"/>
      <c r="H16" s="238"/>
      <c r="I16" s="74"/>
      <c r="J16" s="92"/>
    </row>
    <row r="17" spans="2:8" s="5" customFormat="1" ht="13.5">
      <c r="B17" s="95" t="s">
        <v>122</v>
      </c>
      <c r="C17" s="95"/>
      <c r="D17" s="95"/>
      <c r="E17" s="95"/>
      <c r="F17" s="95"/>
      <c r="G17" s="95"/>
      <c r="H17" s="7"/>
    </row>
    <row r="18" spans="2:8" s="5" customFormat="1" ht="12.75">
      <c r="B18" s="95" t="s">
        <v>118</v>
      </c>
      <c r="C18" s="95"/>
      <c r="D18" s="95"/>
      <c r="E18" s="95"/>
      <c r="F18" s="95"/>
      <c r="G18" s="95"/>
      <c r="H18" s="7"/>
    </row>
    <row r="19" spans="2:8" s="5" customFormat="1" ht="12.75">
      <c r="B19" s="95" t="s">
        <v>119</v>
      </c>
      <c r="C19" s="95"/>
      <c r="D19" s="95"/>
      <c r="E19" s="95"/>
      <c r="F19" s="95"/>
      <c r="G19" s="95"/>
      <c r="H19" s="7"/>
    </row>
    <row r="21" ht="12.75">
      <c r="B21" s="76" t="s">
        <v>87</v>
      </c>
    </row>
    <row r="22" ht="13.5" thickBot="1"/>
    <row r="23" spans="2:8" ht="39">
      <c r="B23" s="188" t="s">
        <v>83</v>
      </c>
      <c r="C23" s="189" t="s">
        <v>146</v>
      </c>
      <c r="D23" s="189" t="s">
        <v>7</v>
      </c>
      <c r="E23" s="189" t="s">
        <v>64</v>
      </c>
      <c r="F23" s="189" t="s">
        <v>147</v>
      </c>
      <c r="G23" s="189" t="s">
        <v>166</v>
      </c>
      <c r="H23" s="190" t="s">
        <v>149</v>
      </c>
    </row>
    <row r="24" spans="2:8" ht="12.75">
      <c r="B24" s="191" t="s">
        <v>150</v>
      </c>
      <c r="C24" s="192">
        <v>230</v>
      </c>
      <c r="D24" s="192" t="s">
        <v>151</v>
      </c>
      <c r="E24" s="192">
        <v>2</v>
      </c>
      <c r="F24" s="192">
        <f>C24*E24*16.2</f>
        <v>7452</v>
      </c>
      <c r="G24" s="193">
        <f>0.016*((0.037/2)^0.65)*((2.4/3)^1.5)-0.00047</f>
        <v>0.00038588730870570007</v>
      </c>
      <c r="H24" s="194">
        <f>F24*G24</f>
        <v>2.875632224474877</v>
      </c>
    </row>
    <row r="25" spans="2:8" ht="12.75">
      <c r="B25" s="187" t="s">
        <v>152</v>
      </c>
      <c r="C25" s="192">
        <v>5</v>
      </c>
      <c r="D25" s="192" t="s">
        <v>151</v>
      </c>
      <c r="E25" s="192">
        <v>1</v>
      </c>
      <c r="F25" s="192">
        <f>C25*E25*5</f>
        <v>25</v>
      </c>
      <c r="G25" s="195">
        <f>0.016*((0.037/2)^0.65)*((5/3)^1.5)-0.00047</f>
        <v>0.0021036810837355225</v>
      </c>
      <c r="H25" s="194">
        <f>F25*G25</f>
        <v>0.05259202709338806</v>
      </c>
    </row>
    <row r="26" spans="2:8" ht="12.75">
      <c r="B26" s="187" t="s">
        <v>168</v>
      </c>
      <c r="C26" s="192">
        <v>15</v>
      </c>
      <c r="D26" s="192" t="s">
        <v>8</v>
      </c>
      <c r="E26" s="192">
        <v>2</v>
      </c>
      <c r="F26" s="192">
        <f>C26*E26*10</f>
        <v>300</v>
      </c>
      <c r="G26" s="195">
        <f>0.016*((0.037/2)^0.65)*((20/3)^1.5)-0.00047</f>
        <v>0.020119448669884177</v>
      </c>
      <c r="H26" s="194">
        <f>F26*G26</f>
        <v>6.035834600965253</v>
      </c>
    </row>
    <row r="27" spans="2:8" ht="12.75">
      <c r="B27" s="197" t="s">
        <v>169</v>
      </c>
      <c r="C27" s="192">
        <v>0</v>
      </c>
      <c r="D27" s="192" t="s">
        <v>8</v>
      </c>
      <c r="E27" s="192">
        <v>0</v>
      </c>
      <c r="F27" s="192">
        <f>C27*E27*0</f>
        <v>0</v>
      </c>
      <c r="G27" s="195">
        <f>0.016*((0.037/2)^0.65)*((20/3)^1.5)-0.00047</f>
        <v>0.020119448669884177</v>
      </c>
      <c r="H27" s="194">
        <f>F27*G27</f>
        <v>0</v>
      </c>
    </row>
    <row r="28" spans="2:8" ht="14.25" thickBot="1">
      <c r="B28" s="172" t="s">
        <v>153</v>
      </c>
      <c r="C28" s="184"/>
      <c r="D28" s="185"/>
      <c r="E28" s="186"/>
      <c r="F28" s="184"/>
      <c r="G28" s="184"/>
      <c r="H28" s="173">
        <f>SUM(H24:H27)</f>
        <v>8.964058852533519</v>
      </c>
    </row>
    <row r="29" spans="2:8" ht="12.75">
      <c r="B29" s="174" t="s">
        <v>154</v>
      </c>
      <c r="C29" s="175"/>
      <c r="D29" s="175"/>
      <c r="E29" s="175"/>
      <c r="F29" s="175"/>
      <c r="G29" s="175"/>
      <c r="H29" s="175"/>
    </row>
    <row r="30" spans="2:8" ht="13.5">
      <c r="B30" s="176" t="s">
        <v>155</v>
      </c>
      <c r="C30" s="5"/>
      <c r="D30" s="5"/>
      <c r="E30" s="5"/>
      <c r="F30" s="5"/>
      <c r="G30" s="5"/>
      <c r="H30" s="5"/>
    </row>
    <row r="31" spans="2:8" ht="12.75">
      <c r="B31" s="177" t="s">
        <v>156</v>
      </c>
      <c r="C31" s="5"/>
      <c r="D31" s="5"/>
      <c r="E31" s="5"/>
      <c r="F31" s="5"/>
      <c r="G31" s="178"/>
      <c r="H31" s="5"/>
    </row>
    <row r="32" spans="2:8" ht="12.75">
      <c r="B32" s="179" t="s">
        <v>157</v>
      </c>
      <c r="C32" s="5"/>
      <c r="D32" s="5"/>
      <c r="E32" s="5"/>
      <c r="F32" s="5"/>
      <c r="G32" s="5"/>
      <c r="H32" s="5"/>
    </row>
    <row r="33" spans="2:8" ht="13.5">
      <c r="B33" s="177" t="s">
        <v>158</v>
      </c>
      <c r="C33" s="5"/>
      <c r="D33" s="5"/>
      <c r="E33" s="5"/>
      <c r="F33" s="5"/>
      <c r="G33" s="5"/>
      <c r="H33" s="5"/>
    </row>
    <row r="34" spans="2:8" ht="12.75">
      <c r="B34" s="177" t="s">
        <v>159</v>
      </c>
      <c r="C34" s="5"/>
      <c r="D34" s="5"/>
      <c r="E34" s="5"/>
      <c r="F34" s="5"/>
      <c r="G34" s="5"/>
      <c r="H34" s="5"/>
    </row>
    <row r="35" spans="1:10" ht="12.75">
      <c r="A35" s="5"/>
      <c r="B35" s="177" t="s">
        <v>160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199"/>
      <c r="B36" s="199"/>
      <c r="C36" s="199"/>
      <c r="D36" s="199"/>
      <c r="E36" s="199"/>
      <c r="F36" s="199"/>
      <c r="G36" s="199"/>
      <c r="H36" s="199"/>
      <c r="I36" s="199"/>
      <c r="J36" s="199"/>
    </row>
  </sheetData>
  <sheetProtection/>
  <mergeCells count="6">
    <mergeCell ref="A1:J1"/>
    <mergeCell ref="B16:H16"/>
    <mergeCell ref="B11:G11"/>
    <mergeCell ref="A2:J2"/>
    <mergeCell ref="A3:J3"/>
    <mergeCell ref="B7:F7"/>
  </mergeCells>
  <printOptions horizontalCentered="1"/>
  <pageMargins left="0.25" right="0.2" top="0.56" bottom="0.5" header="0.39" footer="0.5"/>
  <pageSetup fitToHeight="1" fitToWidth="1" horizontalDpi="300" verticalDpi="300" orientation="landscape" scale="79" r:id="rId1"/>
  <headerFooter alignWithMargins="0">
    <oddHeader>&amp;RExxonMobil Rule 1105.1 Compliance Project</oddHeader>
    <oddFooter>&amp;LFinal EIR&amp;CB-11&amp;RMarch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36"/>
  <sheetViews>
    <sheetView zoomScale="75" zoomScaleNormal="75" zoomScalePageLayoutView="0" workbookViewId="0" topLeftCell="A1">
      <selection activeCell="A2" sqref="A2:J2"/>
    </sheetView>
  </sheetViews>
  <sheetFormatPr defaultColWidth="9.140625" defaultRowHeight="12.75"/>
  <cols>
    <col min="2" max="2" width="36.7109375" style="0" customWidth="1"/>
    <col min="3" max="3" width="16.28125" style="0" customWidth="1"/>
    <col min="4" max="4" width="15.421875" style="0" customWidth="1"/>
    <col min="5" max="5" width="18.0039062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37" t="s">
        <v>188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s="12" customFormat="1" ht="15">
      <c r="A2" s="232" t="s">
        <v>65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4" s="12" customFormat="1" ht="15">
      <c r="A3" s="232" t="s">
        <v>135</v>
      </c>
      <c r="B3" s="232"/>
      <c r="C3" s="232"/>
      <c r="D3" s="232"/>
      <c r="E3" s="232"/>
      <c r="F3" s="232"/>
      <c r="G3" s="232"/>
      <c r="H3" s="232"/>
      <c r="I3" s="232"/>
      <c r="J3" s="232"/>
      <c r="M3" s="13"/>
      <c r="N3" s="13"/>
    </row>
    <row r="4" spans="2:14" s="12" customFormat="1" ht="15.75" thickBot="1">
      <c r="B4" s="58"/>
      <c r="C4" s="58"/>
      <c r="D4" s="58"/>
      <c r="E4" s="58"/>
      <c r="F4" s="58"/>
      <c r="G4" s="58"/>
      <c r="H4" s="58"/>
      <c r="M4" s="13"/>
      <c r="N4" s="13"/>
    </row>
    <row r="5" spans="2:6" ht="54.75">
      <c r="B5" s="115" t="s">
        <v>75</v>
      </c>
      <c r="C5" s="116" t="s">
        <v>113</v>
      </c>
      <c r="D5" s="116" t="s">
        <v>77</v>
      </c>
      <c r="E5" s="116" t="s">
        <v>114</v>
      </c>
      <c r="F5" s="117" t="s">
        <v>78</v>
      </c>
    </row>
    <row r="6" spans="2:6" ht="13.5" thickBot="1">
      <c r="B6" s="65" t="s">
        <v>76</v>
      </c>
      <c r="C6" s="54">
        <v>0</v>
      </c>
      <c r="D6" s="66">
        <f>C6*2000</f>
        <v>0</v>
      </c>
      <c r="E6" s="120">
        <f>0.00112*((12/5)^1.3)/((2/2)^1.4)*D6/2000</f>
        <v>0</v>
      </c>
      <c r="F6" s="57" t="s">
        <v>19</v>
      </c>
    </row>
    <row r="7" spans="2:6" s="5" customFormat="1" ht="24.75" customHeight="1">
      <c r="B7" s="242" t="s">
        <v>112</v>
      </c>
      <c r="C7" s="242"/>
      <c r="D7" s="242"/>
      <c r="E7" s="242"/>
      <c r="F7" s="242"/>
    </row>
    <row r="8" spans="2:6" s="5" customFormat="1" ht="13.5" thickBot="1">
      <c r="B8" s="72"/>
      <c r="C8" s="7"/>
      <c r="D8" s="73"/>
      <c r="E8" s="74"/>
      <c r="F8" s="7"/>
    </row>
    <row r="9" spans="2:8" ht="68.25">
      <c r="B9" s="118" t="s">
        <v>79</v>
      </c>
      <c r="C9" s="116" t="s">
        <v>6</v>
      </c>
      <c r="D9" s="116" t="s">
        <v>88</v>
      </c>
      <c r="E9" s="116" t="s">
        <v>81</v>
      </c>
      <c r="F9" s="116" t="s">
        <v>89</v>
      </c>
      <c r="G9" s="116" t="s">
        <v>90</v>
      </c>
      <c r="H9" s="117" t="s">
        <v>78</v>
      </c>
    </row>
    <row r="10" spans="2:8" ht="13.5" thickBot="1">
      <c r="B10" s="65" t="s">
        <v>80</v>
      </c>
      <c r="C10" s="54">
        <v>0</v>
      </c>
      <c r="D10" s="67">
        <v>26.4</v>
      </c>
      <c r="E10" s="67">
        <v>0.5</v>
      </c>
      <c r="F10" s="120">
        <f>C10*D10</f>
        <v>0</v>
      </c>
      <c r="G10" s="121">
        <f>C10*D10*E10</f>
        <v>0</v>
      </c>
      <c r="H10" s="57" t="s">
        <v>5</v>
      </c>
    </row>
    <row r="11" spans="1:7" ht="24.75" customHeight="1">
      <c r="A11" s="64"/>
      <c r="B11" s="239" t="s">
        <v>123</v>
      </c>
      <c r="C11" s="239"/>
      <c r="D11" s="239"/>
      <c r="E11" s="239"/>
      <c r="F11" s="239"/>
      <c r="G11" s="239"/>
    </row>
    <row r="12" spans="1:7" ht="12.75">
      <c r="A12" s="64"/>
      <c r="B12" s="93" t="s">
        <v>82</v>
      </c>
      <c r="C12" s="94"/>
      <c r="D12" s="94"/>
      <c r="E12" s="94"/>
      <c r="F12" s="94"/>
      <c r="G12" s="94"/>
    </row>
    <row r="13" ht="13.5" thickBot="1"/>
    <row r="14" spans="1:10" ht="54.75">
      <c r="A14" s="75"/>
      <c r="B14" s="115" t="s">
        <v>83</v>
      </c>
      <c r="C14" s="116" t="s">
        <v>125</v>
      </c>
      <c r="D14" s="116" t="s">
        <v>64</v>
      </c>
      <c r="E14" s="116" t="s">
        <v>63</v>
      </c>
      <c r="F14" s="116" t="s">
        <v>117</v>
      </c>
      <c r="G14" s="119" t="s">
        <v>81</v>
      </c>
      <c r="H14" s="117" t="s">
        <v>120</v>
      </c>
      <c r="I14" s="116" t="s">
        <v>121</v>
      </c>
      <c r="J14" s="117" t="s">
        <v>78</v>
      </c>
    </row>
    <row r="15" spans="2:10" ht="27" thickBot="1">
      <c r="B15" s="65" t="s">
        <v>84</v>
      </c>
      <c r="C15" s="69">
        <v>3</v>
      </c>
      <c r="D15" s="54">
        <v>1</v>
      </c>
      <c r="E15" s="70">
        <v>5</v>
      </c>
      <c r="F15" s="124">
        <f>0.77*(0.04*0.35)^0.3</f>
        <v>0.21395829867699712</v>
      </c>
      <c r="G15" s="71">
        <v>0.5</v>
      </c>
      <c r="H15" s="125">
        <f>C15*D15*E15*F15</f>
        <v>3.2093744801549566</v>
      </c>
      <c r="I15" s="121">
        <f>C15*D15*E15*F15*G15</f>
        <v>1.6046872400774783</v>
      </c>
      <c r="J15" s="68" t="s">
        <v>86</v>
      </c>
    </row>
    <row r="16" spans="2:10" ht="12.75">
      <c r="B16" s="238" t="s">
        <v>115</v>
      </c>
      <c r="C16" s="238"/>
      <c r="D16" s="238"/>
      <c r="E16" s="238"/>
      <c r="F16" s="238"/>
      <c r="G16" s="238"/>
      <c r="H16" s="238"/>
      <c r="I16" s="74"/>
      <c r="J16" s="92"/>
    </row>
    <row r="17" spans="2:8" s="5" customFormat="1" ht="13.5">
      <c r="B17" s="95" t="s">
        <v>122</v>
      </c>
      <c r="C17" s="95"/>
      <c r="D17" s="95"/>
      <c r="E17" s="95"/>
      <c r="F17" s="95"/>
      <c r="G17" s="95"/>
      <c r="H17" s="7"/>
    </row>
    <row r="18" spans="2:8" s="5" customFormat="1" ht="12.75">
      <c r="B18" s="95" t="s">
        <v>118</v>
      </c>
      <c r="C18" s="95"/>
      <c r="D18" s="95"/>
      <c r="E18" s="95"/>
      <c r="F18" s="95"/>
      <c r="G18" s="95"/>
      <c r="H18" s="7"/>
    </row>
    <row r="19" spans="2:8" s="5" customFormat="1" ht="12.75">
      <c r="B19" s="95" t="s">
        <v>119</v>
      </c>
      <c r="C19" s="95"/>
      <c r="D19" s="95"/>
      <c r="E19" s="95"/>
      <c r="F19" s="95"/>
      <c r="G19" s="95"/>
      <c r="H19" s="7"/>
    </row>
    <row r="21" ht="12.75">
      <c r="B21" s="76" t="s">
        <v>87</v>
      </c>
    </row>
    <row r="22" ht="13.5" thickBot="1"/>
    <row r="23" spans="2:8" ht="39">
      <c r="B23" s="188" t="s">
        <v>83</v>
      </c>
      <c r="C23" s="189" t="s">
        <v>146</v>
      </c>
      <c r="D23" s="189" t="s">
        <v>7</v>
      </c>
      <c r="E23" s="189" t="s">
        <v>64</v>
      </c>
      <c r="F23" s="189" t="s">
        <v>147</v>
      </c>
      <c r="G23" s="189" t="s">
        <v>166</v>
      </c>
      <c r="H23" s="190" t="s">
        <v>149</v>
      </c>
    </row>
    <row r="24" spans="2:8" ht="12.75">
      <c r="B24" s="191" t="s">
        <v>150</v>
      </c>
      <c r="C24" s="192">
        <v>30</v>
      </c>
      <c r="D24" s="192" t="s">
        <v>151</v>
      </c>
      <c r="E24" s="192">
        <v>2</v>
      </c>
      <c r="F24" s="192">
        <f>C24*E24*16.2</f>
        <v>972</v>
      </c>
      <c r="G24" s="193">
        <f>0.016*((0.037/2)^0.65)*((2.4/3)^1.5)-0.00047</f>
        <v>0.00038588730870570007</v>
      </c>
      <c r="H24" s="194">
        <f>F24*G24</f>
        <v>0.37508246406194046</v>
      </c>
    </row>
    <row r="25" spans="2:8" ht="12.75">
      <c r="B25" s="187" t="s">
        <v>152</v>
      </c>
      <c r="C25" s="192">
        <v>2</v>
      </c>
      <c r="D25" s="192" t="s">
        <v>151</v>
      </c>
      <c r="E25" s="192">
        <v>1</v>
      </c>
      <c r="F25" s="192">
        <f>C25*E25*5</f>
        <v>10</v>
      </c>
      <c r="G25" s="195">
        <f>0.016*((0.037/2)^0.65)*((5/3)^1.5)-0.00047</f>
        <v>0.0021036810837355225</v>
      </c>
      <c r="H25" s="194">
        <f>F25*G25</f>
        <v>0.021036810837355223</v>
      </c>
    </row>
    <row r="26" spans="2:8" ht="12.75">
      <c r="B26" s="187" t="s">
        <v>168</v>
      </c>
      <c r="C26" s="192">
        <v>1</v>
      </c>
      <c r="D26" s="192" t="s">
        <v>8</v>
      </c>
      <c r="E26" s="192">
        <v>2</v>
      </c>
      <c r="F26" s="192">
        <f>C26*E26*10</f>
        <v>20</v>
      </c>
      <c r="G26" s="195">
        <f>0.016*((0.037/2)^0.65)*((20/3)^1.5)-0.00047</f>
        <v>0.020119448669884177</v>
      </c>
      <c r="H26" s="194">
        <f>F26*G26</f>
        <v>0.40238897339768354</v>
      </c>
    </row>
    <row r="27" spans="2:8" ht="12.75">
      <c r="B27" s="197" t="s">
        <v>169</v>
      </c>
      <c r="C27" s="192">
        <v>0</v>
      </c>
      <c r="D27" s="192" t="s">
        <v>8</v>
      </c>
      <c r="E27" s="192">
        <v>0</v>
      </c>
      <c r="F27" s="192">
        <f>C27*E27*0</f>
        <v>0</v>
      </c>
      <c r="G27" s="195">
        <f>0.016*((0.037/2)^0.65)*((20/3)^1.5)-0.00047</f>
        <v>0.020119448669884177</v>
      </c>
      <c r="H27" s="194">
        <f>F27*G27</f>
        <v>0</v>
      </c>
    </row>
    <row r="28" spans="2:8" ht="14.25" thickBot="1">
      <c r="B28" s="172" t="s">
        <v>153</v>
      </c>
      <c r="C28" s="184"/>
      <c r="D28" s="185"/>
      <c r="E28" s="186"/>
      <c r="F28" s="184"/>
      <c r="G28" s="184"/>
      <c r="H28" s="173">
        <f>SUM(H24:H27)</f>
        <v>0.7985082482969792</v>
      </c>
    </row>
    <row r="29" spans="2:8" ht="12.75">
      <c r="B29" s="174" t="s">
        <v>154</v>
      </c>
      <c r="C29" s="175"/>
      <c r="D29" s="175"/>
      <c r="E29" s="175"/>
      <c r="F29" s="175"/>
      <c r="G29" s="175"/>
      <c r="H29" s="175"/>
    </row>
    <row r="30" spans="2:8" ht="13.5">
      <c r="B30" s="176" t="s">
        <v>155</v>
      </c>
      <c r="C30" s="5"/>
      <c r="D30" s="5"/>
      <c r="E30" s="5"/>
      <c r="F30" s="5"/>
      <c r="G30" s="5"/>
      <c r="H30" s="5"/>
    </row>
    <row r="31" spans="2:8" ht="12.75">
      <c r="B31" s="177" t="s">
        <v>156</v>
      </c>
      <c r="C31" s="5"/>
      <c r="D31" s="5"/>
      <c r="E31" s="5"/>
      <c r="F31" s="5"/>
      <c r="G31" s="178"/>
      <c r="H31" s="5"/>
    </row>
    <row r="32" spans="2:8" ht="12.75">
      <c r="B32" s="179" t="s">
        <v>157</v>
      </c>
      <c r="C32" s="5"/>
      <c r="D32" s="5"/>
      <c r="E32" s="5"/>
      <c r="F32" s="5"/>
      <c r="G32" s="5"/>
      <c r="H32" s="5"/>
    </row>
    <row r="33" spans="2:8" ht="13.5">
      <c r="B33" s="177" t="s">
        <v>158</v>
      </c>
      <c r="C33" s="5"/>
      <c r="D33" s="5"/>
      <c r="E33" s="5"/>
      <c r="F33" s="5"/>
      <c r="G33" s="5"/>
      <c r="H33" s="5"/>
    </row>
    <row r="34" spans="2:8" ht="12.75">
      <c r="B34" s="177" t="s">
        <v>159</v>
      </c>
      <c r="C34" s="5"/>
      <c r="D34" s="5"/>
      <c r="E34" s="5"/>
      <c r="F34" s="5"/>
      <c r="G34" s="5"/>
      <c r="H34" s="5"/>
    </row>
    <row r="35" spans="1:10" ht="12.75">
      <c r="A35" s="5"/>
      <c r="B35" s="177" t="s">
        <v>160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199"/>
      <c r="B36" s="199"/>
      <c r="C36" s="199"/>
      <c r="D36" s="199"/>
      <c r="E36" s="199"/>
      <c r="F36" s="199"/>
      <c r="G36" s="199"/>
      <c r="H36" s="199"/>
      <c r="I36" s="199"/>
      <c r="J36" s="199"/>
    </row>
  </sheetData>
  <sheetProtection/>
  <mergeCells count="6">
    <mergeCell ref="A1:J1"/>
    <mergeCell ref="B16:H16"/>
    <mergeCell ref="B11:G11"/>
    <mergeCell ref="A2:J2"/>
    <mergeCell ref="A3:J3"/>
    <mergeCell ref="B7:F7"/>
  </mergeCells>
  <printOptions horizontalCentered="1"/>
  <pageMargins left="0.25" right="0.25" top="0.56" bottom="0.5" header="0.39" footer="0.5"/>
  <pageSetup fitToHeight="1" fitToWidth="1" horizontalDpi="300" verticalDpi="300" orientation="landscape" scale="79" r:id="rId1"/>
  <headerFooter alignWithMargins="0">
    <oddHeader>&amp;RExxonMobil Rule 1105.1 Compliance Project</oddHeader>
    <oddFooter>&amp;LFinal EIR&amp;CB-12&amp;RMarch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36"/>
  <sheetViews>
    <sheetView view="pageBreakPreview" zoomScale="60" zoomScaleNormal="75" zoomScalePageLayoutView="0" workbookViewId="0" topLeftCell="A1">
      <selection activeCell="A2" sqref="A2:J2"/>
    </sheetView>
  </sheetViews>
  <sheetFormatPr defaultColWidth="9.140625" defaultRowHeight="12.75"/>
  <cols>
    <col min="2" max="2" width="36.7109375" style="0" customWidth="1"/>
    <col min="3" max="3" width="16.28125" style="0" customWidth="1"/>
    <col min="4" max="4" width="15.421875" style="0" customWidth="1"/>
    <col min="5" max="5" width="18.0039062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37" t="s">
        <v>189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s="12" customFormat="1" ht="15">
      <c r="A2" s="232" t="s">
        <v>65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4" s="12" customFormat="1" ht="15">
      <c r="A3" s="232" t="s">
        <v>137</v>
      </c>
      <c r="B3" s="232"/>
      <c r="C3" s="232"/>
      <c r="D3" s="232"/>
      <c r="E3" s="232"/>
      <c r="F3" s="232"/>
      <c r="G3" s="232"/>
      <c r="H3" s="232"/>
      <c r="I3" s="232"/>
      <c r="J3" s="232"/>
      <c r="M3" s="13"/>
      <c r="N3" s="13"/>
    </row>
    <row r="4" spans="2:14" s="12" customFormat="1" ht="15.75" thickBot="1">
      <c r="B4" s="58"/>
      <c r="C4" s="58"/>
      <c r="D4" s="58"/>
      <c r="E4" s="58"/>
      <c r="F4" s="58"/>
      <c r="G4" s="58"/>
      <c r="H4" s="58"/>
      <c r="M4" s="13"/>
      <c r="N4" s="13"/>
    </row>
    <row r="5" spans="2:6" ht="54.75">
      <c r="B5" s="115" t="s">
        <v>75</v>
      </c>
      <c r="C5" s="116" t="s">
        <v>113</v>
      </c>
      <c r="D5" s="116" t="s">
        <v>77</v>
      </c>
      <c r="E5" s="116" t="s">
        <v>114</v>
      </c>
      <c r="F5" s="117" t="s">
        <v>78</v>
      </c>
    </row>
    <row r="6" spans="2:6" ht="13.5" thickBot="1">
      <c r="B6" s="65" t="s">
        <v>76</v>
      </c>
      <c r="C6" s="54">
        <v>0</v>
      </c>
      <c r="D6" s="66">
        <f>C6*2000</f>
        <v>0</v>
      </c>
      <c r="E6" s="120">
        <f>0.00112*((12/5)^1.3)/((2/2)^1.4)*D6/2000</f>
        <v>0</v>
      </c>
      <c r="F6" s="57" t="s">
        <v>19</v>
      </c>
    </row>
    <row r="7" spans="2:6" s="5" customFormat="1" ht="24.75" customHeight="1">
      <c r="B7" s="242" t="s">
        <v>112</v>
      </c>
      <c r="C7" s="242"/>
      <c r="D7" s="242"/>
      <c r="E7" s="242"/>
      <c r="F7" s="242"/>
    </row>
    <row r="8" spans="2:6" s="5" customFormat="1" ht="13.5" thickBot="1">
      <c r="B8" s="72"/>
      <c r="C8" s="7"/>
      <c r="D8" s="73"/>
      <c r="E8" s="74"/>
      <c r="F8" s="7"/>
    </row>
    <row r="9" spans="2:8" ht="68.25">
      <c r="B9" s="118" t="s">
        <v>79</v>
      </c>
      <c r="C9" s="116" t="s">
        <v>6</v>
      </c>
      <c r="D9" s="116" t="s">
        <v>88</v>
      </c>
      <c r="E9" s="116" t="s">
        <v>81</v>
      </c>
      <c r="F9" s="116" t="s">
        <v>89</v>
      </c>
      <c r="G9" s="116" t="s">
        <v>90</v>
      </c>
      <c r="H9" s="117" t="s">
        <v>78</v>
      </c>
    </row>
    <row r="10" spans="2:8" ht="13.5" thickBot="1">
      <c r="B10" s="65" t="s">
        <v>80</v>
      </c>
      <c r="C10" s="54">
        <v>0.25</v>
      </c>
      <c r="D10" s="67">
        <v>26.4</v>
      </c>
      <c r="E10" s="67">
        <v>0.5</v>
      </c>
      <c r="F10" s="120">
        <f>C10*D10</f>
        <v>6.6</v>
      </c>
      <c r="G10" s="121">
        <f>C10*D10*E10</f>
        <v>3.3</v>
      </c>
      <c r="H10" s="57" t="s">
        <v>5</v>
      </c>
    </row>
    <row r="11" spans="1:7" ht="24.75" customHeight="1">
      <c r="A11" s="64"/>
      <c r="B11" s="239" t="s">
        <v>123</v>
      </c>
      <c r="C11" s="239"/>
      <c r="D11" s="239"/>
      <c r="E11" s="239"/>
      <c r="F11" s="239"/>
      <c r="G11" s="239"/>
    </row>
    <row r="12" spans="1:7" ht="12.75">
      <c r="A12" s="64"/>
      <c r="B12" s="93" t="s">
        <v>82</v>
      </c>
      <c r="C12" s="94"/>
      <c r="D12" s="94"/>
      <c r="E12" s="94"/>
      <c r="F12" s="94"/>
      <c r="G12" s="94"/>
    </row>
    <row r="13" ht="13.5" thickBot="1"/>
    <row r="14" spans="1:10" ht="54.75">
      <c r="A14" s="75"/>
      <c r="B14" s="115" t="s">
        <v>83</v>
      </c>
      <c r="C14" s="116" t="s">
        <v>62</v>
      </c>
      <c r="D14" s="116" t="s">
        <v>64</v>
      </c>
      <c r="E14" s="116" t="s">
        <v>63</v>
      </c>
      <c r="F14" s="116" t="s">
        <v>91</v>
      </c>
      <c r="G14" s="119" t="s">
        <v>81</v>
      </c>
      <c r="H14" s="117" t="s">
        <v>85</v>
      </c>
      <c r="I14" s="116" t="s">
        <v>90</v>
      </c>
      <c r="J14" s="117" t="s">
        <v>78</v>
      </c>
    </row>
    <row r="15" spans="2:10" ht="27" thickBot="1">
      <c r="B15" s="65" t="s">
        <v>84</v>
      </c>
      <c r="C15" s="69">
        <v>7</v>
      </c>
      <c r="D15" s="54">
        <v>1</v>
      </c>
      <c r="E15" s="70">
        <v>5</v>
      </c>
      <c r="F15" s="124">
        <f>0.77*(0.04*0.35)^0.3</f>
        <v>0.21395829867699712</v>
      </c>
      <c r="G15" s="71">
        <v>0.5</v>
      </c>
      <c r="H15" s="125">
        <f>C15*D15*E15*F15</f>
        <v>7.488540453694899</v>
      </c>
      <c r="I15" s="121">
        <f>C15*D15*E15*F15*G15</f>
        <v>3.7442702268474495</v>
      </c>
      <c r="J15" s="68" t="s">
        <v>86</v>
      </c>
    </row>
    <row r="16" spans="2:10" ht="12.75">
      <c r="B16" s="238" t="s">
        <v>115</v>
      </c>
      <c r="C16" s="238"/>
      <c r="D16" s="238"/>
      <c r="E16" s="238"/>
      <c r="F16" s="238"/>
      <c r="G16" s="238"/>
      <c r="H16" s="238"/>
      <c r="I16" s="74"/>
      <c r="J16" s="92"/>
    </row>
    <row r="17" spans="2:8" s="5" customFormat="1" ht="13.5">
      <c r="B17" s="95" t="s">
        <v>122</v>
      </c>
      <c r="C17" s="95"/>
      <c r="D17" s="95"/>
      <c r="E17" s="95"/>
      <c r="F17" s="95"/>
      <c r="G17" s="95"/>
      <c r="H17" s="96"/>
    </row>
    <row r="18" spans="2:8" s="5" customFormat="1" ht="12.75">
      <c r="B18" s="95" t="s">
        <v>118</v>
      </c>
      <c r="C18" s="95"/>
      <c r="D18" s="95"/>
      <c r="E18" s="95"/>
      <c r="F18" s="95"/>
      <c r="G18" s="95"/>
      <c r="H18" s="96"/>
    </row>
    <row r="19" spans="2:8" s="5" customFormat="1" ht="12.75">
      <c r="B19" s="95" t="s">
        <v>119</v>
      </c>
      <c r="C19" s="95"/>
      <c r="D19" s="95"/>
      <c r="E19" s="95"/>
      <c r="F19" s="95"/>
      <c r="G19" s="95"/>
      <c r="H19" s="96"/>
    </row>
    <row r="21" ht="12.75">
      <c r="B21" s="76" t="s">
        <v>87</v>
      </c>
    </row>
    <row r="22" ht="13.5" thickBot="1"/>
    <row r="23" spans="2:8" ht="39">
      <c r="B23" s="188" t="s">
        <v>83</v>
      </c>
      <c r="C23" s="189" t="s">
        <v>146</v>
      </c>
      <c r="D23" s="189" t="s">
        <v>7</v>
      </c>
      <c r="E23" s="189" t="s">
        <v>64</v>
      </c>
      <c r="F23" s="189" t="s">
        <v>147</v>
      </c>
      <c r="G23" s="189" t="s">
        <v>166</v>
      </c>
      <c r="H23" s="190" t="s">
        <v>149</v>
      </c>
    </row>
    <row r="24" spans="2:8" ht="12.75">
      <c r="B24" s="191" t="s">
        <v>150</v>
      </c>
      <c r="C24" s="192">
        <v>60</v>
      </c>
      <c r="D24" s="192" t="s">
        <v>151</v>
      </c>
      <c r="E24" s="192">
        <v>2</v>
      </c>
      <c r="F24" s="192">
        <f>C24*E24*16.2</f>
        <v>1944</v>
      </c>
      <c r="G24" s="193">
        <f>0.016*((0.037/2)^0.65)*((2.4/3)^1.5)-0.00047</f>
        <v>0.00038588730870570007</v>
      </c>
      <c r="H24" s="194">
        <f>F24*G24</f>
        <v>0.7501649281238809</v>
      </c>
    </row>
    <row r="25" spans="2:8" ht="12.75">
      <c r="B25" s="187" t="s">
        <v>152</v>
      </c>
      <c r="C25" s="192">
        <v>4</v>
      </c>
      <c r="D25" s="192" t="s">
        <v>151</v>
      </c>
      <c r="E25" s="192">
        <v>1</v>
      </c>
      <c r="F25" s="192">
        <f>C25*E25*5</f>
        <v>20</v>
      </c>
      <c r="G25" s="195">
        <f>0.016*((0.037/2)^0.65)*((5/3)^1.5)-0.00047</f>
        <v>0.0021036810837355225</v>
      </c>
      <c r="H25" s="194">
        <f>F25*G25</f>
        <v>0.042073621674710446</v>
      </c>
    </row>
    <row r="26" spans="2:8" ht="12.75">
      <c r="B26" s="187" t="s">
        <v>168</v>
      </c>
      <c r="C26" s="192">
        <v>2</v>
      </c>
      <c r="D26" s="192" t="s">
        <v>8</v>
      </c>
      <c r="E26" s="192">
        <v>2</v>
      </c>
      <c r="F26" s="192">
        <f>C26*E26*10</f>
        <v>40</v>
      </c>
      <c r="G26" s="195">
        <f>0.016*((0.037/2)^0.65)*((20/3)^1.5)-0.00047</f>
        <v>0.020119448669884177</v>
      </c>
      <c r="H26" s="194">
        <f>F26*G26</f>
        <v>0.8047779467953671</v>
      </c>
    </row>
    <row r="27" spans="2:8" ht="12.75">
      <c r="B27" s="197" t="s">
        <v>169</v>
      </c>
      <c r="C27" s="192">
        <v>0</v>
      </c>
      <c r="D27" s="192" t="s">
        <v>8</v>
      </c>
      <c r="E27" s="192">
        <v>0</v>
      </c>
      <c r="F27" s="192">
        <f>C27*E27*0</f>
        <v>0</v>
      </c>
      <c r="G27" s="195">
        <f>0.016*((0.037/2)^0.65)*((20/3)^1.5)-0.00047</f>
        <v>0.020119448669884177</v>
      </c>
      <c r="H27" s="194">
        <f>F27*G27</f>
        <v>0</v>
      </c>
    </row>
    <row r="28" spans="2:8" ht="14.25" thickBot="1">
      <c r="B28" s="172" t="s">
        <v>153</v>
      </c>
      <c r="C28" s="184"/>
      <c r="D28" s="185"/>
      <c r="E28" s="186"/>
      <c r="F28" s="184"/>
      <c r="G28" s="184"/>
      <c r="H28" s="173">
        <f>SUM(H24:H27)</f>
        <v>1.5970164965939584</v>
      </c>
    </row>
    <row r="29" spans="2:8" ht="12.75">
      <c r="B29" s="174" t="s">
        <v>154</v>
      </c>
      <c r="C29" s="175"/>
      <c r="D29" s="175"/>
      <c r="E29" s="175"/>
      <c r="F29" s="175"/>
      <c r="G29" s="175"/>
      <c r="H29" s="175"/>
    </row>
    <row r="30" spans="2:8" ht="13.5">
      <c r="B30" s="176" t="s">
        <v>155</v>
      </c>
      <c r="C30" s="5"/>
      <c r="D30" s="5"/>
      <c r="E30" s="5"/>
      <c r="F30" s="5"/>
      <c r="G30" s="5"/>
      <c r="H30" s="5"/>
    </row>
    <row r="31" spans="2:8" ht="12.75">
      <c r="B31" s="177" t="s">
        <v>156</v>
      </c>
      <c r="C31" s="5"/>
      <c r="D31" s="5"/>
      <c r="E31" s="5"/>
      <c r="F31" s="5"/>
      <c r="G31" s="178"/>
      <c r="H31" s="5"/>
    </row>
    <row r="32" spans="2:8" ht="12.75">
      <c r="B32" s="179" t="s">
        <v>157</v>
      </c>
      <c r="C32" s="5"/>
      <c r="D32" s="5"/>
      <c r="E32" s="5"/>
      <c r="F32" s="5"/>
      <c r="G32" s="5"/>
      <c r="H32" s="5"/>
    </row>
    <row r="33" spans="2:8" ht="13.5">
      <c r="B33" s="177" t="s">
        <v>158</v>
      </c>
      <c r="C33" s="5"/>
      <c r="D33" s="5"/>
      <c r="E33" s="5"/>
      <c r="F33" s="5"/>
      <c r="G33" s="5"/>
      <c r="H33" s="5"/>
    </row>
    <row r="34" spans="2:8" ht="12.75">
      <c r="B34" s="177" t="s">
        <v>159</v>
      </c>
      <c r="C34" s="5"/>
      <c r="D34" s="5"/>
      <c r="E34" s="5"/>
      <c r="F34" s="5"/>
      <c r="G34" s="5"/>
      <c r="H34" s="5"/>
    </row>
    <row r="35" spans="1:10" ht="12.75">
      <c r="A35" s="5"/>
      <c r="B35" s="177" t="s">
        <v>160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199"/>
      <c r="B36" s="199"/>
      <c r="C36" s="199"/>
      <c r="D36" s="199"/>
      <c r="E36" s="199"/>
      <c r="F36" s="199"/>
      <c r="G36" s="199"/>
      <c r="H36" s="199"/>
      <c r="I36" s="199"/>
      <c r="J36" s="199"/>
    </row>
  </sheetData>
  <sheetProtection/>
  <mergeCells count="6">
    <mergeCell ref="A1:J1"/>
    <mergeCell ref="B16:H16"/>
    <mergeCell ref="B11:G11"/>
    <mergeCell ref="A2:J2"/>
    <mergeCell ref="A3:J3"/>
    <mergeCell ref="B7:F7"/>
  </mergeCells>
  <printOptions horizontalCentered="1"/>
  <pageMargins left="0.25" right="0.25" top="0.56" bottom="0.5" header="0.39" footer="0.5"/>
  <pageSetup fitToHeight="1" fitToWidth="1" horizontalDpi="300" verticalDpi="300" orientation="landscape" scale="79" r:id="rId1"/>
  <headerFooter alignWithMargins="0">
    <oddHeader>&amp;RExxonMobil Rule 1105.1 Compliance Project</oddHeader>
    <oddFooter>&amp;LFinal EIR&amp;CB-13&amp;RMarch 2007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5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2.00390625" style="0" bestFit="1" customWidth="1"/>
    <col min="2" max="2" width="2.7109375" style="0" hidden="1" customWidth="1"/>
    <col min="3" max="7" width="14.140625" style="0" customWidth="1"/>
  </cols>
  <sheetData>
    <row r="1" spans="1:7" ht="15">
      <c r="A1" s="237" t="s">
        <v>170</v>
      </c>
      <c r="B1" s="237"/>
      <c r="C1" s="237"/>
      <c r="D1" s="237"/>
      <c r="E1" s="237"/>
      <c r="F1" s="237"/>
      <c r="G1" s="237"/>
    </row>
    <row r="3" spans="1:7" ht="15">
      <c r="A3" s="232" t="s">
        <v>165</v>
      </c>
      <c r="B3" s="232"/>
      <c r="C3" s="232"/>
      <c r="D3" s="232"/>
      <c r="E3" s="232"/>
      <c r="F3" s="232"/>
      <c r="G3" s="232"/>
    </row>
    <row r="4" spans="1:7" ht="15">
      <c r="A4" s="232" t="s">
        <v>93</v>
      </c>
      <c r="B4" s="232"/>
      <c r="C4" s="232"/>
      <c r="D4" s="232"/>
      <c r="E4" s="232"/>
      <c r="F4" s="232"/>
      <c r="G4" s="232"/>
    </row>
    <row r="6" spans="1:7" ht="12.75">
      <c r="A6" s="243" t="s">
        <v>92</v>
      </c>
      <c r="B6" s="253"/>
      <c r="C6" s="247" t="s">
        <v>164</v>
      </c>
      <c r="D6" s="248"/>
      <c r="E6" s="248"/>
      <c r="F6" s="249"/>
      <c r="G6" s="250"/>
    </row>
    <row r="7" spans="1:7" ht="12.75">
      <c r="A7" s="245"/>
      <c r="B7" s="254"/>
      <c r="C7" s="102" t="s">
        <v>0</v>
      </c>
      <c r="D7" s="102" t="s">
        <v>1</v>
      </c>
      <c r="E7" s="102" t="s">
        <v>2</v>
      </c>
      <c r="F7" s="102" t="s">
        <v>4</v>
      </c>
      <c r="G7" s="3" t="s">
        <v>3</v>
      </c>
    </row>
    <row r="8" spans="1:7" ht="12.75">
      <c r="A8" s="2" t="s">
        <v>12</v>
      </c>
      <c r="B8" s="2"/>
      <c r="C8" s="180">
        <f>'ConstEquip-Phase 1'!I25</f>
        <v>195.22310000000002</v>
      </c>
      <c r="D8" s="180">
        <f>'ConstEquip-Phase 1'!J25</f>
        <v>39.470299999999995</v>
      </c>
      <c r="E8" s="180">
        <f>'ConstEquip-Phase 1'!K25</f>
        <v>359.6976</v>
      </c>
      <c r="F8" s="180">
        <f>'ConstEquip-Phase 1'!L25</f>
        <v>32.852900000000005</v>
      </c>
      <c r="G8" s="180">
        <f>'ConstEquip-Phase 1'!M25</f>
        <v>21.595999999999997</v>
      </c>
    </row>
    <row r="9" spans="1:7" ht="12.75">
      <c r="A9" s="2" t="s">
        <v>20</v>
      </c>
      <c r="B9" s="2"/>
      <c r="C9" s="180">
        <f>'VehicleEmiss-Phase 1'!G26</f>
        <v>42.451595</v>
      </c>
      <c r="D9" s="180">
        <f>'VehicleEmiss-Phase 1'!H26</f>
        <v>4.920258</v>
      </c>
      <c r="E9" s="180">
        <f>'VehicleEmiss-Phase 1'!I26</f>
        <v>20.589516</v>
      </c>
      <c r="F9" s="180">
        <f>'VehicleEmiss-Phase 1'!J26</f>
        <v>0.047864</v>
      </c>
      <c r="G9" s="180">
        <f>'VehicleEmiss-Phase 1'!K26</f>
        <v>0.53288</v>
      </c>
    </row>
    <row r="10" spans="1:7" ht="12.75">
      <c r="A10" s="2" t="s">
        <v>75</v>
      </c>
      <c r="B10" s="2"/>
      <c r="C10" s="180">
        <v>0</v>
      </c>
      <c r="D10" s="180">
        <v>0</v>
      </c>
      <c r="E10" s="180">
        <v>0</v>
      </c>
      <c r="F10" s="180">
        <v>0</v>
      </c>
      <c r="G10" s="180">
        <f>'FugConstEmiss-Phase 1'!E6</f>
        <v>0.20273121839745736</v>
      </c>
    </row>
    <row r="11" spans="1:7" ht="12.75">
      <c r="A11" s="2" t="s">
        <v>79</v>
      </c>
      <c r="B11" s="2"/>
      <c r="C11" s="180">
        <v>0</v>
      </c>
      <c r="D11" s="180">
        <v>0</v>
      </c>
      <c r="E11" s="180">
        <v>0</v>
      </c>
      <c r="F11" s="180">
        <v>0</v>
      </c>
      <c r="G11" s="180">
        <f>'FugConstEmiss-Phase 1'!G10</f>
        <v>13.2</v>
      </c>
    </row>
    <row r="12" spans="1:7" ht="12.75">
      <c r="A12" s="2" t="s">
        <v>83</v>
      </c>
      <c r="B12" s="2"/>
      <c r="C12" s="180">
        <v>0</v>
      </c>
      <c r="D12" s="180">
        <v>0</v>
      </c>
      <c r="E12" s="180">
        <v>0</v>
      </c>
      <c r="F12" s="180">
        <v>0</v>
      </c>
      <c r="G12" s="180">
        <f>'FugConstEmiss-Phase 1'!I15+'FugConstEmiss-Phase 1'!H28</f>
        <v>14.102718568963926</v>
      </c>
    </row>
    <row r="13" spans="1:7" ht="12.75">
      <c r="A13" s="4" t="s">
        <v>18</v>
      </c>
      <c r="B13" s="2"/>
      <c r="C13" s="181">
        <f>SUM(C8:C12)</f>
        <v>237.674695</v>
      </c>
      <c r="D13" s="181">
        <f>SUM(D8:D12)</f>
        <v>44.39055799999999</v>
      </c>
      <c r="E13" s="181">
        <f>SUM(E8:E12)</f>
        <v>380.287116</v>
      </c>
      <c r="F13" s="181">
        <f>SUM(F8:F12)</f>
        <v>32.900764</v>
      </c>
      <c r="G13" s="181">
        <f>SUM(G8:G12)</f>
        <v>49.63432978736138</v>
      </c>
    </row>
    <row r="14" spans="1:7" ht="12.75">
      <c r="A14" s="4" t="s">
        <v>21</v>
      </c>
      <c r="B14" s="2"/>
      <c r="C14" s="2">
        <v>550</v>
      </c>
      <c r="D14" s="2">
        <v>75</v>
      </c>
      <c r="E14" s="2">
        <v>100</v>
      </c>
      <c r="F14" s="2">
        <v>150</v>
      </c>
      <c r="G14" s="2">
        <v>150</v>
      </c>
    </row>
    <row r="15" spans="1:7" ht="12.75">
      <c r="A15" s="4" t="s">
        <v>22</v>
      </c>
      <c r="B15" s="2"/>
      <c r="C15" s="3" t="str">
        <f>IF(C13&gt;C14,"Yes","No")</f>
        <v>No</v>
      </c>
      <c r="D15" s="3" t="str">
        <f>IF(D13&gt;D14,"Yes","No")</f>
        <v>No</v>
      </c>
      <c r="E15" s="3" t="str">
        <f>IF(E13&gt;E14,"Yes","No")</f>
        <v>Yes</v>
      </c>
      <c r="F15" s="3" t="str">
        <f>IF(F13&gt;F14,"Yes","No")</f>
        <v>No</v>
      </c>
      <c r="G15" s="3" t="str">
        <f>IF(G13&gt;G14,"Yes","No")</f>
        <v>No</v>
      </c>
    </row>
    <row r="17" spans="1:7" ht="12.75">
      <c r="A17" s="243" t="s">
        <v>92</v>
      </c>
      <c r="B17" s="244"/>
      <c r="C17" s="247" t="s">
        <v>163</v>
      </c>
      <c r="D17" s="248"/>
      <c r="E17" s="248"/>
      <c r="F17" s="249"/>
      <c r="G17" s="250"/>
    </row>
    <row r="18" spans="1:7" ht="12.75">
      <c r="A18" s="245"/>
      <c r="B18" s="246"/>
      <c r="C18" s="102" t="s">
        <v>0</v>
      </c>
      <c r="D18" s="102" t="s">
        <v>1</v>
      </c>
      <c r="E18" s="102" t="s">
        <v>2</v>
      </c>
      <c r="F18" s="102" t="s">
        <v>4</v>
      </c>
      <c r="G18" s="3" t="s">
        <v>3</v>
      </c>
    </row>
    <row r="19" spans="1:7" ht="12.75">
      <c r="A19" s="2" t="s">
        <v>12</v>
      </c>
      <c r="B19" s="2"/>
      <c r="C19" s="180">
        <f>'ConstEquip-Phase 2'!I25</f>
        <v>132.95889999999997</v>
      </c>
      <c r="D19" s="180">
        <f>'ConstEquip-Phase 2'!J25</f>
        <v>32.7933</v>
      </c>
      <c r="E19" s="180">
        <f>'ConstEquip-Phase 2'!K25</f>
        <v>282.8257</v>
      </c>
      <c r="F19" s="180">
        <f>'ConstEquip-Phase 2'!L25</f>
        <v>25.293799999999997</v>
      </c>
      <c r="G19" s="180">
        <f>'ConstEquip-Phase 2'!M25</f>
        <v>16.39665</v>
      </c>
    </row>
    <row r="20" spans="1:7" ht="12.75">
      <c r="A20" s="2" t="s">
        <v>20</v>
      </c>
      <c r="B20" s="2"/>
      <c r="C20" s="180">
        <f>'VehicleEmiss-Phase 2'!G26</f>
        <v>101.35346499999999</v>
      </c>
      <c r="D20" s="180">
        <f>'VehicleEmiss-Phase 2'!H26</f>
        <v>11.162211</v>
      </c>
      <c r="E20" s="180">
        <f>'VehicleEmiss-Phase 2'!I26</f>
        <v>18.044267</v>
      </c>
      <c r="F20" s="180">
        <f>'VehicleEmiss-Phase 2'!J26</f>
        <v>0.07768800000000001</v>
      </c>
      <c r="G20" s="180">
        <f>'VehicleEmiss-Phase 2'!K26</f>
        <v>0.73676</v>
      </c>
    </row>
    <row r="21" spans="1:7" ht="12.75">
      <c r="A21" s="2" t="s">
        <v>75</v>
      </c>
      <c r="B21" s="2"/>
      <c r="C21" s="180">
        <v>0</v>
      </c>
      <c r="D21" s="180">
        <v>0</v>
      </c>
      <c r="E21" s="180">
        <v>0</v>
      </c>
      <c r="F21" s="180">
        <v>0</v>
      </c>
      <c r="G21" s="180">
        <f>'FugConstEmiss-Phase 2'!E6</f>
        <v>0</v>
      </c>
    </row>
    <row r="22" spans="1:13" ht="12.75">
      <c r="A22" s="2" t="s">
        <v>79</v>
      </c>
      <c r="B22" s="2"/>
      <c r="C22" s="180">
        <v>0</v>
      </c>
      <c r="D22" s="180">
        <v>0</v>
      </c>
      <c r="E22" s="180">
        <v>0</v>
      </c>
      <c r="F22" s="180">
        <v>0</v>
      </c>
      <c r="G22" s="180">
        <f>'FugConstEmiss-Phase 2'!G10</f>
        <v>13.2</v>
      </c>
      <c r="M22" s="77"/>
    </row>
    <row r="23" spans="1:7" ht="12.75">
      <c r="A23" s="2" t="s">
        <v>83</v>
      </c>
      <c r="B23" s="2"/>
      <c r="C23" s="180">
        <v>0</v>
      </c>
      <c r="D23" s="180">
        <v>0</v>
      </c>
      <c r="E23" s="180">
        <v>0</v>
      </c>
      <c r="F23" s="180">
        <v>0</v>
      </c>
      <c r="G23" s="180">
        <f>'FugConstEmiss-Phase 2'!I15+'FugConstEmiss-Phase 2'!H28</f>
        <v>13.243224826073462</v>
      </c>
    </row>
    <row r="24" spans="1:7" ht="12.75">
      <c r="A24" s="4" t="s">
        <v>18</v>
      </c>
      <c r="B24" s="2"/>
      <c r="C24" s="182">
        <f>SUM(C19:C23)</f>
        <v>234.31236499999994</v>
      </c>
      <c r="D24" s="182">
        <f>SUM(D19:D23)</f>
        <v>43.955511</v>
      </c>
      <c r="E24" s="182">
        <f>SUM(E19:E23)</f>
        <v>300.869967</v>
      </c>
      <c r="F24" s="182">
        <f>SUM(F19:F23)</f>
        <v>25.371487999999996</v>
      </c>
      <c r="G24" s="182">
        <f>SUM(G19:G23)</f>
        <v>43.57663482607346</v>
      </c>
    </row>
    <row r="25" spans="1:7" ht="12.75">
      <c r="A25" s="4" t="s">
        <v>21</v>
      </c>
      <c r="B25" s="2"/>
      <c r="C25" s="2">
        <v>550</v>
      </c>
      <c r="D25" s="2">
        <v>75</v>
      </c>
      <c r="E25" s="2">
        <v>100</v>
      </c>
      <c r="F25" s="2">
        <v>150</v>
      </c>
      <c r="G25" s="2">
        <v>150</v>
      </c>
    </row>
    <row r="26" spans="1:7" ht="12.75">
      <c r="A26" s="4" t="s">
        <v>22</v>
      </c>
      <c r="B26" s="2"/>
      <c r="C26" s="3" t="str">
        <f>IF(C24&gt;C25,"Yes","No")</f>
        <v>No</v>
      </c>
      <c r="D26" s="3" t="str">
        <f>IF(D24&gt;D25,"Yes","No")</f>
        <v>No</v>
      </c>
      <c r="E26" s="3" t="str">
        <f>IF(E24&gt;E25,"Yes","No")</f>
        <v>Yes</v>
      </c>
      <c r="F26" s="3" t="str">
        <f>IF(F24&gt;F25,"Yes","No")</f>
        <v>No</v>
      </c>
      <c r="G26" s="3" t="str">
        <f>IF(G24&gt;G25,"Yes","No")</f>
        <v>No</v>
      </c>
    </row>
    <row r="28" spans="1:7" ht="12.75">
      <c r="A28" s="243" t="s">
        <v>92</v>
      </c>
      <c r="B28" s="244"/>
      <c r="C28" s="247" t="s">
        <v>162</v>
      </c>
      <c r="D28" s="248"/>
      <c r="E28" s="248"/>
      <c r="F28" s="249"/>
      <c r="G28" s="250"/>
    </row>
    <row r="29" spans="1:7" ht="12.75">
      <c r="A29" s="245"/>
      <c r="B29" s="246"/>
      <c r="C29" s="102" t="s">
        <v>0</v>
      </c>
      <c r="D29" s="102" t="s">
        <v>1</v>
      </c>
      <c r="E29" s="102" t="s">
        <v>2</v>
      </c>
      <c r="F29" s="102" t="s">
        <v>4</v>
      </c>
      <c r="G29" s="3" t="s">
        <v>3</v>
      </c>
    </row>
    <row r="30" spans="1:7" ht="12.75">
      <c r="A30" s="2" t="s">
        <v>12</v>
      </c>
      <c r="B30" s="2"/>
      <c r="C30" s="180">
        <f>'ConstEquip-Phase 3'!I25</f>
        <v>29.691449999999996</v>
      </c>
      <c r="D30" s="180">
        <f>'ConstEquip-Phase 3'!J25</f>
        <v>7.33315</v>
      </c>
      <c r="E30" s="180">
        <f>'ConstEquip-Phase 3'!K25</f>
        <v>66.80735</v>
      </c>
      <c r="F30" s="180">
        <f>'ConstEquip-Phase 3'!L25</f>
        <v>5.3248999999999995</v>
      </c>
      <c r="G30" s="180">
        <f>'ConstEquip-Phase 3'!M25</f>
        <v>3.666575</v>
      </c>
    </row>
    <row r="31" spans="1:7" ht="12.75">
      <c r="A31" s="2" t="s">
        <v>20</v>
      </c>
      <c r="B31" s="2"/>
      <c r="C31" s="180">
        <f>'VehicleEmiss-Phase 3'!G26</f>
        <v>11.984186</v>
      </c>
      <c r="D31" s="180">
        <f>'VehicleEmiss-Phase 3'!H26</f>
        <v>1.315264</v>
      </c>
      <c r="E31" s="180">
        <f>'VehicleEmiss-Phase 3'!I26</f>
        <v>1.8025650000000002</v>
      </c>
      <c r="F31" s="180">
        <f>'VehicleEmiss-Phase 3'!J26</f>
        <v>0.009663</v>
      </c>
      <c r="G31" s="180">
        <f>'VehicleEmiss-Phase 3'!K26</f>
        <v>0.089035</v>
      </c>
    </row>
    <row r="32" spans="1:7" ht="12.75">
      <c r="A32" s="2" t="s">
        <v>75</v>
      </c>
      <c r="B32" s="2"/>
      <c r="C32" s="180">
        <v>0</v>
      </c>
      <c r="D32" s="180">
        <v>0</v>
      </c>
      <c r="E32" s="180">
        <v>0</v>
      </c>
      <c r="F32" s="180">
        <v>0</v>
      </c>
      <c r="G32" s="180">
        <f>'FugConstEmiss-Phase 3'!E6</f>
        <v>0</v>
      </c>
    </row>
    <row r="33" spans="1:7" ht="12.75">
      <c r="A33" s="2" t="s">
        <v>79</v>
      </c>
      <c r="B33" s="2"/>
      <c r="C33" s="180">
        <v>0</v>
      </c>
      <c r="D33" s="180">
        <v>0</v>
      </c>
      <c r="E33" s="180">
        <v>0</v>
      </c>
      <c r="F33" s="180">
        <v>0</v>
      </c>
      <c r="G33" s="180">
        <f>'FugConstEmiss-Phase 3'!G10</f>
        <v>0</v>
      </c>
    </row>
    <row r="34" spans="1:7" ht="12.75">
      <c r="A34" s="2" t="s">
        <v>83</v>
      </c>
      <c r="B34" s="2"/>
      <c r="C34" s="180">
        <v>0</v>
      </c>
      <c r="D34" s="180">
        <v>0</v>
      </c>
      <c r="E34" s="180">
        <v>0</v>
      </c>
      <c r="F34" s="180">
        <v>0</v>
      </c>
      <c r="G34" s="180">
        <f>'FugConstEmiss-Phase 3'!I15+'FugConstEmiss-Phase 3'!H28</f>
        <v>2.4031954883744575</v>
      </c>
    </row>
    <row r="35" spans="1:7" ht="12.75">
      <c r="A35" s="4" t="s">
        <v>18</v>
      </c>
      <c r="B35" s="2"/>
      <c r="C35" s="182">
        <f>SUM(C30:C34)</f>
        <v>41.675636</v>
      </c>
      <c r="D35" s="182">
        <f>SUM(D30:D34)</f>
        <v>8.648413999999999</v>
      </c>
      <c r="E35" s="182">
        <f>SUM(E30:E34)</f>
        <v>68.609915</v>
      </c>
      <c r="F35" s="182">
        <f>SUM(F30:F34)</f>
        <v>5.334562999999999</v>
      </c>
      <c r="G35" s="182">
        <f>SUM(G30:G34)</f>
        <v>6.158805488374457</v>
      </c>
    </row>
    <row r="36" spans="1:7" ht="12.75">
      <c r="A36" s="4" t="s">
        <v>21</v>
      </c>
      <c r="B36" s="2"/>
      <c r="C36" s="2">
        <v>550</v>
      </c>
      <c r="D36" s="2">
        <v>75</v>
      </c>
      <c r="E36" s="2">
        <v>100</v>
      </c>
      <c r="F36" s="2">
        <v>150</v>
      </c>
      <c r="G36" s="2">
        <v>150</v>
      </c>
    </row>
    <row r="37" spans="1:7" ht="12.75">
      <c r="A37" s="4" t="s">
        <v>22</v>
      </c>
      <c r="B37" s="2"/>
      <c r="C37" s="3" t="str">
        <f>IF(C35&gt;C36,"Yes","No")</f>
        <v>No</v>
      </c>
      <c r="D37" s="3" t="str">
        <f>IF(D35&gt;D36,"Yes","No")</f>
        <v>No</v>
      </c>
      <c r="E37" s="3" t="str">
        <f>IF(E35&gt;E36,"Yes","No")</f>
        <v>No</v>
      </c>
      <c r="F37" s="3" t="str">
        <f>IF(F35&gt;F36,"Yes","No")</f>
        <v>No</v>
      </c>
      <c r="G37" s="3" t="str">
        <f>IF(G35&gt;G36,"Yes","No")</f>
        <v>No</v>
      </c>
    </row>
    <row r="38" spans="1:7" ht="12.75">
      <c r="A38" s="20"/>
      <c r="B38" s="48"/>
      <c r="C38" s="101"/>
      <c r="D38" s="7"/>
      <c r="E38" s="7"/>
      <c r="F38" s="7"/>
      <c r="G38" s="7"/>
    </row>
    <row r="39" spans="1:7" ht="12.75">
      <c r="A39" s="243" t="s">
        <v>92</v>
      </c>
      <c r="B39" s="244"/>
      <c r="C39" s="247" t="s">
        <v>161</v>
      </c>
      <c r="D39" s="248"/>
      <c r="E39" s="248"/>
      <c r="F39" s="249"/>
      <c r="G39" s="250"/>
    </row>
    <row r="40" spans="1:7" ht="12.75">
      <c r="A40" s="245"/>
      <c r="B40" s="246"/>
      <c r="C40" s="102" t="s">
        <v>0</v>
      </c>
      <c r="D40" s="102" t="s">
        <v>1</v>
      </c>
      <c r="E40" s="102" t="s">
        <v>2</v>
      </c>
      <c r="F40" s="102" t="s">
        <v>4</v>
      </c>
      <c r="G40" s="3" t="s">
        <v>3</v>
      </c>
    </row>
    <row r="41" spans="1:7" ht="12.75">
      <c r="A41" s="2" t="s">
        <v>12</v>
      </c>
      <c r="B41" s="2"/>
      <c r="C41" s="180">
        <f>'ConstEquip-Phase 4'!I25</f>
        <v>105.14255999999997</v>
      </c>
      <c r="D41" s="180">
        <f>'ConstEquip-Phase 4'!J25</f>
        <v>29.973120000000005</v>
      </c>
      <c r="E41" s="180">
        <f>'ConstEquip-Phase 4'!K25</f>
        <v>244.58688</v>
      </c>
      <c r="F41" s="180">
        <f>'ConstEquip-Phase 4'!L25</f>
        <v>21.405120000000004</v>
      </c>
      <c r="G41" s="180">
        <f>'ConstEquip-Phase 4'!M25</f>
        <v>14.986560000000003</v>
      </c>
    </row>
    <row r="42" spans="1:7" ht="12.75">
      <c r="A42" s="2" t="s">
        <v>20</v>
      </c>
      <c r="B42" s="2"/>
      <c r="C42" s="180">
        <f>'VehicleEmiss-Phase 4'!G26</f>
        <v>24.048081999999997</v>
      </c>
      <c r="D42" s="180">
        <f>'VehicleEmiss-Phase 4'!H26</f>
        <v>2.642778</v>
      </c>
      <c r="E42" s="180">
        <f>'VehicleEmiss-Phase 4'!I26</f>
        <v>3.7211250000000002</v>
      </c>
      <c r="F42" s="180">
        <f>'VehicleEmiss-Phase 4'!J26</f>
        <v>0.019490999999999998</v>
      </c>
      <c r="G42" s="180">
        <f>'VehicleEmiss-Phase 4'!K26</f>
        <v>0.18016500000000002</v>
      </c>
    </row>
    <row r="43" spans="1:7" ht="12.75">
      <c r="A43" s="2" t="s">
        <v>75</v>
      </c>
      <c r="B43" s="2"/>
      <c r="C43" s="180">
        <v>0</v>
      </c>
      <c r="D43" s="180">
        <v>0</v>
      </c>
      <c r="E43" s="180">
        <v>0</v>
      </c>
      <c r="F43" s="180">
        <v>0</v>
      </c>
      <c r="G43" s="180">
        <f>'FugConstEmiss-Phase 4'!E6</f>
        <v>0</v>
      </c>
    </row>
    <row r="44" spans="1:7" ht="12.75">
      <c r="A44" s="2" t="s">
        <v>79</v>
      </c>
      <c r="B44" s="2"/>
      <c r="C44" s="180">
        <v>0</v>
      </c>
      <c r="D44" s="180">
        <v>0</v>
      </c>
      <c r="E44" s="180">
        <v>0</v>
      </c>
      <c r="F44" s="180">
        <v>0</v>
      </c>
      <c r="G44" s="180">
        <f>'FugConstEmiss-Phase 4'!G10</f>
        <v>3.3</v>
      </c>
    </row>
    <row r="45" spans="1:7" ht="12.75">
      <c r="A45" s="2" t="s">
        <v>83</v>
      </c>
      <c r="B45" s="2"/>
      <c r="C45" s="180">
        <v>0</v>
      </c>
      <c r="D45" s="180">
        <v>0</v>
      </c>
      <c r="E45" s="180">
        <v>0</v>
      </c>
      <c r="F45" s="180">
        <v>0</v>
      </c>
      <c r="G45" s="180">
        <f>'FugConstEmiss-Phase 4'!I15+'FugConstEmiss-Phase 4'!H28</f>
        <v>5.341286723441408</v>
      </c>
    </row>
    <row r="46" spans="1:7" ht="12.75">
      <c r="A46" s="4" t="s">
        <v>18</v>
      </c>
      <c r="B46" s="2"/>
      <c r="C46" s="182">
        <f>SUM(C41:C45)</f>
        <v>129.19064199999997</v>
      </c>
      <c r="D46" s="182">
        <f>SUM(D41:D45)</f>
        <v>32.615898</v>
      </c>
      <c r="E46" s="182">
        <f>SUM(E41:E45)</f>
        <v>248.308005</v>
      </c>
      <c r="F46" s="182">
        <f>SUM(F41:F45)</f>
        <v>21.424611000000002</v>
      </c>
      <c r="G46" s="182">
        <f>SUM(G41:G45)</f>
        <v>23.80801172344141</v>
      </c>
    </row>
    <row r="47" spans="1:7" ht="12.75">
      <c r="A47" s="4" t="s">
        <v>21</v>
      </c>
      <c r="B47" s="2"/>
      <c r="C47" s="2">
        <v>550</v>
      </c>
      <c r="D47" s="2">
        <v>75</v>
      </c>
      <c r="E47" s="2">
        <v>100</v>
      </c>
      <c r="F47" s="2">
        <v>150</v>
      </c>
      <c r="G47" s="2">
        <v>150</v>
      </c>
    </row>
    <row r="48" spans="1:7" ht="12.75">
      <c r="A48" s="4" t="s">
        <v>22</v>
      </c>
      <c r="B48" s="2"/>
      <c r="C48" s="3" t="str">
        <f>IF(C46&gt;C47,"Yes","No")</f>
        <v>No</v>
      </c>
      <c r="D48" s="3" t="str">
        <f>IF(D46&gt;D47,"Yes","No")</f>
        <v>No</v>
      </c>
      <c r="E48" s="3" t="str">
        <f>IF(E46&gt;E47,"Yes","No")</f>
        <v>Yes</v>
      </c>
      <c r="F48" s="3" t="str">
        <f>IF(F46&gt;F47,"Yes","No")</f>
        <v>No</v>
      </c>
      <c r="G48" s="3" t="str">
        <f>IF(G46&gt;G47,"Yes","No")</f>
        <v>No</v>
      </c>
    </row>
    <row r="49" spans="1:7" ht="12.75">
      <c r="A49" s="20"/>
      <c r="B49" s="5"/>
      <c r="C49" s="42"/>
      <c r="D49" s="7"/>
      <c r="E49" s="7"/>
      <c r="F49" s="7"/>
      <c r="G49" s="7"/>
    </row>
    <row r="50" spans="1:7" ht="12.75">
      <c r="A50" s="20"/>
      <c r="B50" s="5"/>
      <c r="C50" s="7"/>
      <c r="D50" s="7"/>
      <c r="E50" s="7"/>
      <c r="F50" s="7"/>
      <c r="G50" s="7"/>
    </row>
    <row r="51" spans="1:7" ht="12.75">
      <c r="A51" s="20"/>
      <c r="B51" s="5"/>
      <c r="C51" s="7"/>
      <c r="D51" s="7"/>
      <c r="E51" s="7"/>
      <c r="F51" s="7"/>
      <c r="G51" s="7"/>
    </row>
    <row r="52" spans="1:7" ht="12.75">
      <c r="A52" s="251" t="s">
        <v>142</v>
      </c>
      <c r="B52" s="251"/>
      <c r="C52" s="251"/>
      <c r="D52" s="251"/>
      <c r="E52" s="251"/>
      <c r="F52" s="251"/>
      <c r="G52" s="251"/>
    </row>
    <row r="53" spans="1:7" ht="12.75">
      <c r="A53" s="252"/>
      <c r="B53" s="252"/>
      <c r="C53" s="252"/>
      <c r="D53" s="252"/>
      <c r="E53" s="252"/>
      <c r="F53" s="252"/>
      <c r="G53" s="252"/>
    </row>
    <row r="54" spans="1:7" ht="12.75">
      <c r="A54" s="11"/>
      <c r="B54" s="11"/>
      <c r="C54" s="11"/>
      <c r="D54" s="11"/>
      <c r="E54" s="11"/>
      <c r="F54" s="11"/>
      <c r="G54" s="11"/>
    </row>
  </sheetData>
  <sheetProtection/>
  <mergeCells count="13">
    <mergeCell ref="A52:G52"/>
    <mergeCell ref="A53:G53"/>
    <mergeCell ref="A3:G3"/>
    <mergeCell ref="A17:B18"/>
    <mergeCell ref="C17:G17"/>
    <mergeCell ref="A6:B7"/>
    <mergeCell ref="C6:G6"/>
    <mergeCell ref="A4:G4"/>
    <mergeCell ref="A1:G1"/>
    <mergeCell ref="A39:B40"/>
    <mergeCell ref="C39:G39"/>
    <mergeCell ref="A28:B29"/>
    <mergeCell ref="C28:G28"/>
  </mergeCells>
  <printOptions horizontalCentered="1"/>
  <pageMargins left="0.5" right="0.5" top="0.75" bottom="1.04" header="0.5" footer="0.85"/>
  <pageSetup fitToHeight="1" fitToWidth="1" horizontalDpi="600" verticalDpi="600" orientation="portrait" scale="99" r:id="rId1"/>
  <headerFooter alignWithMargins="0">
    <oddHeader>&amp;RExxonMobil Rule 1105.1 Compliance Project</oddHeader>
    <oddFooter>&amp;LFinal EIR&amp;CB-14&amp;RMarch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3"/>
  <sheetViews>
    <sheetView view="pageBreakPreview" zoomScale="60" zoomScalePageLayoutView="0" workbookViewId="0" topLeftCell="A1">
      <selection activeCell="A43" sqref="A43"/>
    </sheetView>
  </sheetViews>
  <sheetFormatPr defaultColWidth="9.140625" defaultRowHeight="12.75"/>
  <cols>
    <col min="1" max="1" width="23.28125" style="0" customWidth="1"/>
    <col min="2" max="2" width="9.7109375" style="14" customWidth="1"/>
    <col min="4" max="4" width="9.421875" style="0" bestFit="1" customWidth="1"/>
    <col min="6" max="6" width="9.00390625" style="0" customWidth="1"/>
    <col min="14" max="14" width="7.28125" style="0" customWidth="1"/>
  </cols>
  <sheetData>
    <row r="1" spans="1:14" ht="12.75">
      <c r="A1" s="202"/>
      <c r="B1" s="4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2.75" customHeight="1">
      <c r="A2" s="205" t="s">
        <v>171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2.75">
      <c r="A3" s="201" t="s">
        <v>172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5" ht="13.5" thickBot="1"/>
    <row r="6" spans="1:14" ht="15">
      <c r="A6" s="209" t="s">
        <v>13</v>
      </c>
      <c r="B6" s="43"/>
      <c r="C6" s="43"/>
      <c r="D6" s="43"/>
      <c r="E6" s="209" t="s">
        <v>51</v>
      </c>
      <c r="F6" s="209"/>
      <c r="G6" s="209"/>
      <c r="H6" s="209"/>
      <c r="I6" s="209"/>
      <c r="J6" s="209" t="s">
        <v>66</v>
      </c>
      <c r="K6" s="209"/>
      <c r="L6" s="209"/>
      <c r="M6" s="209"/>
      <c r="N6" s="209"/>
    </row>
    <row r="7" spans="1:14" ht="15.75" thickBot="1">
      <c r="A7" s="210"/>
      <c r="B7" s="44" t="s">
        <v>7</v>
      </c>
      <c r="C7" s="44" t="s">
        <v>52</v>
      </c>
      <c r="D7" s="44" t="s">
        <v>50</v>
      </c>
      <c r="E7" s="100" t="s">
        <v>0</v>
      </c>
      <c r="F7" s="100" t="s">
        <v>1</v>
      </c>
      <c r="G7" s="100" t="s">
        <v>2</v>
      </c>
      <c r="H7" s="100" t="s">
        <v>4</v>
      </c>
      <c r="I7" s="100" t="s">
        <v>3</v>
      </c>
      <c r="J7" s="100" t="s">
        <v>0</v>
      </c>
      <c r="K7" s="100" t="s">
        <v>1</v>
      </c>
      <c r="L7" s="100" t="s">
        <v>2</v>
      </c>
      <c r="M7" s="100" t="s">
        <v>4</v>
      </c>
      <c r="N7" s="100" t="s">
        <v>3</v>
      </c>
    </row>
    <row r="8" spans="1:14" ht="13.5" thickTop="1">
      <c r="A8" s="97" t="s">
        <v>16</v>
      </c>
      <c r="B8" s="97" t="s">
        <v>8</v>
      </c>
      <c r="C8" s="98">
        <v>75</v>
      </c>
      <c r="D8" s="99">
        <v>0.465</v>
      </c>
      <c r="E8" s="82">
        <v>0.015</v>
      </c>
      <c r="F8" s="82">
        <v>0.003</v>
      </c>
      <c r="G8" s="82">
        <v>0.022</v>
      </c>
      <c r="H8" s="82">
        <v>0.002</v>
      </c>
      <c r="I8" s="82">
        <v>0.001</v>
      </c>
      <c r="J8" s="18">
        <f>E8*$C8*$D8</f>
        <v>0.5231250000000001</v>
      </c>
      <c r="K8" s="18">
        <f>F8*$C8*$D8</f>
        <v>0.10462500000000001</v>
      </c>
      <c r="L8" s="18">
        <f>G8*$C8*$D8</f>
        <v>0.76725</v>
      </c>
      <c r="M8" s="18">
        <f>H8*$C8*$D8</f>
        <v>0.06975</v>
      </c>
      <c r="N8" s="18">
        <f>I8*$C8*$D8</f>
        <v>0.034875</v>
      </c>
    </row>
    <row r="9" spans="1:14" ht="12.75">
      <c r="A9" s="2" t="s">
        <v>36</v>
      </c>
      <c r="B9" s="2" t="s">
        <v>8</v>
      </c>
      <c r="C9" s="51">
        <v>49</v>
      </c>
      <c r="D9" s="87">
        <v>0.48</v>
      </c>
      <c r="E9" s="56">
        <v>0.011</v>
      </c>
      <c r="F9" s="55">
        <v>0.002</v>
      </c>
      <c r="G9" s="56">
        <v>0.018</v>
      </c>
      <c r="H9" s="53">
        <v>0.002</v>
      </c>
      <c r="I9" s="53">
        <v>0.001</v>
      </c>
      <c r="J9" s="17">
        <f aca="true" t="shared" si="0" ref="J9:J16">E9*$C9*$D9</f>
        <v>0.25871999999999995</v>
      </c>
      <c r="K9" s="17">
        <f aca="true" t="shared" si="1" ref="K9:K16">F9*$C9*$D9</f>
        <v>0.04704</v>
      </c>
      <c r="L9" s="17">
        <f aca="true" t="shared" si="2" ref="L9:L16">G9*$C9*$D9</f>
        <v>0.42335999999999996</v>
      </c>
      <c r="M9" s="17">
        <f aca="true" t="shared" si="3" ref="M9:M16">H9*$C9*$D9</f>
        <v>0.04704</v>
      </c>
      <c r="N9" s="17">
        <f aca="true" t="shared" si="4" ref="N9:N16">I9*$C9*$D9</f>
        <v>0.02352</v>
      </c>
    </row>
    <row r="10" spans="1:14" ht="12.75">
      <c r="A10" s="2" t="s">
        <v>35</v>
      </c>
      <c r="B10" s="2" t="s">
        <v>8</v>
      </c>
      <c r="C10" s="51">
        <v>425</v>
      </c>
      <c r="D10" s="87">
        <v>0.38</v>
      </c>
      <c r="E10" s="53">
        <v>0.006</v>
      </c>
      <c r="F10" s="53">
        <v>0.002</v>
      </c>
      <c r="G10" s="53">
        <v>0.021</v>
      </c>
      <c r="H10" s="53">
        <v>0.002</v>
      </c>
      <c r="I10" s="53">
        <v>0.0015</v>
      </c>
      <c r="J10" s="17">
        <f t="shared" si="0"/>
        <v>0.9690000000000001</v>
      </c>
      <c r="K10" s="17">
        <f t="shared" si="1"/>
        <v>0.323</v>
      </c>
      <c r="L10" s="17">
        <f t="shared" si="2"/>
        <v>3.3915</v>
      </c>
      <c r="M10" s="17">
        <f t="shared" si="3"/>
        <v>0.323</v>
      </c>
      <c r="N10" s="17">
        <f t="shared" si="4"/>
        <v>0.24225000000000002</v>
      </c>
    </row>
    <row r="11" spans="1:14" ht="12.75">
      <c r="A11" s="2" t="s">
        <v>37</v>
      </c>
      <c r="B11" s="2" t="s">
        <v>8</v>
      </c>
      <c r="C11" s="51">
        <v>13</v>
      </c>
      <c r="D11" s="87">
        <v>0.73</v>
      </c>
      <c r="E11" s="53">
        <v>0.02</v>
      </c>
      <c r="F11" s="53">
        <v>0.024</v>
      </c>
      <c r="G11" s="53">
        <v>0.002</v>
      </c>
      <c r="H11" s="53">
        <v>0.003</v>
      </c>
      <c r="I11" s="53">
        <v>0.001</v>
      </c>
      <c r="J11" s="17">
        <f t="shared" si="0"/>
        <v>0.1898</v>
      </c>
      <c r="K11" s="17">
        <f t="shared" si="1"/>
        <v>0.22776</v>
      </c>
      <c r="L11" s="17">
        <f t="shared" si="2"/>
        <v>0.01898</v>
      </c>
      <c r="M11" s="17">
        <f t="shared" si="3"/>
        <v>0.02847</v>
      </c>
      <c r="N11" s="17">
        <f t="shared" si="4"/>
        <v>0.00949</v>
      </c>
    </row>
    <row r="12" spans="1:14" ht="12.75">
      <c r="A12" s="2" t="s">
        <v>129</v>
      </c>
      <c r="B12" s="2" t="s">
        <v>8</v>
      </c>
      <c r="C12" s="51">
        <v>210</v>
      </c>
      <c r="D12" s="87">
        <v>0.43</v>
      </c>
      <c r="E12" s="53">
        <v>0.009</v>
      </c>
      <c r="F12" s="53">
        <v>0.003</v>
      </c>
      <c r="G12" s="53">
        <v>0.023</v>
      </c>
      <c r="H12" s="53">
        <v>0.002</v>
      </c>
      <c r="I12" s="53">
        <v>0.0015</v>
      </c>
      <c r="J12" s="17">
        <f t="shared" si="0"/>
        <v>0.8127</v>
      </c>
      <c r="K12" s="17">
        <f t="shared" si="1"/>
        <v>0.2709</v>
      </c>
      <c r="L12" s="17">
        <f t="shared" si="2"/>
        <v>2.0769</v>
      </c>
      <c r="M12" s="17">
        <f t="shared" si="3"/>
        <v>0.18059999999999998</v>
      </c>
      <c r="N12" s="17">
        <f t="shared" si="4"/>
        <v>0.13545</v>
      </c>
    </row>
    <row r="13" spans="1:14" ht="12.75">
      <c r="A13" s="2" t="s">
        <v>67</v>
      </c>
      <c r="B13" s="2" t="s">
        <v>8</v>
      </c>
      <c r="C13" s="51">
        <v>250</v>
      </c>
      <c r="D13" s="87">
        <v>0.43</v>
      </c>
      <c r="E13" s="53">
        <v>0.009</v>
      </c>
      <c r="F13" s="53">
        <v>0.003</v>
      </c>
      <c r="G13" s="53">
        <v>0.023</v>
      </c>
      <c r="H13" s="53">
        <v>0.002</v>
      </c>
      <c r="I13" s="53">
        <v>0.0015</v>
      </c>
      <c r="J13" s="17">
        <f t="shared" si="0"/>
        <v>0.9675</v>
      </c>
      <c r="K13" s="17">
        <f t="shared" si="1"/>
        <v>0.3225</v>
      </c>
      <c r="L13" s="17">
        <f t="shared" si="2"/>
        <v>2.4725</v>
      </c>
      <c r="M13" s="17">
        <f t="shared" si="3"/>
        <v>0.215</v>
      </c>
      <c r="N13" s="17">
        <f t="shared" si="4"/>
        <v>0.16125</v>
      </c>
    </row>
    <row r="14" spans="1:14" ht="12.75">
      <c r="A14" s="2" t="s">
        <v>44</v>
      </c>
      <c r="B14" s="2" t="s">
        <v>8</v>
      </c>
      <c r="C14" s="51">
        <v>275</v>
      </c>
      <c r="D14" s="87">
        <v>0.43</v>
      </c>
      <c r="E14" s="53">
        <v>0.009</v>
      </c>
      <c r="F14" s="53">
        <v>0.003</v>
      </c>
      <c r="G14" s="53">
        <v>0.023</v>
      </c>
      <c r="H14" s="53">
        <v>0.002</v>
      </c>
      <c r="I14" s="53">
        <v>0.0015</v>
      </c>
      <c r="J14" s="17">
        <f t="shared" si="0"/>
        <v>1.06425</v>
      </c>
      <c r="K14" s="17">
        <f t="shared" si="1"/>
        <v>0.35475</v>
      </c>
      <c r="L14" s="17">
        <f t="shared" si="2"/>
        <v>2.71975</v>
      </c>
      <c r="M14" s="17">
        <f t="shared" si="3"/>
        <v>0.23650000000000002</v>
      </c>
      <c r="N14" s="17">
        <f t="shared" si="4"/>
        <v>0.177375</v>
      </c>
    </row>
    <row r="15" spans="1:14" ht="12.75" customHeight="1">
      <c r="A15" s="2" t="s">
        <v>45</v>
      </c>
      <c r="B15" s="2" t="s">
        <v>8</v>
      </c>
      <c r="C15" s="51">
        <v>260</v>
      </c>
      <c r="D15" s="87">
        <v>0.43</v>
      </c>
      <c r="E15" s="53">
        <v>0.009</v>
      </c>
      <c r="F15" s="53">
        <v>0.003</v>
      </c>
      <c r="G15" s="53">
        <v>0.023</v>
      </c>
      <c r="H15" s="53">
        <v>0.002</v>
      </c>
      <c r="I15" s="53">
        <v>0.0015</v>
      </c>
      <c r="J15" s="17">
        <f t="shared" si="0"/>
        <v>1.0062</v>
      </c>
      <c r="K15" s="17">
        <f t="shared" si="1"/>
        <v>0.33540000000000003</v>
      </c>
      <c r="L15" s="17">
        <f t="shared" si="2"/>
        <v>2.5713999999999997</v>
      </c>
      <c r="M15" s="17">
        <f t="shared" si="3"/>
        <v>0.2236</v>
      </c>
      <c r="N15" s="17">
        <f t="shared" si="4"/>
        <v>0.16770000000000002</v>
      </c>
    </row>
    <row r="16" spans="1:14" ht="12.75">
      <c r="A16" s="2" t="s">
        <v>68</v>
      </c>
      <c r="B16" s="2" t="s">
        <v>8</v>
      </c>
      <c r="C16" s="51">
        <v>300</v>
      </c>
      <c r="D16" s="87">
        <v>0.75</v>
      </c>
      <c r="E16" s="53">
        <v>0.02</v>
      </c>
      <c r="F16" s="53">
        <v>0.003</v>
      </c>
      <c r="G16" s="53">
        <v>0.024</v>
      </c>
      <c r="H16" s="53">
        <v>0.002</v>
      </c>
      <c r="I16" s="53">
        <v>0.0015</v>
      </c>
      <c r="J16" s="17">
        <f t="shared" si="0"/>
        <v>4.5</v>
      </c>
      <c r="K16" s="17">
        <f t="shared" si="1"/>
        <v>0.675</v>
      </c>
      <c r="L16" s="17">
        <f t="shared" si="2"/>
        <v>5.4</v>
      </c>
      <c r="M16" s="17">
        <f t="shared" si="3"/>
        <v>0.44999999999999996</v>
      </c>
      <c r="N16" s="17">
        <f t="shared" si="4"/>
        <v>0.3375</v>
      </c>
    </row>
    <row r="17" spans="1:14" ht="12.75">
      <c r="A17" s="2" t="s">
        <v>49</v>
      </c>
      <c r="B17" s="2" t="s">
        <v>8</v>
      </c>
      <c r="C17" s="51">
        <v>275</v>
      </c>
      <c r="D17" s="87">
        <v>0.38</v>
      </c>
      <c r="E17" s="53">
        <v>0.006</v>
      </c>
      <c r="F17" s="53">
        <v>0.002</v>
      </c>
      <c r="G17" s="53">
        <v>0.021</v>
      </c>
      <c r="H17" s="53">
        <v>0.002</v>
      </c>
      <c r="I17" s="53">
        <v>0.0015</v>
      </c>
      <c r="J17" s="17">
        <f>E17*$C17*$D17</f>
        <v>0.6270000000000001</v>
      </c>
      <c r="K17" s="17">
        <f>F17*$C17*$D17</f>
        <v>0.20900000000000002</v>
      </c>
      <c r="L17" s="17">
        <f>G17*$C17*$D17</f>
        <v>2.1945</v>
      </c>
      <c r="M17" s="17">
        <f>H17*$C17*$D17</f>
        <v>0.20900000000000002</v>
      </c>
      <c r="N17" s="17">
        <f>I17*$C17*$D17</f>
        <v>0.15675000000000003</v>
      </c>
    </row>
    <row r="18" spans="1:14" ht="12.75">
      <c r="A18" s="2" t="s">
        <v>32</v>
      </c>
      <c r="B18" s="2" t="s">
        <v>8</v>
      </c>
      <c r="C18" s="51">
        <v>250</v>
      </c>
      <c r="D18" s="87">
        <v>0.58</v>
      </c>
      <c r="E18" s="53">
        <v>0.011</v>
      </c>
      <c r="F18" s="53">
        <v>0.001</v>
      </c>
      <c r="G18" s="53">
        <v>0.024</v>
      </c>
      <c r="H18" s="53">
        <v>0.002</v>
      </c>
      <c r="I18" s="53">
        <v>0.0015</v>
      </c>
      <c r="J18" s="17">
        <f aca="true" t="shared" si="5" ref="J18:J24">E18*$C18*$D18</f>
        <v>1.595</v>
      </c>
      <c r="K18" s="17">
        <f aca="true" t="shared" si="6" ref="K18:K24">F18*$C18*$D18</f>
        <v>0.145</v>
      </c>
      <c r="L18" s="17">
        <f aca="true" t="shared" si="7" ref="L18:L24">G18*$C18*$D18</f>
        <v>3.4799999999999995</v>
      </c>
      <c r="M18" s="17">
        <f aca="true" t="shared" si="8" ref="M18:M24">H18*$C18*$D18</f>
        <v>0.29</v>
      </c>
      <c r="N18" s="17">
        <f aca="true" t="shared" si="9" ref="N18:N24">I18*$C18*$D18</f>
        <v>0.21749999999999997</v>
      </c>
    </row>
    <row r="19" spans="1:14" ht="12.75">
      <c r="A19" s="2" t="s">
        <v>39</v>
      </c>
      <c r="B19" s="2" t="s">
        <v>8</v>
      </c>
      <c r="C19" s="51">
        <v>79</v>
      </c>
      <c r="D19" s="87">
        <v>0.3</v>
      </c>
      <c r="E19" s="53">
        <v>0.013</v>
      </c>
      <c r="F19" s="53">
        <v>0.003</v>
      </c>
      <c r="G19" s="53">
        <v>0.031</v>
      </c>
      <c r="H19" s="53">
        <v>0.002</v>
      </c>
      <c r="I19" s="53">
        <v>0.0015</v>
      </c>
      <c r="J19" s="17">
        <f t="shared" si="5"/>
        <v>0.3081</v>
      </c>
      <c r="K19" s="17">
        <f t="shared" si="6"/>
        <v>0.0711</v>
      </c>
      <c r="L19" s="17">
        <f t="shared" si="7"/>
        <v>0.7346999999999999</v>
      </c>
      <c r="M19" s="17">
        <f t="shared" si="8"/>
        <v>0.0474</v>
      </c>
      <c r="N19" s="17">
        <f t="shared" si="9"/>
        <v>0.03555</v>
      </c>
    </row>
    <row r="20" spans="1:14" ht="12.75">
      <c r="A20" s="2" t="s">
        <v>17</v>
      </c>
      <c r="B20" s="2" t="s">
        <v>8</v>
      </c>
      <c r="C20" s="51">
        <v>210</v>
      </c>
      <c r="D20" s="87">
        <v>0.465</v>
      </c>
      <c r="E20" s="53">
        <v>0.015</v>
      </c>
      <c r="F20" s="53">
        <v>0.003</v>
      </c>
      <c r="G20" s="53">
        <v>0.022</v>
      </c>
      <c r="H20" s="53">
        <v>0.002</v>
      </c>
      <c r="I20" s="53">
        <v>0.001</v>
      </c>
      <c r="J20" s="17">
        <f t="shared" si="5"/>
        <v>1.46475</v>
      </c>
      <c r="K20" s="17">
        <f t="shared" si="6"/>
        <v>0.29295000000000004</v>
      </c>
      <c r="L20" s="17">
        <f t="shared" si="7"/>
        <v>2.1483000000000003</v>
      </c>
      <c r="M20" s="17">
        <f t="shared" si="8"/>
        <v>0.1953</v>
      </c>
      <c r="N20" s="17">
        <f t="shared" si="9"/>
        <v>0.09765</v>
      </c>
    </row>
    <row r="21" spans="1:14" ht="12.75">
      <c r="A21" s="2" t="s">
        <v>126</v>
      </c>
      <c r="B21" s="2" t="s">
        <v>8</v>
      </c>
      <c r="C21" s="51">
        <v>85</v>
      </c>
      <c r="D21" s="87">
        <v>0.74</v>
      </c>
      <c r="E21" s="53">
        <v>0.011</v>
      </c>
      <c r="F21" s="53">
        <v>0.002</v>
      </c>
      <c r="G21" s="53">
        <v>0.018</v>
      </c>
      <c r="H21" s="53">
        <v>0.002</v>
      </c>
      <c r="I21" s="53">
        <v>0.001</v>
      </c>
      <c r="J21" s="17">
        <f>E21*$C21*$D21</f>
        <v>0.6919</v>
      </c>
      <c r="K21" s="17">
        <f t="shared" si="6"/>
        <v>0.1258</v>
      </c>
      <c r="L21" s="17">
        <f t="shared" si="7"/>
        <v>1.1321999999999999</v>
      </c>
      <c r="M21" s="17">
        <f t="shared" si="8"/>
        <v>0.1258</v>
      </c>
      <c r="N21" s="17">
        <f t="shared" si="9"/>
        <v>0.0629</v>
      </c>
    </row>
    <row r="22" spans="1:14" ht="12.75" customHeight="1">
      <c r="A22" s="2" t="s">
        <v>46</v>
      </c>
      <c r="B22" s="2" t="s">
        <v>8</v>
      </c>
      <c r="C22" s="51">
        <v>13</v>
      </c>
      <c r="D22" s="87">
        <v>0.82</v>
      </c>
      <c r="E22" s="53">
        <v>0.011</v>
      </c>
      <c r="F22" s="53">
        <v>0.002</v>
      </c>
      <c r="G22" s="53">
        <v>0.018</v>
      </c>
      <c r="H22" s="53">
        <v>0.002</v>
      </c>
      <c r="I22" s="53">
        <v>0.001</v>
      </c>
      <c r="J22" s="17">
        <f t="shared" si="5"/>
        <v>0.11725999999999999</v>
      </c>
      <c r="K22" s="17">
        <f t="shared" si="6"/>
        <v>0.021320000000000002</v>
      </c>
      <c r="L22" s="17">
        <f t="shared" si="7"/>
        <v>0.19187999999999997</v>
      </c>
      <c r="M22" s="17">
        <f t="shared" si="8"/>
        <v>0.021320000000000002</v>
      </c>
      <c r="N22" s="17">
        <f t="shared" si="9"/>
        <v>0.010660000000000001</v>
      </c>
    </row>
    <row r="23" spans="1:14" ht="12.75" customHeight="1">
      <c r="A23" s="2" t="s">
        <v>38</v>
      </c>
      <c r="B23" s="2" t="s">
        <v>8</v>
      </c>
      <c r="C23" s="51">
        <v>125</v>
      </c>
      <c r="D23" s="87">
        <v>0.505</v>
      </c>
      <c r="E23" s="56">
        <v>0.013</v>
      </c>
      <c r="F23" s="55">
        <v>0.003</v>
      </c>
      <c r="G23" s="56">
        <v>0.031</v>
      </c>
      <c r="H23" s="53">
        <v>0.002</v>
      </c>
      <c r="I23" s="53">
        <v>0.0015</v>
      </c>
      <c r="J23" s="17">
        <f t="shared" si="5"/>
        <v>0.820625</v>
      </c>
      <c r="K23" s="17">
        <f t="shared" si="6"/>
        <v>0.18937500000000002</v>
      </c>
      <c r="L23" s="17">
        <f t="shared" si="7"/>
        <v>1.956875</v>
      </c>
      <c r="M23" s="17">
        <f t="shared" si="8"/>
        <v>0.12625</v>
      </c>
      <c r="N23" s="17">
        <f t="shared" si="9"/>
        <v>0.09468750000000001</v>
      </c>
    </row>
    <row r="24" spans="1:14" ht="12.75">
      <c r="A24" s="2" t="s">
        <v>47</v>
      </c>
      <c r="B24" s="2" t="s">
        <v>8</v>
      </c>
      <c r="C24" s="88">
        <v>49</v>
      </c>
      <c r="D24" s="89">
        <v>0.45</v>
      </c>
      <c r="E24" s="53">
        <v>0.011</v>
      </c>
      <c r="F24" s="53">
        <v>0.002</v>
      </c>
      <c r="G24" s="53">
        <v>0.018</v>
      </c>
      <c r="H24" s="53">
        <v>0.002</v>
      </c>
      <c r="I24" s="53">
        <v>0.001</v>
      </c>
      <c r="J24" s="17">
        <f t="shared" si="5"/>
        <v>0.24254999999999996</v>
      </c>
      <c r="K24" s="17">
        <f t="shared" si="6"/>
        <v>0.0441</v>
      </c>
      <c r="L24" s="17">
        <f t="shared" si="7"/>
        <v>0.3969</v>
      </c>
      <c r="M24" s="17">
        <f t="shared" si="8"/>
        <v>0.0441</v>
      </c>
      <c r="N24" s="17">
        <f t="shared" si="9"/>
        <v>0.02205</v>
      </c>
    </row>
    <row r="25" spans="9:13" ht="12.75">
      <c r="I25" s="6"/>
      <c r="J25" s="6"/>
      <c r="K25" s="6"/>
      <c r="L25" s="6"/>
      <c r="M25" s="6"/>
    </row>
    <row r="26" spans="1:13" ht="12.75">
      <c r="A26" s="50" t="s">
        <v>128</v>
      </c>
      <c r="I26" s="6"/>
      <c r="J26" s="6"/>
      <c r="K26" s="6"/>
      <c r="L26" s="6"/>
      <c r="M26" s="6"/>
    </row>
    <row r="27" spans="1:13" ht="12.75">
      <c r="A27" s="1" t="s">
        <v>95</v>
      </c>
      <c r="I27" s="6"/>
      <c r="J27" s="6"/>
      <c r="K27" s="6"/>
      <c r="L27" s="6"/>
      <c r="M27" s="6"/>
    </row>
    <row r="28" spans="1:13" ht="12.75">
      <c r="A28" s="1" t="s">
        <v>96</v>
      </c>
      <c r="I28" s="6"/>
      <c r="J28" s="6"/>
      <c r="K28" s="6"/>
      <c r="L28" s="6"/>
      <c r="M28" s="6"/>
    </row>
    <row r="29" ht="12.75">
      <c r="A29" s="1" t="s">
        <v>97</v>
      </c>
    </row>
    <row r="30" spans="1:13" ht="12.75">
      <c r="A30" s="1"/>
      <c r="M30" s="9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43" spans="1:14" ht="12.75">
      <c r="A43" s="202"/>
      <c r="B43" s="4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</sheetData>
  <sheetProtection/>
  <mergeCells count="3">
    <mergeCell ref="J6:N6"/>
    <mergeCell ref="A6:A7"/>
    <mergeCell ref="E6:I6"/>
  </mergeCells>
  <conditionalFormatting sqref="L25:M28 I25:I28">
    <cfRule type="cellIs" priority="1" dxfId="0" operator="greaterThanOrEqual" stopIfTrue="1">
      <formula>#REF!</formula>
    </cfRule>
  </conditionalFormatting>
  <conditionalFormatting sqref="K25:K28">
    <cfRule type="cellIs" priority="2" dxfId="0" operator="greaterThanOrEqual" stopIfTrue="1">
      <formula>#REF!</formula>
    </cfRule>
  </conditionalFormatting>
  <conditionalFormatting sqref="J25:J28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0" r:id="rId1"/>
  <headerFooter alignWithMargins="0">
    <oddHeader>&amp;C&amp;"Arial,Bold"&amp;12
&amp;RExxonMobil Rule 1105.1 Compliance Project</oddHeader>
    <oddFooter>&amp;LFinal EIR&amp;CB-1&amp;RMarch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0"/>
  <sheetViews>
    <sheetView view="pageBreakPreview" zoomScale="60" zoomScalePageLayoutView="0" workbookViewId="0" topLeftCell="A1">
      <selection activeCell="H68" sqref="H68"/>
    </sheetView>
  </sheetViews>
  <sheetFormatPr defaultColWidth="9.140625" defaultRowHeight="12.75"/>
  <cols>
    <col min="1" max="1" width="36.7109375" style="0" customWidth="1"/>
    <col min="2" max="2" width="9.8515625" style="14" bestFit="1" customWidth="1"/>
    <col min="6" max="6" width="9.00390625" style="0" customWidth="1"/>
  </cols>
  <sheetData>
    <row r="1" spans="1:13" ht="12" customHeight="1">
      <c r="A1" s="202"/>
      <c r="B1" s="4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5.75" customHeight="1">
      <c r="A2" s="203" t="s">
        <v>173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5.75" customHeight="1">
      <c r="A3" s="203" t="s">
        <v>174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5.75" customHeight="1">
      <c r="A4" s="215" t="s">
        <v>53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ht="13.5" thickBot="1"/>
    <row r="6" spans="1:13" ht="15">
      <c r="A6" s="209" t="s">
        <v>13</v>
      </c>
      <c r="B6" s="40"/>
      <c r="C6" s="43" t="s">
        <v>14</v>
      </c>
      <c r="D6" s="34"/>
      <c r="E6" s="22" t="s">
        <v>107</v>
      </c>
      <c r="F6" s="22"/>
      <c r="G6" s="103"/>
      <c r="H6" s="104"/>
      <c r="I6" s="212" t="s">
        <v>108</v>
      </c>
      <c r="J6" s="213"/>
      <c r="K6" s="213"/>
      <c r="L6" s="213"/>
      <c r="M6" s="214"/>
    </row>
    <row r="7" spans="1:13" ht="13.5" thickBot="1">
      <c r="A7" s="210"/>
      <c r="B7" s="105" t="s">
        <v>106</v>
      </c>
      <c r="C7" s="44" t="s">
        <v>15</v>
      </c>
      <c r="D7" s="24" t="s">
        <v>0</v>
      </c>
      <c r="E7" s="10" t="s">
        <v>1</v>
      </c>
      <c r="F7" s="10" t="s">
        <v>2</v>
      </c>
      <c r="G7" s="10" t="s">
        <v>4</v>
      </c>
      <c r="H7" s="29" t="s">
        <v>3</v>
      </c>
      <c r="I7" s="24" t="s">
        <v>0</v>
      </c>
      <c r="J7" s="10" t="s">
        <v>1</v>
      </c>
      <c r="K7" s="10" t="s">
        <v>2</v>
      </c>
      <c r="L7" s="10" t="s">
        <v>4</v>
      </c>
      <c r="M7" s="23" t="s">
        <v>3</v>
      </c>
    </row>
    <row r="8" spans="1:13" ht="13.5" thickTop="1">
      <c r="A8" s="38" t="s">
        <v>16</v>
      </c>
      <c r="B8" s="41">
        <v>1</v>
      </c>
      <c r="C8" s="45">
        <v>20</v>
      </c>
      <c r="D8" s="27">
        <f>VLOOKUP($A8,ConstEquipEmissFactors!$A$8:$N$24,10,FALSE)</f>
        <v>0.5231250000000001</v>
      </c>
      <c r="E8" s="18">
        <f>VLOOKUP($A8,ConstEquipEmissFactors!$A$8:$N$24,11,FALSE)</f>
        <v>0.10462500000000001</v>
      </c>
      <c r="F8" s="18">
        <f>VLOOKUP($A8,ConstEquipEmissFactors!$A$8:$N$24,12,FALSE)</f>
        <v>0.76725</v>
      </c>
      <c r="G8" s="18">
        <f>VLOOKUP($A8,ConstEquipEmissFactors!$A$8:$N$24,13,FALSE)</f>
        <v>0.06975</v>
      </c>
      <c r="H8" s="28">
        <f>VLOOKUP($A8,ConstEquipEmissFactors!$A$8:$N$24,14,FALSE)</f>
        <v>0.034875</v>
      </c>
      <c r="I8" s="140">
        <f>D8*$C8*$B8</f>
        <v>10.462500000000002</v>
      </c>
      <c r="J8" s="141">
        <f>E8*$C8*$B8</f>
        <v>2.0925000000000002</v>
      </c>
      <c r="K8" s="141">
        <f>F8*$C8*$B8</f>
        <v>15.344999999999999</v>
      </c>
      <c r="L8" s="141">
        <f>G8*$C8*$B8</f>
        <v>1.395</v>
      </c>
      <c r="M8" s="142">
        <f>H8*$C8*$B8</f>
        <v>0.6975</v>
      </c>
    </row>
    <row r="9" spans="1:13" ht="12.75">
      <c r="A9" s="38" t="s">
        <v>36</v>
      </c>
      <c r="B9" s="41">
        <v>1</v>
      </c>
      <c r="C9" s="45">
        <v>20</v>
      </c>
      <c r="D9" s="27">
        <f>VLOOKUP($A9,ConstEquipEmissFactors!$A$8:$N$24,10,FALSE)</f>
        <v>0.25871999999999995</v>
      </c>
      <c r="E9" s="18">
        <f>VLOOKUP($A9,ConstEquipEmissFactors!$A$8:$N$24,11,FALSE)</f>
        <v>0.04704</v>
      </c>
      <c r="F9" s="18">
        <f>VLOOKUP($A9,ConstEquipEmissFactors!$A$8:$N$24,12,FALSE)</f>
        <v>0.42335999999999996</v>
      </c>
      <c r="G9" s="18">
        <f>VLOOKUP($A9,ConstEquipEmissFactors!$A$8:$N$24,13,FALSE)</f>
        <v>0.04704</v>
      </c>
      <c r="H9" s="28">
        <f>VLOOKUP($A9,ConstEquipEmissFactors!$A$8:$N$24,14,FALSE)</f>
        <v>0.02352</v>
      </c>
      <c r="I9" s="140">
        <f aca="true" t="shared" si="0" ref="I9:I24">D9*$C9*$B9</f>
        <v>5.174399999999999</v>
      </c>
      <c r="J9" s="141">
        <f aca="true" t="shared" si="1" ref="J9:J24">E9*$C9*$B9</f>
        <v>0.9408</v>
      </c>
      <c r="K9" s="141">
        <f aca="true" t="shared" si="2" ref="K9:K24">F9*$C9*$B9</f>
        <v>8.467199999999998</v>
      </c>
      <c r="L9" s="141">
        <f aca="true" t="shared" si="3" ref="L9:L24">G9*$C9*$B9</f>
        <v>0.9408</v>
      </c>
      <c r="M9" s="142">
        <f aca="true" t="shared" si="4" ref="M9:M24">H9*$C9*$B9</f>
        <v>0.4704</v>
      </c>
    </row>
    <row r="10" spans="1:13" ht="12.75">
      <c r="A10" s="78" t="s">
        <v>35</v>
      </c>
      <c r="B10" s="79">
        <v>1</v>
      </c>
      <c r="C10" s="80">
        <v>10</v>
      </c>
      <c r="D10" s="81">
        <f>VLOOKUP($A10,ConstEquipEmissFactors!$A$8:$N$24,10,FALSE)</f>
        <v>0.9690000000000001</v>
      </c>
      <c r="E10" s="82">
        <f>VLOOKUP($A10,ConstEquipEmissFactors!$A$8:$N$24,11,FALSE)</f>
        <v>0.323</v>
      </c>
      <c r="F10" s="82">
        <f>VLOOKUP($A10,ConstEquipEmissFactors!$A$8:$N$24,12,FALSE)</f>
        <v>3.3915</v>
      </c>
      <c r="G10" s="18">
        <f>VLOOKUP($A10,ConstEquipEmissFactors!$A$8:$N$24,13,FALSE)</f>
        <v>0.323</v>
      </c>
      <c r="H10" s="28">
        <f>VLOOKUP($A10,ConstEquipEmissFactors!$A$8:$N$24,14,FALSE)</f>
        <v>0.24225000000000002</v>
      </c>
      <c r="I10" s="140">
        <f t="shared" si="0"/>
        <v>9.690000000000001</v>
      </c>
      <c r="J10" s="141">
        <f t="shared" si="1"/>
        <v>3.23</v>
      </c>
      <c r="K10" s="141">
        <f t="shared" si="2"/>
        <v>33.915</v>
      </c>
      <c r="L10" s="141">
        <f t="shared" si="3"/>
        <v>3.23</v>
      </c>
      <c r="M10" s="142">
        <f t="shared" si="4"/>
        <v>2.4225000000000003</v>
      </c>
    </row>
    <row r="11" spans="1:13" ht="12.75">
      <c r="A11" s="78" t="s">
        <v>37</v>
      </c>
      <c r="B11" s="79">
        <v>1</v>
      </c>
      <c r="C11" s="80">
        <v>10</v>
      </c>
      <c r="D11" s="81">
        <f>VLOOKUP($A11,ConstEquipEmissFactors!$A$8:$N$24,10,FALSE)</f>
        <v>0.1898</v>
      </c>
      <c r="E11" s="82">
        <f>VLOOKUP($A11,ConstEquipEmissFactors!$A$8:$N$24,11,FALSE)</f>
        <v>0.22776</v>
      </c>
      <c r="F11" s="82">
        <f>VLOOKUP($A11,ConstEquipEmissFactors!$A$8:$N$24,12,FALSE)</f>
        <v>0.01898</v>
      </c>
      <c r="G11" s="18">
        <f>VLOOKUP($A11,ConstEquipEmissFactors!$A$8:$N$24,13,FALSE)</f>
        <v>0.02847</v>
      </c>
      <c r="H11" s="28">
        <f>VLOOKUP($A11,ConstEquipEmissFactors!$A$8:$N$24,14,FALSE)</f>
        <v>0.00949</v>
      </c>
      <c r="I11" s="140">
        <f t="shared" si="0"/>
        <v>1.898</v>
      </c>
      <c r="J11" s="141">
        <f t="shared" si="1"/>
        <v>2.2776</v>
      </c>
      <c r="K11" s="141">
        <f t="shared" si="2"/>
        <v>0.1898</v>
      </c>
      <c r="L11" s="141">
        <f t="shared" si="3"/>
        <v>0.2847</v>
      </c>
      <c r="M11" s="142">
        <f t="shared" si="4"/>
        <v>0.0949</v>
      </c>
    </row>
    <row r="12" spans="1:13" ht="12.75">
      <c r="A12" s="78" t="s">
        <v>129</v>
      </c>
      <c r="B12" s="79">
        <v>0</v>
      </c>
      <c r="C12" s="80">
        <v>0</v>
      </c>
      <c r="D12" s="81">
        <f>VLOOKUP($A12,ConstEquipEmissFactors!$A$8:$N$24,10,FALSE)</f>
        <v>0.8127</v>
      </c>
      <c r="E12" s="82">
        <f>VLOOKUP($A12,ConstEquipEmissFactors!$A$8:$N$24,11,FALSE)</f>
        <v>0.2709</v>
      </c>
      <c r="F12" s="82">
        <f>VLOOKUP($A12,ConstEquipEmissFactors!$A$8:$N$24,12,FALSE)</f>
        <v>2.0769</v>
      </c>
      <c r="G12" s="18">
        <f>VLOOKUP($A12,ConstEquipEmissFactors!$A$8:$N$24,13,FALSE)</f>
        <v>0.18059999999999998</v>
      </c>
      <c r="H12" s="28">
        <f>VLOOKUP($A12,ConstEquipEmissFactors!$A$8:$N$24,14,FALSE)</f>
        <v>0.13545</v>
      </c>
      <c r="I12" s="140">
        <f t="shared" si="0"/>
        <v>0</v>
      </c>
      <c r="J12" s="141">
        <f t="shared" si="1"/>
        <v>0</v>
      </c>
      <c r="K12" s="141">
        <f t="shared" si="2"/>
        <v>0</v>
      </c>
      <c r="L12" s="141">
        <f t="shared" si="3"/>
        <v>0</v>
      </c>
      <c r="M12" s="142">
        <f t="shared" si="4"/>
        <v>0</v>
      </c>
    </row>
    <row r="13" spans="1:13" ht="12.75">
      <c r="A13" s="78" t="s">
        <v>67</v>
      </c>
      <c r="B13" s="79">
        <v>1</v>
      </c>
      <c r="C13" s="80">
        <v>20</v>
      </c>
      <c r="D13" s="81">
        <f>VLOOKUP($A13,ConstEquipEmissFactors!$A$8:$N$24,10,FALSE)</f>
        <v>0.9675</v>
      </c>
      <c r="E13" s="82">
        <f>VLOOKUP($A13,ConstEquipEmissFactors!$A$8:$N$24,11,FALSE)</f>
        <v>0.3225</v>
      </c>
      <c r="F13" s="82">
        <f>VLOOKUP($A13,ConstEquipEmissFactors!$A$8:$N$24,12,FALSE)</f>
        <v>2.4725</v>
      </c>
      <c r="G13" s="18">
        <f>VLOOKUP($A13,ConstEquipEmissFactors!$A$8:$N$24,13,FALSE)</f>
        <v>0.215</v>
      </c>
      <c r="H13" s="28">
        <f>VLOOKUP($A13,ConstEquipEmissFactors!$A$8:$N$24,14,FALSE)</f>
        <v>0.16125</v>
      </c>
      <c r="I13" s="140">
        <f t="shared" si="0"/>
        <v>19.35</v>
      </c>
      <c r="J13" s="141">
        <f t="shared" si="1"/>
        <v>6.45</v>
      </c>
      <c r="K13" s="141">
        <f t="shared" si="2"/>
        <v>49.45</v>
      </c>
      <c r="L13" s="141">
        <f t="shared" si="3"/>
        <v>4.3</v>
      </c>
      <c r="M13" s="142">
        <f t="shared" si="4"/>
        <v>3.225</v>
      </c>
    </row>
    <row r="14" spans="1:13" ht="12.75">
      <c r="A14" s="78" t="s">
        <v>44</v>
      </c>
      <c r="B14" s="79">
        <v>0</v>
      </c>
      <c r="C14" s="80">
        <v>0</v>
      </c>
      <c r="D14" s="81">
        <f>VLOOKUP($A14,ConstEquipEmissFactors!$A$8:$N$24,10,FALSE)</f>
        <v>1.06425</v>
      </c>
      <c r="E14" s="82">
        <f>VLOOKUP($A14,ConstEquipEmissFactors!$A$8:$N$24,11,FALSE)</f>
        <v>0.35475</v>
      </c>
      <c r="F14" s="82">
        <f>VLOOKUP($A14,ConstEquipEmissFactors!$A$8:$N$24,12,FALSE)</f>
        <v>2.71975</v>
      </c>
      <c r="G14" s="18">
        <f>VLOOKUP($A14,ConstEquipEmissFactors!$A$8:$N$24,13,FALSE)</f>
        <v>0.23650000000000002</v>
      </c>
      <c r="H14" s="28">
        <f>VLOOKUP($A14,ConstEquipEmissFactors!$A$8:$N$24,14,FALSE)</f>
        <v>0.177375</v>
      </c>
      <c r="I14" s="140">
        <f t="shared" si="0"/>
        <v>0</v>
      </c>
      <c r="J14" s="141">
        <f t="shared" si="1"/>
        <v>0</v>
      </c>
      <c r="K14" s="141">
        <f t="shared" si="2"/>
        <v>0</v>
      </c>
      <c r="L14" s="141">
        <f t="shared" si="3"/>
        <v>0</v>
      </c>
      <c r="M14" s="142">
        <f t="shared" si="4"/>
        <v>0</v>
      </c>
    </row>
    <row r="15" spans="1:13" ht="12.75">
      <c r="A15" s="78" t="s">
        <v>45</v>
      </c>
      <c r="B15" s="79">
        <v>0</v>
      </c>
      <c r="C15" s="80">
        <v>0</v>
      </c>
      <c r="D15" s="81">
        <f>VLOOKUP($A15,ConstEquipEmissFactors!$A$8:$N$24,10,FALSE)</f>
        <v>1.0062</v>
      </c>
      <c r="E15" s="82">
        <f>VLOOKUP($A15,ConstEquipEmissFactors!$A$8:$N$24,11,FALSE)</f>
        <v>0.33540000000000003</v>
      </c>
      <c r="F15" s="82">
        <f>VLOOKUP($A15,ConstEquipEmissFactors!$A$8:$N$24,12,FALSE)</f>
        <v>2.5713999999999997</v>
      </c>
      <c r="G15" s="18">
        <f>VLOOKUP($A15,ConstEquipEmissFactors!$A$8:$N$24,13,FALSE)</f>
        <v>0.2236</v>
      </c>
      <c r="H15" s="28">
        <f>VLOOKUP($A15,ConstEquipEmissFactors!$A$8:$N$24,14,FALSE)</f>
        <v>0.16770000000000002</v>
      </c>
      <c r="I15" s="140">
        <f t="shared" si="0"/>
        <v>0</v>
      </c>
      <c r="J15" s="141">
        <f t="shared" si="1"/>
        <v>0</v>
      </c>
      <c r="K15" s="141">
        <f t="shared" si="2"/>
        <v>0</v>
      </c>
      <c r="L15" s="141">
        <f t="shared" si="3"/>
        <v>0</v>
      </c>
      <c r="M15" s="142">
        <f t="shared" si="4"/>
        <v>0</v>
      </c>
    </row>
    <row r="16" spans="1:13" ht="12.75">
      <c r="A16" s="78" t="s">
        <v>68</v>
      </c>
      <c r="B16" s="79">
        <v>1</v>
      </c>
      <c r="C16" s="80">
        <v>10</v>
      </c>
      <c r="D16" s="81">
        <f>VLOOKUP($A16,ConstEquipEmissFactors!$A$8:$N$24,10,FALSE)</f>
        <v>4.5</v>
      </c>
      <c r="E16" s="82">
        <f>VLOOKUP($A16,ConstEquipEmissFactors!$A$8:$N$24,11,FALSE)</f>
        <v>0.675</v>
      </c>
      <c r="F16" s="82">
        <f>VLOOKUP($A16,ConstEquipEmissFactors!$A$8:$N$24,12,FALSE)</f>
        <v>5.4</v>
      </c>
      <c r="G16" s="18">
        <f>VLOOKUP($A16,ConstEquipEmissFactors!$A$8:$N$24,13,FALSE)</f>
        <v>0.44999999999999996</v>
      </c>
      <c r="H16" s="28">
        <f>VLOOKUP($A16,ConstEquipEmissFactors!$A$8:$N$24,14,FALSE)</f>
        <v>0.3375</v>
      </c>
      <c r="I16" s="140">
        <f t="shared" si="0"/>
        <v>45</v>
      </c>
      <c r="J16" s="141">
        <f t="shared" si="1"/>
        <v>6.75</v>
      </c>
      <c r="K16" s="141">
        <f t="shared" si="2"/>
        <v>54</v>
      </c>
      <c r="L16" s="141">
        <f t="shared" si="3"/>
        <v>4.5</v>
      </c>
      <c r="M16" s="142">
        <f t="shared" si="4"/>
        <v>3.375</v>
      </c>
    </row>
    <row r="17" spans="1:13" ht="12.75">
      <c r="A17" s="78" t="s">
        <v>49</v>
      </c>
      <c r="B17" s="79">
        <v>10</v>
      </c>
      <c r="C17" s="80">
        <v>1</v>
      </c>
      <c r="D17" s="52">
        <f>VLOOKUP($A17,ConstEquipEmissFactors!$A$8:$N$24,10,FALSE)</f>
        <v>0.6270000000000001</v>
      </c>
      <c r="E17" s="53">
        <f>VLOOKUP($A17,ConstEquipEmissFactors!$A$8:$N$24,11,FALSE)</f>
        <v>0.20900000000000002</v>
      </c>
      <c r="F17" s="53">
        <f>VLOOKUP($A17,ConstEquipEmissFactors!$A$8:$N$24,12,FALSE)</f>
        <v>2.1945</v>
      </c>
      <c r="G17" s="17">
        <f>VLOOKUP($A17,ConstEquipEmissFactors!$A$8:$N$24,13,FALSE)</f>
        <v>0.20900000000000002</v>
      </c>
      <c r="H17" s="26">
        <f>VLOOKUP($A17,ConstEquipEmissFactors!$A$8:$N$24,14,FALSE)</f>
        <v>0.15675000000000003</v>
      </c>
      <c r="I17" s="140">
        <f t="shared" si="0"/>
        <v>6.270000000000001</v>
      </c>
      <c r="J17" s="141">
        <f t="shared" si="1"/>
        <v>2.0900000000000003</v>
      </c>
      <c r="K17" s="141">
        <f t="shared" si="2"/>
        <v>21.945</v>
      </c>
      <c r="L17" s="141">
        <f t="shared" si="3"/>
        <v>2.0900000000000003</v>
      </c>
      <c r="M17" s="142">
        <f t="shared" si="4"/>
        <v>1.5675000000000003</v>
      </c>
    </row>
    <row r="18" spans="1:13" ht="12.75">
      <c r="A18" s="78" t="s">
        <v>32</v>
      </c>
      <c r="B18" s="79">
        <v>1</v>
      </c>
      <c r="C18" s="80">
        <v>20</v>
      </c>
      <c r="D18" s="52">
        <f>VLOOKUP($A18,ConstEquipEmissFactors!$A$8:$N$24,10,FALSE)</f>
        <v>1.595</v>
      </c>
      <c r="E18" s="53">
        <f>VLOOKUP($A18,ConstEquipEmissFactors!$A$8:$N$24,11,FALSE)</f>
        <v>0.145</v>
      </c>
      <c r="F18" s="53">
        <f>VLOOKUP($A18,ConstEquipEmissFactors!$A$8:$N$24,12,FALSE)</f>
        <v>3.4799999999999995</v>
      </c>
      <c r="G18" s="17">
        <f>VLOOKUP($A18,ConstEquipEmissFactors!$A$8:$N$24,13,FALSE)</f>
        <v>0.29</v>
      </c>
      <c r="H18" s="26">
        <f>VLOOKUP($A18,ConstEquipEmissFactors!$A$8:$N$24,14,FALSE)</f>
        <v>0.21749999999999997</v>
      </c>
      <c r="I18" s="140">
        <f t="shared" si="0"/>
        <v>31.9</v>
      </c>
      <c r="J18" s="141">
        <f t="shared" si="1"/>
        <v>2.9</v>
      </c>
      <c r="K18" s="141">
        <f t="shared" si="2"/>
        <v>69.6</v>
      </c>
      <c r="L18" s="141">
        <f t="shared" si="3"/>
        <v>5.8</v>
      </c>
      <c r="M18" s="142">
        <f t="shared" si="4"/>
        <v>4.35</v>
      </c>
    </row>
    <row r="19" spans="1:13" ht="12.75">
      <c r="A19" s="38" t="s">
        <v>39</v>
      </c>
      <c r="B19" s="41">
        <v>1</v>
      </c>
      <c r="C19" s="45">
        <v>20</v>
      </c>
      <c r="D19" s="25">
        <f>VLOOKUP($A19,ConstEquipEmissFactors!$A$8:$N$24,10,FALSE)</f>
        <v>0.3081</v>
      </c>
      <c r="E19" s="17">
        <f>VLOOKUP($A19,ConstEquipEmissFactors!$A$8:$N$24,11,FALSE)</f>
        <v>0.0711</v>
      </c>
      <c r="F19" s="17">
        <f>VLOOKUP($A19,ConstEquipEmissFactors!$A$8:$N$24,12,FALSE)</f>
        <v>0.7346999999999999</v>
      </c>
      <c r="G19" s="17">
        <f>VLOOKUP($A19,ConstEquipEmissFactors!$A$8:$N$24,13,FALSE)</f>
        <v>0.0474</v>
      </c>
      <c r="H19" s="26">
        <f>VLOOKUP($A19,ConstEquipEmissFactors!$A$8:$N$24,14,FALSE)</f>
        <v>0.03555</v>
      </c>
      <c r="I19" s="140">
        <f t="shared" si="0"/>
        <v>6.162</v>
      </c>
      <c r="J19" s="141">
        <f t="shared" si="1"/>
        <v>1.422</v>
      </c>
      <c r="K19" s="141">
        <f t="shared" si="2"/>
        <v>14.693999999999999</v>
      </c>
      <c r="L19" s="141">
        <f t="shared" si="3"/>
        <v>0.948</v>
      </c>
      <c r="M19" s="142">
        <f t="shared" si="4"/>
        <v>0.711</v>
      </c>
    </row>
    <row r="20" spans="1:13" ht="12.75">
      <c r="A20" s="38" t="s">
        <v>17</v>
      </c>
      <c r="B20" s="41">
        <v>1</v>
      </c>
      <c r="C20" s="45">
        <v>20</v>
      </c>
      <c r="D20" s="25">
        <f>VLOOKUP($A20,ConstEquipEmissFactors!$A$8:$N$24,10,FALSE)</f>
        <v>1.46475</v>
      </c>
      <c r="E20" s="17">
        <f>VLOOKUP($A20,ConstEquipEmissFactors!$A$8:$N$24,11,FALSE)</f>
        <v>0.29295000000000004</v>
      </c>
      <c r="F20" s="17">
        <f>VLOOKUP($A20,ConstEquipEmissFactors!$A$8:$N$24,12,FALSE)</f>
        <v>2.1483000000000003</v>
      </c>
      <c r="G20" s="17">
        <f>VLOOKUP($A20,ConstEquipEmissFactors!$A$8:$N$24,13,FALSE)</f>
        <v>0.1953</v>
      </c>
      <c r="H20" s="26">
        <f>VLOOKUP($A20,ConstEquipEmissFactors!$A$8:$N$24,14,FALSE)</f>
        <v>0.09765</v>
      </c>
      <c r="I20" s="140">
        <f t="shared" si="0"/>
        <v>29.295</v>
      </c>
      <c r="J20" s="141">
        <f t="shared" si="1"/>
        <v>5.859000000000001</v>
      </c>
      <c r="K20" s="141">
        <f t="shared" si="2"/>
        <v>42.96600000000001</v>
      </c>
      <c r="L20" s="141">
        <f t="shared" si="3"/>
        <v>3.906</v>
      </c>
      <c r="M20" s="142">
        <f t="shared" si="4"/>
        <v>1.953</v>
      </c>
    </row>
    <row r="21" spans="1:13" ht="12.75">
      <c r="A21" s="39" t="s">
        <v>126</v>
      </c>
      <c r="B21" s="79">
        <v>2</v>
      </c>
      <c r="C21" s="80">
        <v>20</v>
      </c>
      <c r="D21" s="25">
        <f>VLOOKUP($A21,ConstEquipEmissFactors!$A$8:$N$24,10,FALSE)</f>
        <v>0.6919</v>
      </c>
      <c r="E21" s="17">
        <f>VLOOKUP($A21,ConstEquipEmissFactors!$A$8:$N$24,11,FALSE)</f>
        <v>0.1258</v>
      </c>
      <c r="F21" s="17">
        <f>VLOOKUP($A21,ConstEquipEmissFactors!$A$8:$N$24,12,FALSE)</f>
        <v>1.1321999999999999</v>
      </c>
      <c r="G21" s="17">
        <f>VLOOKUP($A21,ConstEquipEmissFactors!$A$8:$N$24,13,FALSE)</f>
        <v>0.1258</v>
      </c>
      <c r="H21" s="26">
        <f>VLOOKUP($A21,ConstEquipEmissFactors!$A$8:$N$24,14,FALSE)</f>
        <v>0.0629</v>
      </c>
      <c r="I21" s="140">
        <f>D21*$C21*$B21</f>
        <v>27.676</v>
      </c>
      <c r="J21" s="141">
        <f>E21*$C21*$B21</f>
        <v>5.032</v>
      </c>
      <c r="K21" s="141">
        <f>F21*$C21*$B21</f>
        <v>45.288</v>
      </c>
      <c r="L21" s="141">
        <f>G21*$C21*$B21</f>
        <v>5.032</v>
      </c>
      <c r="M21" s="142">
        <f>H21*$C21*$B21</f>
        <v>2.516</v>
      </c>
    </row>
    <row r="22" spans="1:13" ht="12.75">
      <c r="A22" s="39" t="s">
        <v>46</v>
      </c>
      <c r="B22" s="41">
        <v>2</v>
      </c>
      <c r="C22" s="45">
        <v>10</v>
      </c>
      <c r="D22" s="25">
        <f>VLOOKUP($A22,ConstEquipEmissFactors!$A$8:$N$24,10,FALSE)</f>
        <v>0.11725999999999999</v>
      </c>
      <c r="E22" s="17">
        <f>VLOOKUP($A22,ConstEquipEmissFactors!$A$8:$N$24,11,FALSE)</f>
        <v>0.021320000000000002</v>
      </c>
      <c r="F22" s="17">
        <f>VLOOKUP($A22,ConstEquipEmissFactors!$A$8:$N$24,12,FALSE)</f>
        <v>0.19187999999999997</v>
      </c>
      <c r="G22" s="17">
        <f>VLOOKUP($A22,ConstEquipEmissFactors!$A$8:$N$24,13,FALSE)</f>
        <v>0.021320000000000002</v>
      </c>
      <c r="H22" s="26">
        <f>VLOOKUP($A22,ConstEquipEmissFactors!$A$8:$N$24,14,FALSE)</f>
        <v>0.010660000000000001</v>
      </c>
      <c r="I22" s="140">
        <f t="shared" si="0"/>
        <v>2.3451999999999997</v>
      </c>
      <c r="J22" s="141">
        <f t="shared" si="1"/>
        <v>0.42640000000000006</v>
      </c>
      <c r="K22" s="141">
        <f t="shared" si="2"/>
        <v>3.8375999999999992</v>
      </c>
      <c r="L22" s="141">
        <f t="shared" si="3"/>
        <v>0.42640000000000006</v>
      </c>
      <c r="M22" s="142">
        <f t="shared" si="4"/>
        <v>0.21320000000000003</v>
      </c>
    </row>
    <row r="23" spans="1:13" ht="12.75">
      <c r="A23" s="39" t="s">
        <v>38</v>
      </c>
      <c r="B23" s="41">
        <v>0</v>
      </c>
      <c r="C23" s="45">
        <v>0</v>
      </c>
      <c r="D23" s="37">
        <f>VLOOKUP($A23,ConstEquipEmissFactors!$A$8:$N$24,10,FALSE)</f>
        <v>0.820625</v>
      </c>
      <c r="E23" s="35">
        <f>VLOOKUP($A23,ConstEquipEmissFactors!$A$8:$N$24,11,FALSE)</f>
        <v>0.18937500000000002</v>
      </c>
      <c r="F23" s="35">
        <f>VLOOKUP($A23,ConstEquipEmissFactors!$A$8:$N$24,12,FALSE)</f>
        <v>1.956875</v>
      </c>
      <c r="G23" s="35">
        <f>VLOOKUP($A23,ConstEquipEmissFactors!$A$8:$N$24,13,FALSE)</f>
        <v>0.12625</v>
      </c>
      <c r="H23" s="36">
        <f>VLOOKUP($A23,ConstEquipEmissFactors!$A$8:$N$24,14,FALSE)</f>
        <v>0.09468750000000001</v>
      </c>
      <c r="I23" s="140">
        <f t="shared" si="0"/>
        <v>0</v>
      </c>
      <c r="J23" s="141">
        <f t="shared" si="1"/>
        <v>0</v>
      </c>
      <c r="K23" s="141">
        <f t="shared" si="2"/>
        <v>0</v>
      </c>
      <c r="L23" s="141">
        <f t="shared" si="3"/>
        <v>0</v>
      </c>
      <c r="M23" s="142">
        <f t="shared" si="4"/>
        <v>0</v>
      </c>
    </row>
    <row r="24" spans="1:13" ht="12.75" customHeight="1" thickBot="1">
      <c r="A24" s="39" t="s">
        <v>47</v>
      </c>
      <c r="B24" s="42">
        <v>0</v>
      </c>
      <c r="C24" s="46">
        <v>0</v>
      </c>
      <c r="D24" s="37">
        <f>VLOOKUP($A24,ConstEquipEmissFactors!$A$8:$N$24,10,FALSE)</f>
        <v>0.24254999999999996</v>
      </c>
      <c r="E24" s="35">
        <f>VLOOKUP($A24,ConstEquipEmissFactors!$A$8:$N$24,11,FALSE)</f>
        <v>0.0441</v>
      </c>
      <c r="F24" s="35">
        <f>VLOOKUP($A24,ConstEquipEmissFactors!$A$8:$N$24,12,FALSE)</f>
        <v>0.3969</v>
      </c>
      <c r="G24" s="35">
        <f>VLOOKUP($A24,ConstEquipEmissFactors!$A$8:$N$24,13,FALSE)</f>
        <v>0.0441</v>
      </c>
      <c r="H24" s="36">
        <f>VLOOKUP($A24,ConstEquipEmissFactors!$A$8:$N$24,14,FALSE)</f>
        <v>0.02205</v>
      </c>
      <c r="I24" s="143">
        <f t="shared" si="0"/>
        <v>0</v>
      </c>
      <c r="J24" s="144">
        <f t="shared" si="1"/>
        <v>0</v>
      </c>
      <c r="K24" s="144">
        <f t="shared" si="2"/>
        <v>0</v>
      </c>
      <c r="L24" s="144">
        <f t="shared" si="3"/>
        <v>0</v>
      </c>
      <c r="M24" s="145">
        <f t="shared" si="4"/>
        <v>0</v>
      </c>
    </row>
    <row r="25" spans="1:13" ht="13.5" thickBot="1">
      <c r="A25" s="164" t="s">
        <v>48</v>
      </c>
      <c r="B25" s="135"/>
      <c r="C25" s="136"/>
      <c r="D25" s="137"/>
      <c r="E25" s="138"/>
      <c r="F25" s="138"/>
      <c r="G25" s="138"/>
      <c r="H25" s="139"/>
      <c r="I25" s="146">
        <f>SUM(I8:I24)</f>
        <v>195.22310000000002</v>
      </c>
      <c r="J25" s="147">
        <f>SUM(J8:J24)</f>
        <v>39.470299999999995</v>
      </c>
      <c r="K25" s="148">
        <f>SUM(K8:K24)</f>
        <v>359.6976</v>
      </c>
      <c r="L25" s="147">
        <f>SUM(L8:L24)</f>
        <v>32.852900000000005</v>
      </c>
      <c r="M25" s="149">
        <f>SUM(M8:M24)</f>
        <v>21.595999999999997</v>
      </c>
    </row>
    <row r="26" spans="9:13" ht="12.75">
      <c r="I26" s="6"/>
      <c r="J26" s="6"/>
      <c r="K26" s="6"/>
      <c r="L26" s="6"/>
      <c r="M26" s="6"/>
    </row>
    <row r="27" spans="1:13" ht="12.75">
      <c r="A27" s="84" t="s">
        <v>130</v>
      </c>
      <c r="I27" s="198"/>
      <c r="J27" s="198"/>
      <c r="K27" s="198"/>
      <c r="L27" s="198"/>
      <c r="M27" s="198"/>
    </row>
    <row r="28" ht="12.75">
      <c r="A28" s="1"/>
    </row>
    <row r="29" ht="12.75">
      <c r="A29" s="85" t="s">
        <v>109</v>
      </c>
    </row>
    <row r="30" ht="12.75">
      <c r="A30" s="85" t="s">
        <v>110</v>
      </c>
    </row>
    <row r="31" spans="1:10" ht="12.75">
      <c r="A31" s="211" t="s">
        <v>138</v>
      </c>
      <c r="B31" s="211"/>
      <c r="C31" s="211"/>
      <c r="D31" s="211"/>
      <c r="E31" s="211"/>
      <c r="F31" s="211"/>
      <c r="G31" s="211"/>
      <c r="H31" s="211"/>
      <c r="I31" s="211"/>
      <c r="J31" s="211"/>
    </row>
    <row r="38" spans="9:13" ht="12.75">
      <c r="I38" s="198"/>
      <c r="J38" s="198"/>
      <c r="K38" s="198"/>
      <c r="L38" s="198"/>
      <c r="M38" s="198"/>
    </row>
    <row r="40" spans="1:13" ht="12.75">
      <c r="A40" s="202"/>
      <c r="B40" s="42"/>
      <c r="C40" s="202"/>
      <c r="D40" s="202"/>
      <c r="E40" s="202"/>
      <c r="F40" s="202"/>
      <c r="G40" s="202"/>
      <c r="H40" s="202"/>
      <c r="I40" s="204"/>
      <c r="J40" s="204"/>
      <c r="K40" s="204"/>
      <c r="L40" s="204"/>
      <c r="M40" s="204"/>
    </row>
  </sheetData>
  <sheetProtection/>
  <mergeCells count="4">
    <mergeCell ref="A31:J31"/>
    <mergeCell ref="I6:M6"/>
    <mergeCell ref="A4:M4"/>
    <mergeCell ref="A6:A7"/>
  </mergeCells>
  <conditionalFormatting sqref="L26:M26 I26">
    <cfRule type="cellIs" priority="1" dxfId="0" operator="greaterThanOrEqual" stopIfTrue="1">
      <formula>#REF!</formula>
    </cfRule>
  </conditionalFormatting>
  <conditionalFormatting sqref="K26">
    <cfRule type="cellIs" priority="2" dxfId="0" operator="greaterThanOrEqual" stopIfTrue="1">
      <formula>#REF!</formula>
    </cfRule>
  </conditionalFormatting>
  <conditionalFormatting sqref="J26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4" r:id="rId1"/>
  <headerFooter alignWithMargins="0">
    <oddHeader>&amp;C&amp;"Arial,Bold"&amp;12
&amp;RExxonMobil Rule 1105.1 Compliance Project</oddHeader>
    <oddFooter>&amp;LFinal EIR&amp;CB-2&amp;RMarch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40"/>
  <sheetViews>
    <sheetView view="pageBreakPreview" zoomScale="60" zoomScalePageLayoutView="0" workbookViewId="0" topLeftCell="A1">
      <selection activeCell="B39" sqref="B39"/>
    </sheetView>
  </sheetViews>
  <sheetFormatPr defaultColWidth="9.140625" defaultRowHeight="12.75"/>
  <cols>
    <col min="1" max="1" width="36.7109375" style="0" customWidth="1"/>
    <col min="2" max="2" width="9.7109375" style="14" customWidth="1"/>
    <col min="6" max="6" width="9.00390625" style="0" customWidth="1"/>
  </cols>
  <sheetData>
    <row r="1" spans="1:13" ht="12.75">
      <c r="A1" s="202"/>
      <c r="B1" s="4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5">
      <c r="A2" s="215" t="s">
        <v>175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5">
      <c r="A3" s="215" t="s">
        <v>174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.75" customHeight="1">
      <c r="A4" s="215" t="s">
        <v>54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ht="13.5" thickBot="1"/>
    <row r="6" spans="1:13" ht="15">
      <c r="A6" s="209" t="s">
        <v>13</v>
      </c>
      <c r="B6" s="40"/>
      <c r="C6" s="43" t="s">
        <v>14</v>
      </c>
      <c r="D6" s="34"/>
      <c r="E6" s="22" t="s">
        <v>107</v>
      </c>
      <c r="F6" s="22"/>
      <c r="G6" s="103"/>
      <c r="H6" s="104"/>
      <c r="I6" s="212" t="s">
        <v>108</v>
      </c>
      <c r="J6" s="213"/>
      <c r="K6" s="213"/>
      <c r="L6" s="213"/>
      <c r="M6" s="214"/>
    </row>
    <row r="7" spans="1:13" ht="13.5" thickBot="1">
      <c r="A7" s="210"/>
      <c r="B7" s="105" t="s">
        <v>106</v>
      </c>
      <c r="C7" s="44" t="s">
        <v>15</v>
      </c>
      <c r="D7" s="24" t="s">
        <v>0</v>
      </c>
      <c r="E7" s="10" t="s">
        <v>1</v>
      </c>
      <c r="F7" s="10" t="s">
        <v>2</v>
      </c>
      <c r="G7" s="10" t="s">
        <v>4</v>
      </c>
      <c r="H7" s="29" t="s">
        <v>3</v>
      </c>
      <c r="I7" s="24" t="s">
        <v>0</v>
      </c>
      <c r="J7" s="10" t="s">
        <v>1</v>
      </c>
      <c r="K7" s="10" t="s">
        <v>2</v>
      </c>
      <c r="L7" s="10" t="s">
        <v>4</v>
      </c>
      <c r="M7" s="23" t="s">
        <v>3</v>
      </c>
    </row>
    <row r="8" spans="1:13" ht="13.5" thickTop="1">
      <c r="A8" s="38" t="s">
        <v>16</v>
      </c>
      <c r="B8" s="41">
        <v>0</v>
      </c>
      <c r="C8" s="45">
        <v>0</v>
      </c>
      <c r="D8" s="27">
        <f>VLOOKUP($A8,ConstEquipEmissFactors!$A$8:$N$24,10,FALSE)</f>
        <v>0.5231250000000001</v>
      </c>
      <c r="E8" s="18">
        <f>VLOOKUP($A8,ConstEquipEmissFactors!$A$8:$N$24,11,FALSE)</f>
        <v>0.10462500000000001</v>
      </c>
      <c r="F8" s="18">
        <f>VLOOKUP($A8,ConstEquipEmissFactors!$A$8:$N$24,12,FALSE)</f>
        <v>0.76725</v>
      </c>
      <c r="G8" s="18">
        <f>VLOOKUP($A8,ConstEquipEmissFactors!$A$8:$N$24,13,FALSE)</f>
        <v>0.06975</v>
      </c>
      <c r="H8" s="28">
        <f>VLOOKUP($A8,ConstEquipEmissFactors!$A$8:$N$24,14,FALSE)</f>
        <v>0.034875</v>
      </c>
      <c r="I8" s="140">
        <f aca="true" t="shared" si="0" ref="I8:I24">D8*$C8*$B8</f>
        <v>0</v>
      </c>
      <c r="J8" s="141">
        <f aca="true" t="shared" si="1" ref="J8:J24">E8*$C8*$B8</f>
        <v>0</v>
      </c>
      <c r="K8" s="141">
        <f aca="true" t="shared" si="2" ref="K8:K24">F8*$C8*$B8</f>
        <v>0</v>
      </c>
      <c r="L8" s="141">
        <f aca="true" t="shared" si="3" ref="L8:L24">G8*$C8*$B8</f>
        <v>0</v>
      </c>
      <c r="M8" s="142">
        <f aca="true" t="shared" si="4" ref="M8:M24">H8*$C8*$B8</f>
        <v>0</v>
      </c>
    </row>
    <row r="9" spans="1:13" ht="12.75">
      <c r="A9" s="38" t="s">
        <v>36</v>
      </c>
      <c r="B9" s="41">
        <v>0</v>
      </c>
      <c r="C9" s="45">
        <v>0</v>
      </c>
      <c r="D9" s="27">
        <f>VLOOKUP($A9,ConstEquipEmissFactors!$A$8:$N$24,10,FALSE)</f>
        <v>0.25871999999999995</v>
      </c>
      <c r="E9" s="18">
        <f>VLOOKUP($A9,ConstEquipEmissFactors!$A$8:$N$24,11,FALSE)</f>
        <v>0.04704</v>
      </c>
      <c r="F9" s="18">
        <f>VLOOKUP($A9,ConstEquipEmissFactors!$A$8:$N$24,12,FALSE)</f>
        <v>0.42335999999999996</v>
      </c>
      <c r="G9" s="18">
        <f>VLOOKUP($A9,ConstEquipEmissFactors!$A$8:$N$24,13,FALSE)</f>
        <v>0.04704</v>
      </c>
      <c r="H9" s="28">
        <f>VLOOKUP($A9,ConstEquipEmissFactors!$A$8:$N$24,14,FALSE)</f>
        <v>0.02352</v>
      </c>
      <c r="I9" s="140">
        <f t="shared" si="0"/>
        <v>0</v>
      </c>
      <c r="J9" s="141">
        <f t="shared" si="1"/>
        <v>0</v>
      </c>
      <c r="K9" s="141">
        <f t="shared" si="2"/>
        <v>0</v>
      </c>
      <c r="L9" s="141">
        <f t="shared" si="3"/>
        <v>0</v>
      </c>
      <c r="M9" s="142">
        <f t="shared" si="4"/>
        <v>0</v>
      </c>
    </row>
    <row r="10" spans="1:13" ht="12.75">
      <c r="A10" s="38" t="s">
        <v>35</v>
      </c>
      <c r="B10" s="41">
        <v>0</v>
      </c>
      <c r="C10" s="45">
        <v>0</v>
      </c>
      <c r="D10" s="27">
        <f>VLOOKUP($A10,ConstEquipEmissFactors!$A$8:$N$24,10,FALSE)</f>
        <v>0.9690000000000001</v>
      </c>
      <c r="E10" s="18">
        <f>VLOOKUP($A10,ConstEquipEmissFactors!$A$8:$N$24,11,FALSE)</f>
        <v>0.323</v>
      </c>
      <c r="F10" s="18">
        <f>VLOOKUP($A10,ConstEquipEmissFactors!$A$8:$N$24,12,FALSE)</f>
        <v>3.3915</v>
      </c>
      <c r="G10" s="18">
        <f>VLOOKUP($A10,ConstEquipEmissFactors!$A$8:$N$24,13,FALSE)</f>
        <v>0.323</v>
      </c>
      <c r="H10" s="28">
        <f>VLOOKUP($A10,ConstEquipEmissFactors!$A$8:$N$24,14,FALSE)</f>
        <v>0.24225000000000002</v>
      </c>
      <c r="I10" s="140">
        <f t="shared" si="0"/>
        <v>0</v>
      </c>
      <c r="J10" s="141">
        <f t="shared" si="1"/>
        <v>0</v>
      </c>
      <c r="K10" s="141">
        <f t="shared" si="2"/>
        <v>0</v>
      </c>
      <c r="L10" s="141">
        <f t="shared" si="3"/>
        <v>0</v>
      </c>
      <c r="M10" s="142">
        <f t="shared" si="4"/>
        <v>0</v>
      </c>
    </row>
    <row r="11" spans="1:13" ht="12.75">
      <c r="A11" s="38" t="s">
        <v>37</v>
      </c>
      <c r="B11" s="41">
        <v>0</v>
      </c>
      <c r="C11" s="45">
        <v>0</v>
      </c>
      <c r="D11" s="27">
        <f>VLOOKUP($A11,ConstEquipEmissFactors!$A$8:$N$24,10,FALSE)</f>
        <v>0.1898</v>
      </c>
      <c r="E11" s="18">
        <f>VLOOKUP($A11,ConstEquipEmissFactors!$A$8:$N$24,11,FALSE)</f>
        <v>0.22776</v>
      </c>
      <c r="F11" s="18">
        <f>VLOOKUP($A11,ConstEquipEmissFactors!$A$8:$N$24,12,FALSE)</f>
        <v>0.01898</v>
      </c>
      <c r="G11" s="18">
        <f>VLOOKUP($A11,ConstEquipEmissFactors!$A$8:$N$24,13,FALSE)</f>
        <v>0.02847</v>
      </c>
      <c r="H11" s="28">
        <f>VLOOKUP($A11,ConstEquipEmissFactors!$A$8:$N$24,14,FALSE)</f>
        <v>0.00949</v>
      </c>
      <c r="I11" s="140">
        <f t="shared" si="0"/>
        <v>0</v>
      </c>
      <c r="J11" s="141">
        <f t="shared" si="1"/>
        <v>0</v>
      </c>
      <c r="K11" s="141">
        <f t="shared" si="2"/>
        <v>0</v>
      </c>
      <c r="L11" s="141">
        <f t="shared" si="3"/>
        <v>0</v>
      </c>
      <c r="M11" s="142">
        <f t="shared" si="4"/>
        <v>0</v>
      </c>
    </row>
    <row r="12" spans="1:13" ht="12.75">
      <c r="A12" s="38" t="s">
        <v>129</v>
      </c>
      <c r="B12" s="41">
        <v>1</v>
      </c>
      <c r="C12" s="45">
        <v>20</v>
      </c>
      <c r="D12" s="27">
        <f>VLOOKUP($A12,ConstEquipEmissFactors!$A$8:$N$24,10,FALSE)</f>
        <v>0.8127</v>
      </c>
      <c r="E12" s="18">
        <f>VLOOKUP($A12,ConstEquipEmissFactors!$A$8:$N$24,11,FALSE)</f>
        <v>0.2709</v>
      </c>
      <c r="F12" s="18">
        <f>VLOOKUP($A12,ConstEquipEmissFactors!$A$8:$N$24,12,FALSE)</f>
        <v>2.0769</v>
      </c>
      <c r="G12" s="18">
        <f>VLOOKUP($A12,ConstEquipEmissFactors!$A$8:$N$24,13,FALSE)</f>
        <v>0.18059999999999998</v>
      </c>
      <c r="H12" s="28">
        <f>VLOOKUP($A12,ConstEquipEmissFactors!$A$8:$N$24,14,FALSE)</f>
        <v>0.13545</v>
      </c>
      <c r="I12" s="140">
        <f t="shared" si="0"/>
        <v>16.253999999999998</v>
      </c>
      <c r="J12" s="141">
        <f t="shared" si="1"/>
        <v>5.417999999999999</v>
      </c>
      <c r="K12" s="141">
        <f t="shared" si="2"/>
        <v>41.538000000000004</v>
      </c>
      <c r="L12" s="141">
        <f t="shared" si="3"/>
        <v>3.6119999999999997</v>
      </c>
      <c r="M12" s="142">
        <f t="shared" si="4"/>
        <v>2.7089999999999996</v>
      </c>
    </row>
    <row r="13" spans="1:13" ht="12.75">
      <c r="A13" s="38" t="s">
        <v>67</v>
      </c>
      <c r="B13" s="41">
        <v>0</v>
      </c>
      <c r="C13" s="45">
        <v>0</v>
      </c>
      <c r="D13" s="27">
        <f>VLOOKUP($A13,ConstEquipEmissFactors!$A$8:$N$24,10,FALSE)</f>
        <v>0.9675</v>
      </c>
      <c r="E13" s="18">
        <f>VLOOKUP($A13,ConstEquipEmissFactors!$A$8:$N$24,11,FALSE)</f>
        <v>0.3225</v>
      </c>
      <c r="F13" s="18">
        <f>VLOOKUP($A13,ConstEquipEmissFactors!$A$8:$N$24,12,FALSE)</f>
        <v>2.4725</v>
      </c>
      <c r="G13" s="18">
        <f>VLOOKUP($A13,ConstEquipEmissFactors!$A$8:$N$24,13,FALSE)</f>
        <v>0.215</v>
      </c>
      <c r="H13" s="28">
        <f>VLOOKUP($A13,ConstEquipEmissFactors!$A$8:$N$24,14,FALSE)</f>
        <v>0.16125</v>
      </c>
      <c r="I13" s="140">
        <f t="shared" si="0"/>
        <v>0</v>
      </c>
      <c r="J13" s="141">
        <f t="shared" si="1"/>
        <v>0</v>
      </c>
      <c r="K13" s="141">
        <f t="shared" si="2"/>
        <v>0</v>
      </c>
      <c r="L13" s="141">
        <f t="shared" si="3"/>
        <v>0</v>
      </c>
      <c r="M13" s="142">
        <f t="shared" si="4"/>
        <v>0</v>
      </c>
    </row>
    <row r="14" spans="1:13" ht="12.75">
      <c r="A14" s="38" t="s">
        <v>44</v>
      </c>
      <c r="B14" s="41">
        <v>1</v>
      </c>
      <c r="C14" s="45">
        <v>20</v>
      </c>
      <c r="D14" s="27">
        <f>VLOOKUP($A14,ConstEquipEmissFactors!$A$8:$N$24,10,FALSE)</f>
        <v>1.06425</v>
      </c>
      <c r="E14" s="18">
        <f>VLOOKUP($A14,ConstEquipEmissFactors!$A$8:$N$24,11,FALSE)</f>
        <v>0.35475</v>
      </c>
      <c r="F14" s="18">
        <f>VLOOKUP($A14,ConstEquipEmissFactors!$A$8:$N$24,12,FALSE)</f>
        <v>2.71975</v>
      </c>
      <c r="G14" s="18">
        <f>VLOOKUP($A14,ConstEquipEmissFactors!$A$8:$N$24,13,FALSE)</f>
        <v>0.23650000000000002</v>
      </c>
      <c r="H14" s="28">
        <f>VLOOKUP($A14,ConstEquipEmissFactors!$A$8:$N$24,14,FALSE)</f>
        <v>0.177375</v>
      </c>
      <c r="I14" s="140">
        <f t="shared" si="0"/>
        <v>21.284999999999997</v>
      </c>
      <c r="J14" s="141">
        <f t="shared" si="1"/>
        <v>7.095000000000001</v>
      </c>
      <c r="K14" s="141">
        <f t="shared" si="2"/>
        <v>54.394999999999996</v>
      </c>
      <c r="L14" s="141">
        <f t="shared" si="3"/>
        <v>4.73</v>
      </c>
      <c r="M14" s="142">
        <f t="shared" si="4"/>
        <v>3.5475000000000003</v>
      </c>
    </row>
    <row r="15" spans="1:13" ht="12.75">
      <c r="A15" s="38" t="s">
        <v>45</v>
      </c>
      <c r="B15" s="41">
        <v>1</v>
      </c>
      <c r="C15" s="45">
        <v>10</v>
      </c>
      <c r="D15" s="27">
        <f>VLOOKUP($A15,ConstEquipEmissFactors!$A$8:$N$24,10,FALSE)</f>
        <v>1.0062</v>
      </c>
      <c r="E15" s="18">
        <f>VLOOKUP($A15,ConstEquipEmissFactors!$A$8:$N$24,11,FALSE)</f>
        <v>0.33540000000000003</v>
      </c>
      <c r="F15" s="18">
        <f>VLOOKUP($A15,ConstEquipEmissFactors!$A$8:$N$24,12,FALSE)</f>
        <v>2.5713999999999997</v>
      </c>
      <c r="G15" s="18">
        <f>VLOOKUP($A15,ConstEquipEmissFactors!$A$8:$N$24,13,FALSE)</f>
        <v>0.2236</v>
      </c>
      <c r="H15" s="28">
        <f>VLOOKUP($A15,ConstEquipEmissFactors!$A$8:$N$24,14,FALSE)</f>
        <v>0.16770000000000002</v>
      </c>
      <c r="I15" s="140">
        <f t="shared" si="0"/>
        <v>10.062</v>
      </c>
      <c r="J15" s="141">
        <f t="shared" si="1"/>
        <v>3.354</v>
      </c>
      <c r="K15" s="141">
        <f>F15*$C15*$B15</f>
        <v>25.714</v>
      </c>
      <c r="L15" s="141">
        <f>G15*$C15*$B15</f>
        <v>2.2359999999999998</v>
      </c>
      <c r="M15" s="142">
        <f t="shared" si="4"/>
        <v>1.677</v>
      </c>
    </row>
    <row r="16" spans="1:13" ht="12.75">
      <c r="A16" s="38" t="s">
        <v>68</v>
      </c>
      <c r="B16" s="41">
        <v>0</v>
      </c>
      <c r="C16" s="45">
        <v>0</v>
      </c>
      <c r="D16" s="27">
        <f>VLOOKUP($A16,ConstEquipEmissFactors!$A$8:$N$24,10,FALSE)</f>
        <v>4.5</v>
      </c>
      <c r="E16" s="18">
        <f>VLOOKUP($A16,ConstEquipEmissFactors!$A$8:$N$24,11,FALSE)</f>
        <v>0.675</v>
      </c>
      <c r="F16" s="18">
        <f>VLOOKUP($A16,ConstEquipEmissFactors!$A$8:$N$24,12,FALSE)</f>
        <v>5.4</v>
      </c>
      <c r="G16" s="18">
        <f>VLOOKUP($A16,ConstEquipEmissFactors!$A$8:$N$24,13,FALSE)</f>
        <v>0.44999999999999996</v>
      </c>
      <c r="H16" s="28">
        <f>VLOOKUP($A16,ConstEquipEmissFactors!$A$8:$N$24,14,FALSE)</f>
        <v>0.3375</v>
      </c>
      <c r="I16" s="140">
        <f t="shared" si="0"/>
        <v>0</v>
      </c>
      <c r="J16" s="141">
        <f t="shared" si="1"/>
        <v>0</v>
      </c>
      <c r="K16" s="141">
        <f t="shared" si="2"/>
        <v>0</v>
      </c>
      <c r="L16" s="141">
        <f t="shared" si="3"/>
        <v>0</v>
      </c>
      <c r="M16" s="142">
        <f t="shared" si="4"/>
        <v>0</v>
      </c>
    </row>
    <row r="17" spans="1:13" ht="12.75">
      <c r="A17" s="38" t="s">
        <v>49</v>
      </c>
      <c r="B17" s="41">
        <v>0</v>
      </c>
      <c r="C17" s="45">
        <v>0</v>
      </c>
      <c r="D17" s="25">
        <f>VLOOKUP($A17,ConstEquipEmissFactors!$A$8:$N$24,10,FALSE)</f>
        <v>0.6270000000000001</v>
      </c>
      <c r="E17" s="17">
        <f>VLOOKUP($A17,ConstEquipEmissFactors!$A$8:$N$24,11,FALSE)</f>
        <v>0.20900000000000002</v>
      </c>
      <c r="F17" s="17">
        <f>VLOOKUP($A17,ConstEquipEmissFactors!$A$8:$N$24,12,FALSE)</f>
        <v>2.1945</v>
      </c>
      <c r="G17" s="17">
        <f>VLOOKUP($A17,ConstEquipEmissFactors!$A$8:$N$24,13,FALSE)</f>
        <v>0.20900000000000002</v>
      </c>
      <c r="H17" s="26">
        <f>VLOOKUP($A17,ConstEquipEmissFactors!$A$8:$N$24,14,FALSE)</f>
        <v>0.15675000000000003</v>
      </c>
      <c r="I17" s="140">
        <f t="shared" si="0"/>
        <v>0</v>
      </c>
      <c r="J17" s="141">
        <f t="shared" si="1"/>
        <v>0</v>
      </c>
      <c r="K17" s="141">
        <f t="shared" si="2"/>
        <v>0</v>
      </c>
      <c r="L17" s="141">
        <f t="shared" si="3"/>
        <v>0</v>
      </c>
      <c r="M17" s="142">
        <f t="shared" si="4"/>
        <v>0</v>
      </c>
    </row>
    <row r="18" spans="1:13" ht="12.75">
      <c r="A18" s="38" t="s">
        <v>32</v>
      </c>
      <c r="B18" s="41">
        <v>0</v>
      </c>
      <c r="C18" s="45">
        <v>0</v>
      </c>
      <c r="D18" s="25">
        <f>VLOOKUP($A18,ConstEquipEmissFactors!$A$8:$N$24,10,FALSE)</f>
        <v>1.595</v>
      </c>
      <c r="E18" s="17">
        <f>VLOOKUP($A18,ConstEquipEmissFactors!$A$8:$N$24,11,FALSE)</f>
        <v>0.145</v>
      </c>
      <c r="F18" s="17">
        <f>VLOOKUP($A18,ConstEquipEmissFactors!$A$8:$N$24,12,FALSE)</f>
        <v>3.4799999999999995</v>
      </c>
      <c r="G18" s="17">
        <f>VLOOKUP($A18,ConstEquipEmissFactors!$A$8:$N$24,13,FALSE)</f>
        <v>0.29</v>
      </c>
      <c r="H18" s="26">
        <f>VLOOKUP($A18,ConstEquipEmissFactors!$A$8:$N$24,14,FALSE)</f>
        <v>0.21749999999999997</v>
      </c>
      <c r="I18" s="140">
        <f t="shared" si="0"/>
        <v>0</v>
      </c>
      <c r="J18" s="141">
        <f t="shared" si="1"/>
        <v>0</v>
      </c>
      <c r="K18" s="141">
        <f t="shared" si="2"/>
        <v>0</v>
      </c>
      <c r="L18" s="141">
        <f t="shared" si="3"/>
        <v>0</v>
      </c>
      <c r="M18" s="142">
        <f t="shared" si="4"/>
        <v>0</v>
      </c>
    </row>
    <row r="19" spans="1:13" ht="12.75">
      <c r="A19" s="38" t="s">
        <v>39</v>
      </c>
      <c r="B19" s="41">
        <v>2</v>
      </c>
      <c r="C19" s="45">
        <v>20</v>
      </c>
      <c r="D19" s="25">
        <f>VLOOKUP($A19,ConstEquipEmissFactors!$A$8:$N$24,10,FALSE)</f>
        <v>0.3081</v>
      </c>
      <c r="E19" s="17">
        <f>VLOOKUP($A19,ConstEquipEmissFactors!$A$8:$N$24,11,FALSE)</f>
        <v>0.0711</v>
      </c>
      <c r="F19" s="17">
        <f>VLOOKUP($A19,ConstEquipEmissFactors!$A$8:$N$24,12,FALSE)</f>
        <v>0.7346999999999999</v>
      </c>
      <c r="G19" s="17">
        <f>VLOOKUP($A19,ConstEquipEmissFactors!$A$8:$N$24,13,FALSE)</f>
        <v>0.0474</v>
      </c>
      <c r="H19" s="26">
        <f>VLOOKUP($A19,ConstEquipEmissFactors!$A$8:$N$24,14,FALSE)</f>
        <v>0.03555</v>
      </c>
      <c r="I19" s="140">
        <f t="shared" si="0"/>
        <v>12.324</v>
      </c>
      <c r="J19" s="141">
        <f t="shared" si="1"/>
        <v>2.844</v>
      </c>
      <c r="K19" s="141">
        <f t="shared" si="2"/>
        <v>29.387999999999998</v>
      </c>
      <c r="L19" s="141">
        <f t="shared" si="3"/>
        <v>1.896</v>
      </c>
      <c r="M19" s="142">
        <f t="shared" si="4"/>
        <v>1.422</v>
      </c>
    </row>
    <row r="20" spans="1:13" ht="12.75">
      <c r="A20" s="38" t="s">
        <v>17</v>
      </c>
      <c r="B20" s="41">
        <v>0</v>
      </c>
      <c r="C20" s="45">
        <v>0</v>
      </c>
      <c r="D20" s="25">
        <f>VLOOKUP($A20,ConstEquipEmissFactors!$A$8:$N$24,10,FALSE)</f>
        <v>1.46475</v>
      </c>
      <c r="E20" s="17">
        <f>VLOOKUP($A20,ConstEquipEmissFactors!$A$8:$N$24,11,FALSE)</f>
        <v>0.29295000000000004</v>
      </c>
      <c r="F20" s="17">
        <f>VLOOKUP($A20,ConstEquipEmissFactors!$A$8:$N$24,12,FALSE)</f>
        <v>2.1483000000000003</v>
      </c>
      <c r="G20" s="17">
        <f>VLOOKUP($A20,ConstEquipEmissFactors!$A$8:$N$24,13,FALSE)</f>
        <v>0.1953</v>
      </c>
      <c r="H20" s="26">
        <f>VLOOKUP($A20,ConstEquipEmissFactors!$A$8:$N$24,14,FALSE)</f>
        <v>0.09765</v>
      </c>
      <c r="I20" s="140">
        <f t="shared" si="0"/>
        <v>0</v>
      </c>
      <c r="J20" s="141">
        <f t="shared" si="1"/>
        <v>0</v>
      </c>
      <c r="K20" s="141">
        <f t="shared" si="2"/>
        <v>0</v>
      </c>
      <c r="L20" s="141">
        <f t="shared" si="3"/>
        <v>0</v>
      </c>
      <c r="M20" s="142">
        <f t="shared" si="4"/>
        <v>0</v>
      </c>
    </row>
    <row r="21" spans="1:13" ht="12.75">
      <c r="A21" s="39" t="s">
        <v>126</v>
      </c>
      <c r="B21" s="41">
        <v>2</v>
      </c>
      <c r="C21" s="45">
        <v>20</v>
      </c>
      <c r="D21" s="25">
        <f>VLOOKUP($A21,ConstEquipEmissFactors!$A$8:$N$24,10,FALSE)</f>
        <v>0.6919</v>
      </c>
      <c r="E21" s="17">
        <f>VLOOKUP($A21,ConstEquipEmissFactors!$A$8:$N$24,11,FALSE)</f>
        <v>0.1258</v>
      </c>
      <c r="F21" s="17">
        <f>VLOOKUP($A21,ConstEquipEmissFactors!$A$8:$N$24,12,FALSE)</f>
        <v>1.1321999999999999</v>
      </c>
      <c r="G21" s="17">
        <f>VLOOKUP($A21,ConstEquipEmissFactors!$A$8:$N$24,13,FALSE)</f>
        <v>0.1258</v>
      </c>
      <c r="H21" s="26">
        <f>VLOOKUP($A21,ConstEquipEmissFactors!$A$8:$N$24,14,FALSE)</f>
        <v>0.0629</v>
      </c>
      <c r="I21" s="140">
        <f>D21*$C21*$B21</f>
        <v>27.676</v>
      </c>
      <c r="J21" s="141">
        <f>E21*$C21*$B21</f>
        <v>5.032</v>
      </c>
      <c r="K21" s="141">
        <f>F21*$C21*$B21</f>
        <v>45.288</v>
      </c>
      <c r="L21" s="141">
        <f>G21*$C21*$B21</f>
        <v>5.032</v>
      </c>
      <c r="M21" s="142">
        <f>H21*$C21*$B21</f>
        <v>2.516</v>
      </c>
    </row>
    <row r="22" spans="1:13" ht="12.75">
      <c r="A22" s="39" t="s">
        <v>46</v>
      </c>
      <c r="B22" s="41">
        <v>4</v>
      </c>
      <c r="C22" s="45">
        <v>10</v>
      </c>
      <c r="D22" s="25">
        <f>VLOOKUP($A22,ConstEquipEmissFactors!$A$8:$N$24,10,FALSE)</f>
        <v>0.11725999999999999</v>
      </c>
      <c r="E22" s="17">
        <f>VLOOKUP($A22,ConstEquipEmissFactors!$A$8:$N$24,11,FALSE)</f>
        <v>0.021320000000000002</v>
      </c>
      <c r="F22" s="17">
        <f>VLOOKUP($A22,ConstEquipEmissFactors!$A$8:$N$24,12,FALSE)</f>
        <v>0.19187999999999997</v>
      </c>
      <c r="G22" s="17">
        <f>VLOOKUP($A22,ConstEquipEmissFactors!$A$8:$N$24,13,FALSE)</f>
        <v>0.021320000000000002</v>
      </c>
      <c r="H22" s="26">
        <f>VLOOKUP($A22,ConstEquipEmissFactors!$A$8:$N$24,14,FALSE)</f>
        <v>0.010660000000000001</v>
      </c>
      <c r="I22" s="140">
        <f t="shared" si="0"/>
        <v>4.6903999999999995</v>
      </c>
      <c r="J22" s="141">
        <f t="shared" si="1"/>
        <v>0.8528000000000001</v>
      </c>
      <c r="K22" s="141">
        <f t="shared" si="2"/>
        <v>7.6751999999999985</v>
      </c>
      <c r="L22" s="141">
        <f t="shared" si="3"/>
        <v>0.8528000000000001</v>
      </c>
      <c r="M22" s="142">
        <f t="shared" si="4"/>
        <v>0.42640000000000006</v>
      </c>
    </row>
    <row r="23" spans="1:13" ht="12.75">
      <c r="A23" s="39" t="s">
        <v>38</v>
      </c>
      <c r="B23" s="41">
        <v>1</v>
      </c>
      <c r="C23" s="45">
        <v>20</v>
      </c>
      <c r="D23" s="37">
        <f>VLOOKUP($A23,ConstEquipEmissFactors!$A$8:$N$24,10,FALSE)</f>
        <v>0.820625</v>
      </c>
      <c r="E23" s="35">
        <f>VLOOKUP($A23,ConstEquipEmissFactors!$A$8:$N$24,11,FALSE)</f>
        <v>0.18937500000000002</v>
      </c>
      <c r="F23" s="35">
        <f>VLOOKUP($A23,ConstEquipEmissFactors!$A$8:$N$24,12,FALSE)</f>
        <v>1.956875</v>
      </c>
      <c r="G23" s="35">
        <f>VLOOKUP($A23,ConstEquipEmissFactors!$A$8:$N$24,13,FALSE)</f>
        <v>0.12625</v>
      </c>
      <c r="H23" s="36">
        <f>VLOOKUP($A23,ConstEquipEmissFactors!$A$8:$N$24,14,FALSE)</f>
        <v>0.09468750000000001</v>
      </c>
      <c r="I23" s="140">
        <f t="shared" si="0"/>
        <v>16.4125</v>
      </c>
      <c r="J23" s="141">
        <f t="shared" si="1"/>
        <v>3.7875000000000005</v>
      </c>
      <c r="K23" s="141">
        <f t="shared" si="2"/>
        <v>39.137499999999996</v>
      </c>
      <c r="L23" s="141">
        <f t="shared" si="3"/>
        <v>2.525</v>
      </c>
      <c r="M23" s="142">
        <f t="shared" si="4"/>
        <v>1.8937500000000003</v>
      </c>
    </row>
    <row r="24" spans="1:13" ht="12.75" customHeight="1" thickBot="1">
      <c r="A24" s="39" t="s">
        <v>47</v>
      </c>
      <c r="B24" s="42">
        <v>5</v>
      </c>
      <c r="C24" s="46">
        <v>20</v>
      </c>
      <c r="D24" s="37">
        <f>VLOOKUP($A24,ConstEquipEmissFactors!$A$8:$N$24,10,FALSE)</f>
        <v>0.24254999999999996</v>
      </c>
      <c r="E24" s="35">
        <f>VLOOKUP($A24,ConstEquipEmissFactors!$A$8:$N$24,11,FALSE)</f>
        <v>0.0441</v>
      </c>
      <c r="F24" s="35">
        <f>VLOOKUP($A24,ConstEquipEmissFactors!$A$8:$N$24,12,FALSE)</f>
        <v>0.3969</v>
      </c>
      <c r="G24" s="35">
        <f>VLOOKUP($A24,ConstEquipEmissFactors!$A$8:$N$24,13,FALSE)</f>
        <v>0.0441</v>
      </c>
      <c r="H24" s="36">
        <f>VLOOKUP($A24,ConstEquipEmissFactors!$A$8:$N$24,14,FALSE)</f>
        <v>0.02205</v>
      </c>
      <c r="I24" s="143">
        <f t="shared" si="0"/>
        <v>24.254999999999995</v>
      </c>
      <c r="J24" s="144">
        <f t="shared" si="1"/>
        <v>4.41</v>
      </c>
      <c r="K24" s="144">
        <f t="shared" si="2"/>
        <v>39.69</v>
      </c>
      <c r="L24" s="144">
        <f t="shared" si="3"/>
        <v>4.41</v>
      </c>
      <c r="M24" s="145">
        <f t="shared" si="4"/>
        <v>2.205</v>
      </c>
    </row>
    <row r="25" spans="1:13" ht="13.5" thickBot="1">
      <c r="A25" s="164" t="s">
        <v>48</v>
      </c>
      <c r="B25" s="135"/>
      <c r="C25" s="136"/>
      <c r="D25" s="137"/>
      <c r="E25" s="138"/>
      <c r="F25" s="138"/>
      <c r="G25" s="138"/>
      <c r="H25" s="139"/>
      <c r="I25" s="146">
        <f>SUM(I8:I24)</f>
        <v>132.95889999999997</v>
      </c>
      <c r="J25" s="147">
        <f>SUM(J8:J24)</f>
        <v>32.7933</v>
      </c>
      <c r="K25" s="148">
        <f>SUM(K8:K24)</f>
        <v>282.8257</v>
      </c>
      <c r="L25" s="147">
        <f>SUM(L8:L24)</f>
        <v>25.293799999999997</v>
      </c>
      <c r="M25" s="149">
        <f>SUM(M8:M24)</f>
        <v>16.39665</v>
      </c>
    </row>
    <row r="26" spans="9:13" ht="12.75">
      <c r="I26" s="6"/>
      <c r="J26" s="6"/>
      <c r="K26" s="6"/>
      <c r="L26" s="6"/>
      <c r="M26" s="6"/>
    </row>
    <row r="27" spans="1:13" ht="12.75">
      <c r="A27" s="84" t="s">
        <v>143</v>
      </c>
      <c r="M27" s="9"/>
    </row>
    <row r="28" ht="12.75">
      <c r="A28" s="1"/>
    </row>
    <row r="29" ht="12.75">
      <c r="A29" s="85" t="s">
        <v>109</v>
      </c>
    </row>
    <row r="30" ht="12.75">
      <c r="A30" s="85" t="s">
        <v>110</v>
      </c>
    </row>
    <row r="40" spans="1:13" ht="12.75">
      <c r="A40" s="202"/>
      <c r="B40" s="4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</sheetData>
  <sheetProtection/>
  <mergeCells count="5">
    <mergeCell ref="A3:M3"/>
    <mergeCell ref="A2:M2"/>
    <mergeCell ref="I6:M6"/>
    <mergeCell ref="A4:M4"/>
    <mergeCell ref="A6:A7"/>
  </mergeCells>
  <conditionalFormatting sqref="L26:M26 I26">
    <cfRule type="cellIs" priority="1" dxfId="0" operator="greaterThanOrEqual" stopIfTrue="1">
      <formula>#REF!</formula>
    </cfRule>
  </conditionalFormatting>
  <conditionalFormatting sqref="K26">
    <cfRule type="cellIs" priority="2" dxfId="0" operator="greaterThanOrEqual" stopIfTrue="1">
      <formula>#REF!</formula>
    </cfRule>
  </conditionalFormatting>
  <conditionalFormatting sqref="J26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4" r:id="rId1"/>
  <headerFooter alignWithMargins="0">
    <oddHeader>&amp;C&amp;"Arial,Bold"&amp;12
&amp;RExxonMobil Rule 1105.1 Compliance Project</oddHeader>
    <oddFooter>&amp;LFinal EIR&amp;CB-3&amp;RMarch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41"/>
  <sheetViews>
    <sheetView view="pageBreakPreview" zoomScale="60" zoomScalePageLayoutView="0" workbookViewId="0" topLeftCell="A1">
      <selection activeCell="J28" sqref="J28"/>
    </sheetView>
  </sheetViews>
  <sheetFormatPr defaultColWidth="9.140625" defaultRowHeight="12.75"/>
  <cols>
    <col min="1" max="1" width="32.140625" style="0" customWidth="1"/>
    <col min="2" max="2" width="9.7109375" style="14" customWidth="1"/>
    <col min="6" max="6" width="9.00390625" style="0" customWidth="1"/>
  </cols>
  <sheetData>
    <row r="1" spans="1:13" ht="12.75">
      <c r="A1" s="202"/>
      <c r="B1" s="4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5">
      <c r="A2" s="216" t="s">
        <v>176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">
      <c r="A3" s="215" t="s">
        <v>174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.75" customHeight="1">
      <c r="A4" s="215" t="s">
        <v>55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ht="13.5" thickBot="1"/>
    <row r="6" spans="1:13" ht="15">
      <c r="A6" s="209" t="s">
        <v>13</v>
      </c>
      <c r="B6" s="40"/>
      <c r="C6" s="43" t="s">
        <v>14</v>
      </c>
      <c r="D6" s="34"/>
      <c r="E6" s="22" t="s">
        <v>107</v>
      </c>
      <c r="F6" s="22"/>
      <c r="G6" s="103"/>
      <c r="H6" s="104"/>
      <c r="I6" s="212" t="s">
        <v>108</v>
      </c>
      <c r="J6" s="213"/>
      <c r="K6" s="213"/>
      <c r="L6" s="213"/>
      <c r="M6" s="214"/>
    </row>
    <row r="7" spans="1:13" ht="13.5" thickBot="1">
      <c r="A7" s="210"/>
      <c r="B7" s="105" t="s">
        <v>106</v>
      </c>
      <c r="C7" s="44" t="s">
        <v>15</v>
      </c>
      <c r="D7" s="24" t="s">
        <v>0</v>
      </c>
      <c r="E7" s="10" t="s">
        <v>1</v>
      </c>
      <c r="F7" s="10" t="s">
        <v>2</v>
      </c>
      <c r="G7" s="10" t="s">
        <v>4</v>
      </c>
      <c r="H7" s="29" t="s">
        <v>3</v>
      </c>
      <c r="I7" s="24" t="s">
        <v>0</v>
      </c>
      <c r="J7" s="10" t="s">
        <v>1</v>
      </c>
      <c r="K7" s="10" t="s">
        <v>2</v>
      </c>
      <c r="L7" s="10" t="s">
        <v>4</v>
      </c>
      <c r="M7" s="23" t="s">
        <v>3</v>
      </c>
    </row>
    <row r="8" spans="1:13" ht="13.5" thickTop="1">
      <c r="A8" s="38" t="s">
        <v>16</v>
      </c>
      <c r="B8" s="41">
        <v>0</v>
      </c>
      <c r="C8" s="45">
        <v>0</v>
      </c>
      <c r="D8" s="27">
        <f>VLOOKUP($A8,ConstEquipEmissFactors!$A$8:$N$24,10,FALSE)</f>
        <v>0.5231250000000001</v>
      </c>
      <c r="E8" s="18">
        <f>VLOOKUP($A8,ConstEquipEmissFactors!$A$8:$N$24,11,FALSE)</f>
        <v>0.10462500000000001</v>
      </c>
      <c r="F8" s="18">
        <f>VLOOKUP($A8,ConstEquipEmissFactors!$A$8:$N$24,12,FALSE)</f>
        <v>0.76725</v>
      </c>
      <c r="G8" s="18">
        <f>VLOOKUP($A8,ConstEquipEmissFactors!$A$8:$N$24,13,FALSE)</f>
        <v>0.06975</v>
      </c>
      <c r="H8" s="28">
        <f>VLOOKUP($A8,ConstEquipEmissFactors!$A$8:$N$24,14,FALSE)</f>
        <v>0.034875</v>
      </c>
      <c r="I8" s="140">
        <f aca="true" t="shared" si="0" ref="I8:I24">D8*$C8*$B8</f>
        <v>0</v>
      </c>
      <c r="J8" s="141">
        <f aca="true" t="shared" si="1" ref="J8:J24">E8*$C8*$B8</f>
        <v>0</v>
      </c>
      <c r="K8" s="141">
        <f aca="true" t="shared" si="2" ref="K8:K24">F8*$C8*$B8</f>
        <v>0</v>
      </c>
      <c r="L8" s="141">
        <f aca="true" t="shared" si="3" ref="L8:L24">G8*$C8*$B8</f>
        <v>0</v>
      </c>
      <c r="M8" s="142">
        <f aca="true" t="shared" si="4" ref="M8:M24">H8*$C8*$B8</f>
        <v>0</v>
      </c>
    </row>
    <row r="9" spans="1:13" ht="12.75">
      <c r="A9" s="38" t="s">
        <v>36</v>
      </c>
      <c r="B9" s="41">
        <v>0</v>
      </c>
      <c r="C9" s="45">
        <v>0</v>
      </c>
      <c r="D9" s="27">
        <f>VLOOKUP($A9,ConstEquipEmissFactors!$A$8:$N$24,10,FALSE)</f>
        <v>0.25871999999999995</v>
      </c>
      <c r="E9" s="18">
        <f>VLOOKUP($A9,ConstEquipEmissFactors!$A$8:$N$24,11,FALSE)</f>
        <v>0.04704</v>
      </c>
      <c r="F9" s="18">
        <f>VLOOKUP($A9,ConstEquipEmissFactors!$A$8:$N$24,12,FALSE)</f>
        <v>0.42335999999999996</v>
      </c>
      <c r="G9" s="18">
        <f>VLOOKUP($A9,ConstEquipEmissFactors!$A$8:$N$24,13,FALSE)</f>
        <v>0.04704</v>
      </c>
      <c r="H9" s="28">
        <f>VLOOKUP($A9,ConstEquipEmissFactors!$A$8:$N$24,14,FALSE)</f>
        <v>0.02352</v>
      </c>
      <c r="I9" s="140">
        <f t="shared" si="0"/>
        <v>0</v>
      </c>
      <c r="J9" s="141">
        <f t="shared" si="1"/>
        <v>0</v>
      </c>
      <c r="K9" s="141">
        <f t="shared" si="2"/>
        <v>0</v>
      </c>
      <c r="L9" s="141">
        <f t="shared" si="3"/>
        <v>0</v>
      </c>
      <c r="M9" s="142">
        <f t="shared" si="4"/>
        <v>0</v>
      </c>
    </row>
    <row r="10" spans="1:13" ht="12.75">
      <c r="A10" s="38" t="s">
        <v>35</v>
      </c>
      <c r="B10" s="41">
        <v>0</v>
      </c>
      <c r="C10" s="45">
        <v>0</v>
      </c>
      <c r="D10" s="27">
        <f>VLOOKUP($A10,ConstEquipEmissFactors!$A$8:$N$24,10,FALSE)</f>
        <v>0.9690000000000001</v>
      </c>
      <c r="E10" s="18">
        <f>VLOOKUP($A10,ConstEquipEmissFactors!$A$8:$N$24,11,FALSE)</f>
        <v>0.323</v>
      </c>
      <c r="F10" s="18">
        <f>VLOOKUP($A10,ConstEquipEmissFactors!$A$8:$N$24,12,FALSE)</f>
        <v>3.3915</v>
      </c>
      <c r="G10" s="18">
        <f>VLOOKUP($A10,ConstEquipEmissFactors!$A$8:$N$24,13,FALSE)</f>
        <v>0.323</v>
      </c>
      <c r="H10" s="28">
        <f>VLOOKUP($A10,ConstEquipEmissFactors!$A$8:$N$24,14,FALSE)</f>
        <v>0.24225000000000002</v>
      </c>
      <c r="I10" s="140">
        <f t="shared" si="0"/>
        <v>0</v>
      </c>
      <c r="J10" s="141">
        <f t="shared" si="1"/>
        <v>0</v>
      </c>
      <c r="K10" s="141">
        <f t="shared" si="2"/>
        <v>0</v>
      </c>
      <c r="L10" s="141">
        <f t="shared" si="3"/>
        <v>0</v>
      </c>
      <c r="M10" s="142">
        <f t="shared" si="4"/>
        <v>0</v>
      </c>
    </row>
    <row r="11" spans="1:13" ht="12.75">
      <c r="A11" s="38" t="s">
        <v>37</v>
      </c>
      <c r="B11" s="41">
        <v>0</v>
      </c>
      <c r="C11" s="45">
        <v>0</v>
      </c>
      <c r="D11" s="27">
        <f>VLOOKUP($A11,ConstEquipEmissFactors!$A$8:$N$24,10,FALSE)</f>
        <v>0.1898</v>
      </c>
      <c r="E11" s="18">
        <f>VLOOKUP($A11,ConstEquipEmissFactors!$A$8:$N$24,11,FALSE)</f>
        <v>0.22776</v>
      </c>
      <c r="F11" s="18">
        <f>VLOOKUP($A11,ConstEquipEmissFactors!$A$8:$N$24,12,FALSE)</f>
        <v>0.01898</v>
      </c>
      <c r="G11" s="18">
        <f>VLOOKUP($A11,ConstEquipEmissFactors!$A$8:$N$24,13,FALSE)</f>
        <v>0.02847</v>
      </c>
      <c r="H11" s="28">
        <f>VLOOKUP($A11,ConstEquipEmissFactors!$A$8:$N$24,14,FALSE)</f>
        <v>0.00949</v>
      </c>
      <c r="I11" s="140">
        <f t="shared" si="0"/>
        <v>0</v>
      </c>
      <c r="J11" s="141">
        <f t="shared" si="1"/>
        <v>0</v>
      </c>
      <c r="K11" s="141">
        <f t="shared" si="2"/>
        <v>0</v>
      </c>
      <c r="L11" s="141">
        <f t="shared" si="3"/>
        <v>0</v>
      </c>
      <c r="M11" s="142">
        <f t="shared" si="4"/>
        <v>0</v>
      </c>
    </row>
    <row r="12" spans="1:13" ht="12.75">
      <c r="A12" s="38" t="s">
        <v>129</v>
      </c>
      <c r="B12" s="41">
        <v>1</v>
      </c>
      <c r="C12" s="45">
        <v>10</v>
      </c>
      <c r="D12" s="27">
        <f>VLOOKUP($A12,ConstEquipEmissFactors!$A$8:$N$24,10,FALSE)</f>
        <v>0.8127</v>
      </c>
      <c r="E12" s="18">
        <f>VLOOKUP($A12,ConstEquipEmissFactors!$A$8:$N$24,11,FALSE)</f>
        <v>0.2709</v>
      </c>
      <c r="F12" s="18">
        <f>VLOOKUP($A12,ConstEquipEmissFactors!$A$8:$N$24,12,FALSE)</f>
        <v>2.0769</v>
      </c>
      <c r="G12" s="18">
        <f>VLOOKUP($A12,ConstEquipEmissFactors!$A$8:$N$24,13,FALSE)</f>
        <v>0.18059999999999998</v>
      </c>
      <c r="H12" s="28">
        <f>VLOOKUP($A12,ConstEquipEmissFactors!$A$8:$N$24,14,FALSE)</f>
        <v>0.13545</v>
      </c>
      <c r="I12" s="140">
        <f t="shared" si="0"/>
        <v>8.126999999999999</v>
      </c>
      <c r="J12" s="141">
        <f t="shared" si="1"/>
        <v>2.7089999999999996</v>
      </c>
      <c r="K12" s="141">
        <f>F12*$C12*$B12</f>
        <v>20.769000000000002</v>
      </c>
      <c r="L12" s="141">
        <f t="shared" si="3"/>
        <v>1.8059999999999998</v>
      </c>
      <c r="M12" s="142">
        <f t="shared" si="4"/>
        <v>1.3544999999999998</v>
      </c>
    </row>
    <row r="13" spans="1:13" ht="12.75">
      <c r="A13" s="38" t="s">
        <v>67</v>
      </c>
      <c r="B13" s="41">
        <v>0</v>
      </c>
      <c r="C13" s="45">
        <v>0</v>
      </c>
      <c r="D13" s="27">
        <f>VLOOKUP($A13,ConstEquipEmissFactors!$A$8:$N$24,10,FALSE)</f>
        <v>0.9675</v>
      </c>
      <c r="E13" s="18">
        <f>VLOOKUP($A13,ConstEquipEmissFactors!$A$8:$N$24,11,FALSE)</f>
        <v>0.3225</v>
      </c>
      <c r="F13" s="18">
        <f>VLOOKUP($A13,ConstEquipEmissFactors!$A$8:$N$24,12,FALSE)</f>
        <v>2.4725</v>
      </c>
      <c r="G13" s="18">
        <f>VLOOKUP($A13,ConstEquipEmissFactors!$A$8:$N$24,13,FALSE)</f>
        <v>0.215</v>
      </c>
      <c r="H13" s="28">
        <f>VLOOKUP($A13,ConstEquipEmissFactors!$A$8:$N$24,14,FALSE)</f>
        <v>0.16125</v>
      </c>
      <c r="I13" s="140">
        <f t="shared" si="0"/>
        <v>0</v>
      </c>
      <c r="J13" s="141">
        <f t="shared" si="1"/>
        <v>0</v>
      </c>
      <c r="K13" s="141">
        <f t="shared" si="2"/>
        <v>0</v>
      </c>
      <c r="L13" s="141">
        <f t="shared" si="3"/>
        <v>0</v>
      </c>
      <c r="M13" s="142">
        <f t="shared" si="4"/>
        <v>0</v>
      </c>
    </row>
    <row r="14" spans="1:13" ht="12.75">
      <c r="A14" s="38" t="s">
        <v>44</v>
      </c>
      <c r="B14" s="41">
        <v>0</v>
      </c>
      <c r="C14" s="45">
        <v>0</v>
      </c>
      <c r="D14" s="27">
        <f>VLOOKUP($A14,ConstEquipEmissFactors!$A$8:$N$24,10,FALSE)</f>
        <v>1.06425</v>
      </c>
      <c r="E14" s="18">
        <f>VLOOKUP($A14,ConstEquipEmissFactors!$A$8:$N$24,11,FALSE)</f>
        <v>0.35475</v>
      </c>
      <c r="F14" s="18">
        <f>VLOOKUP($A14,ConstEquipEmissFactors!$A$8:$N$24,12,FALSE)</f>
        <v>2.71975</v>
      </c>
      <c r="G14" s="18">
        <f>VLOOKUP($A14,ConstEquipEmissFactors!$A$8:$N$24,13,FALSE)</f>
        <v>0.23650000000000002</v>
      </c>
      <c r="H14" s="28">
        <f>VLOOKUP($A14,ConstEquipEmissFactors!$A$8:$N$24,14,FALSE)</f>
        <v>0.177375</v>
      </c>
      <c r="I14" s="140">
        <f t="shared" si="0"/>
        <v>0</v>
      </c>
      <c r="J14" s="141">
        <f t="shared" si="1"/>
        <v>0</v>
      </c>
      <c r="K14" s="141">
        <f t="shared" si="2"/>
        <v>0</v>
      </c>
      <c r="L14" s="141">
        <f t="shared" si="3"/>
        <v>0</v>
      </c>
      <c r="M14" s="142">
        <f t="shared" si="4"/>
        <v>0</v>
      </c>
    </row>
    <row r="15" spans="1:13" ht="12.75">
      <c r="A15" s="38" t="s">
        <v>45</v>
      </c>
      <c r="B15" s="41">
        <v>0</v>
      </c>
      <c r="C15" s="45">
        <v>0</v>
      </c>
      <c r="D15" s="27">
        <f>VLOOKUP($A15,ConstEquipEmissFactors!$A$8:$N$24,10,FALSE)</f>
        <v>1.0062</v>
      </c>
      <c r="E15" s="18">
        <f>VLOOKUP($A15,ConstEquipEmissFactors!$A$8:$N$24,11,FALSE)</f>
        <v>0.33540000000000003</v>
      </c>
      <c r="F15" s="18">
        <f>VLOOKUP($A15,ConstEquipEmissFactors!$A$8:$N$24,12,FALSE)</f>
        <v>2.5713999999999997</v>
      </c>
      <c r="G15" s="18">
        <f>VLOOKUP($A15,ConstEquipEmissFactors!$A$8:$N$24,13,FALSE)</f>
        <v>0.2236</v>
      </c>
      <c r="H15" s="28">
        <f>VLOOKUP($A15,ConstEquipEmissFactors!$A$8:$N$24,14,FALSE)</f>
        <v>0.16770000000000002</v>
      </c>
      <c r="I15" s="140">
        <f t="shared" si="0"/>
        <v>0</v>
      </c>
      <c r="J15" s="141">
        <f t="shared" si="1"/>
        <v>0</v>
      </c>
      <c r="K15" s="141">
        <f t="shared" si="2"/>
        <v>0</v>
      </c>
      <c r="L15" s="141">
        <f t="shared" si="3"/>
        <v>0</v>
      </c>
      <c r="M15" s="142">
        <f t="shared" si="4"/>
        <v>0</v>
      </c>
    </row>
    <row r="16" spans="1:13" ht="12.75">
      <c r="A16" s="38" t="s">
        <v>68</v>
      </c>
      <c r="B16" s="41">
        <v>0</v>
      </c>
      <c r="C16" s="45">
        <v>0</v>
      </c>
      <c r="D16" s="27">
        <f>VLOOKUP($A16,ConstEquipEmissFactors!$A$8:$N$24,10,FALSE)</f>
        <v>4.5</v>
      </c>
      <c r="E16" s="18">
        <f>VLOOKUP($A16,ConstEquipEmissFactors!$A$8:$N$24,11,FALSE)</f>
        <v>0.675</v>
      </c>
      <c r="F16" s="18">
        <f>VLOOKUP($A16,ConstEquipEmissFactors!$A$8:$N$24,12,FALSE)</f>
        <v>5.4</v>
      </c>
      <c r="G16" s="18">
        <f>VLOOKUP($A16,ConstEquipEmissFactors!$A$8:$N$24,13,FALSE)</f>
        <v>0.44999999999999996</v>
      </c>
      <c r="H16" s="28">
        <f>VLOOKUP($A16,ConstEquipEmissFactors!$A$8:$N$24,14,FALSE)</f>
        <v>0.3375</v>
      </c>
      <c r="I16" s="140">
        <f t="shared" si="0"/>
        <v>0</v>
      </c>
      <c r="J16" s="141">
        <f t="shared" si="1"/>
        <v>0</v>
      </c>
      <c r="K16" s="141">
        <f t="shared" si="2"/>
        <v>0</v>
      </c>
      <c r="L16" s="141">
        <f t="shared" si="3"/>
        <v>0</v>
      </c>
      <c r="M16" s="142">
        <f t="shared" si="4"/>
        <v>0</v>
      </c>
    </row>
    <row r="17" spans="1:13" ht="12.75">
      <c r="A17" s="38" t="s">
        <v>49</v>
      </c>
      <c r="B17" s="41">
        <v>0</v>
      </c>
      <c r="C17" s="45">
        <v>0</v>
      </c>
      <c r="D17" s="25">
        <f>VLOOKUP($A17,ConstEquipEmissFactors!$A$8:$N$24,10,FALSE)</f>
        <v>0.6270000000000001</v>
      </c>
      <c r="E17" s="17">
        <f>VLOOKUP($A17,ConstEquipEmissFactors!$A$8:$N$24,11,FALSE)</f>
        <v>0.20900000000000002</v>
      </c>
      <c r="F17" s="17">
        <f>VLOOKUP($A17,ConstEquipEmissFactors!$A$8:$N$24,12,FALSE)</f>
        <v>2.1945</v>
      </c>
      <c r="G17" s="17">
        <f>VLOOKUP($A17,ConstEquipEmissFactors!$A$8:$N$24,13,FALSE)</f>
        <v>0.20900000000000002</v>
      </c>
      <c r="H17" s="26">
        <f>VLOOKUP($A17,ConstEquipEmissFactors!$A$8:$N$24,14,FALSE)</f>
        <v>0.15675000000000003</v>
      </c>
      <c r="I17" s="140">
        <f t="shared" si="0"/>
        <v>0</v>
      </c>
      <c r="J17" s="141">
        <f t="shared" si="1"/>
        <v>0</v>
      </c>
      <c r="K17" s="141">
        <f t="shared" si="2"/>
        <v>0</v>
      </c>
      <c r="L17" s="141">
        <f t="shared" si="3"/>
        <v>0</v>
      </c>
      <c r="M17" s="142">
        <f t="shared" si="4"/>
        <v>0</v>
      </c>
    </row>
    <row r="18" spans="1:13" ht="12.75">
      <c r="A18" s="38" t="s">
        <v>32</v>
      </c>
      <c r="B18" s="41">
        <v>0</v>
      </c>
      <c r="C18" s="45">
        <v>0</v>
      </c>
      <c r="D18" s="25">
        <f>VLOOKUP($A18,ConstEquipEmissFactors!$A$8:$N$24,10,FALSE)</f>
        <v>1.595</v>
      </c>
      <c r="E18" s="17">
        <f>VLOOKUP($A18,ConstEquipEmissFactors!$A$8:$N$24,11,FALSE)</f>
        <v>0.145</v>
      </c>
      <c r="F18" s="17">
        <f>VLOOKUP($A18,ConstEquipEmissFactors!$A$8:$N$24,12,FALSE)</f>
        <v>3.4799999999999995</v>
      </c>
      <c r="G18" s="17">
        <f>VLOOKUP($A18,ConstEquipEmissFactors!$A$8:$N$24,13,FALSE)</f>
        <v>0.29</v>
      </c>
      <c r="H18" s="26">
        <f>VLOOKUP($A18,ConstEquipEmissFactors!$A$8:$N$24,14,FALSE)</f>
        <v>0.21749999999999997</v>
      </c>
      <c r="I18" s="140">
        <f t="shared" si="0"/>
        <v>0</v>
      </c>
      <c r="J18" s="141">
        <f t="shared" si="1"/>
        <v>0</v>
      </c>
      <c r="K18" s="141">
        <f t="shared" si="2"/>
        <v>0</v>
      </c>
      <c r="L18" s="141">
        <f t="shared" si="3"/>
        <v>0</v>
      </c>
      <c r="M18" s="142">
        <f t="shared" si="4"/>
        <v>0</v>
      </c>
    </row>
    <row r="19" spans="1:13" ht="12.75">
      <c r="A19" s="38" t="s">
        <v>39</v>
      </c>
      <c r="B19" s="41">
        <v>2</v>
      </c>
      <c r="C19" s="45">
        <v>10</v>
      </c>
      <c r="D19" s="25">
        <f>VLOOKUP($A19,ConstEquipEmissFactors!$A$8:$N$24,10,FALSE)</f>
        <v>0.3081</v>
      </c>
      <c r="E19" s="17">
        <f>VLOOKUP($A19,ConstEquipEmissFactors!$A$8:$N$24,11,FALSE)</f>
        <v>0.0711</v>
      </c>
      <c r="F19" s="17">
        <f>VLOOKUP($A19,ConstEquipEmissFactors!$A$8:$N$24,12,FALSE)</f>
        <v>0.7346999999999999</v>
      </c>
      <c r="G19" s="17">
        <f>VLOOKUP($A19,ConstEquipEmissFactors!$A$8:$N$24,13,FALSE)</f>
        <v>0.0474</v>
      </c>
      <c r="H19" s="26">
        <f>VLOOKUP($A19,ConstEquipEmissFactors!$A$8:$N$24,14,FALSE)</f>
        <v>0.03555</v>
      </c>
      <c r="I19" s="140">
        <f t="shared" si="0"/>
        <v>6.162</v>
      </c>
      <c r="J19" s="141">
        <f t="shared" si="1"/>
        <v>1.422</v>
      </c>
      <c r="K19" s="141">
        <f t="shared" si="2"/>
        <v>14.693999999999999</v>
      </c>
      <c r="L19" s="141">
        <f t="shared" si="3"/>
        <v>0.948</v>
      </c>
      <c r="M19" s="142">
        <f t="shared" si="4"/>
        <v>0.711</v>
      </c>
    </row>
    <row r="20" spans="1:13" ht="12.75">
      <c r="A20" s="38" t="s">
        <v>17</v>
      </c>
      <c r="B20" s="41">
        <v>0</v>
      </c>
      <c r="C20" s="45">
        <v>0</v>
      </c>
      <c r="D20" s="25">
        <f>VLOOKUP($A20,ConstEquipEmissFactors!$A$8:$N$24,10,FALSE)</f>
        <v>1.46475</v>
      </c>
      <c r="E20" s="17">
        <f>VLOOKUP($A20,ConstEquipEmissFactors!$A$8:$N$24,11,FALSE)</f>
        <v>0.29295000000000004</v>
      </c>
      <c r="F20" s="17">
        <f>VLOOKUP($A20,ConstEquipEmissFactors!$A$8:$N$24,12,FALSE)</f>
        <v>2.1483000000000003</v>
      </c>
      <c r="G20" s="17">
        <f>VLOOKUP($A20,ConstEquipEmissFactors!$A$8:$N$24,13,FALSE)</f>
        <v>0.1953</v>
      </c>
      <c r="H20" s="26">
        <f>VLOOKUP($A20,ConstEquipEmissFactors!$A$8:$N$24,14,FALSE)</f>
        <v>0.09765</v>
      </c>
      <c r="I20" s="140">
        <f t="shared" si="0"/>
        <v>0</v>
      </c>
      <c r="J20" s="141">
        <f t="shared" si="1"/>
        <v>0</v>
      </c>
      <c r="K20" s="141">
        <f t="shared" si="2"/>
        <v>0</v>
      </c>
      <c r="L20" s="141">
        <f t="shared" si="3"/>
        <v>0</v>
      </c>
      <c r="M20" s="142">
        <f t="shared" si="4"/>
        <v>0</v>
      </c>
    </row>
    <row r="21" spans="1:13" ht="12.75">
      <c r="A21" s="39" t="s">
        <v>126</v>
      </c>
      <c r="B21" s="41">
        <v>0</v>
      </c>
      <c r="C21" s="45">
        <v>0</v>
      </c>
      <c r="D21" s="25">
        <f>VLOOKUP($A21,ConstEquipEmissFactors!$A$8:$N$24,10,FALSE)</f>
        <v>0.6919</v>
      </c>
      <c r="E21" s="17">
        <f>VLOOKUP($A21,ConstEquipEmissFactors!$A$8:$N$24,11,FALSE)</f>
        <v>0.1258</v>
      </c>
      <c r="F21" s="17">
        <f>VLOOKUP($A21,ConstEquipEmissFactors!$A$8:$N$24,12,FALSE)</f>
        <v>1.1321999999999999</v>
      </c>
      <c r="G21" s="17">
        <f>VLOOKUP($A21,ConstEquipEmissFactors!$A$8:$N$24,13,FALSE)</f>
        <v>0.1258</v>
      </c>
      <c r="H21" s="26">
        <f>VLOOKUP($A21,ConstEquipEmissFactors!$A$8:$N$24,14,FALSE)</f>
        <v>0.0629</v>
      </c>
      <c r="I21" s="140">
        <f>D21*$C21*$B21</f>
        <v>0</v>
      </c>
      <c r="J21" s="141">
        <f>E21*$C21*$B21</f>
        <v>0</v>
      </c>
      <c r="K21" s="141">
        <f>F21*$C21*$B21</f>
        <v>0</v>
      </c>
      <c r="L21" s="141">
        <f>G21*$C21*$B21</f>
        <v>0</v>
      </c>
      <c r="M21" s="142">
        <f>H21*$C21*$B21</f>
        <v>0</v>
      </c>
    </row>
    <row r="22" spans="1:13" ht="12.75">
      <c r="A22" s="39" t="s">
        <v>46</v>
      </c>
      <c r="B22" s="41">
        <v>2</v>
      </c>
      <c r="C22" s="45">
        <v>10</v>
      </c>
      <c r="D22" s="25">
        <f>VLOOKUP($A22,ConstEquipEmissFactors!$A$8:$N$24,10,FALSE)</f>
        <v>0.11725999999999999</v>
      </c>
      <c r="E22" s="17">
        <f>VLOOKUP($A22,ConstEquipEmissFactors!$A$8:$N$24,11,FALSE)</f>
        <v>0.021320000000000002</v>
      </c>
      <c r="F22" s="17">
        <f>VLOOKUP($A22,ConstEquipEmissFactors!$A$8:$N$24,12,FALSE)</f>
        <v>0.19187999999999997</v>
      </c>
      <c r="G22" s="17">
        <f>VLOOKUP($A22,ConstEquipEmissFactors!$A$8:$N$24,13,FALSE)</f>
        <v>0.021320000000000002</v>
      </c>
      <c r="H22" s="26">
        <f>VLOOKUP($A22,ConstEquipEmissFactors!$A$8:$N$24,14,FALSE)</f>
        <v>0.010660000000000001</v>
      </c>
      <c r="I22" s="140">
        <f t="shared" si="0"/>
        <v>2.3451999999999997</v>
      </c>
      <c r="J22" s="141">
        <f t="shared" si="1"/>
        <v>0.42640000000000006</v>
      </c>
      <c r="K22" s="141">
        <f t="shared" si="2"/>
        <v>3.8375999999999992</v>
      </c>
      <c r="L22" s="141">
        <f t="shared" si="3"/>
        <v>0.42640000000000006</v>
      </c>
      <c r="M22" s="142">
        <f t="shared" si="4"/>
        <v>0.21320000000000003</v>
      </c>
    </row>
    <row r="23" spans="1:13" ht="12.75">
      <c r="A23" s="39" t="s">
        <v>38</v>
      </c>
      <c r="B23" s="41">
        <v>1</v>
      </c>
      <c r="C23" s="45">
        <v>10</v>
      </c>
      <c r="D23" s="37">
        <f>VLOOKUP($A23,ConstEquipEmissFactors!$A$8:$N$24,10,FALSE)</f>
        <v>0.820625</v>
      </c>
      <c r="E23" s="35">
        <f>VLOOKUP($A23,ConstEquipEmissFactors!$A$8:$N$24,11,FALSE)</f>
        <v>0.18937500000000002</v>
      </c>
      <c r="F23" s="35">
        <f>VLOOKUP($A23,ConstEquipEmissFactors!$A$8:$N$24,12,FALSE)</f>
        <v>1.956875</v>
      </c>
      <c r="G23" s="35">
        <f>VLOOKUP($A23,ConstEquipEmissFactors!$A$8:$N$24,13,FALSE)</f>
        <v>0.12625</v>
      </c>
      <c r="H23" s="36">
        <f>VLOOKUP($A23,ConstEquipEmissFactors!$A$8:$N$24,14,FALSE)</f>
        <v>0.09468750000000001</v>
      </c>
      <c r="I23" s="140">
        <f t="shared" si="0"/>
        <v>8.20625</v>
      </c>
      <c r="J23" s="141">
        <f t="shared" si="1"/>
        <v>1.8937500000000003</v>
      </c>
      <c r="K23" s="141">
        <f t="shared" si="2"/>
        <v>19.568749999999998</v>
      </c>
      <c r="L23" s="141">
        <f t="shared" si="3"/>
        <v>1.2625</v>
      </c>
      <c r="M23" s="142">
        <f t="shared" si="4"/>
        <v>0.9468750000000001</v>
      </c>
    </row>
    <row r="24" spans="1:13" ht="12.75" customHeight="1" thickBot="1">
      <c r="A24" s="39" t="s">
        <v>47</v>
      </c>
      <c r="B24" s="42">
        <v>1</v>
      </c>
      <c r="C24" s="46">
        <v>20</v>
      </c>
      <c r="D24" s="37">
        <f>VLOOKUP($A24,ConstEquipEmissFactors!$A$8:$N$24,10,FALSE)</f>
        <v>0.24254999999999996</v>
      </c>
      <c r="E24" s="35">
        <f>VLOOKUP($A24,ConstEquipEmissFactors!$A$8:$N$24,11,FALSE)</f>
        <v>0.0441</v>
      </c>
      <c r="F24" s="35">
        <f>VLOOKUP($A24,ConstEquipEmissFactors!$A$8:$N$24,12,FALSE)</f>
        <v>0.3969</v>
      </c>
      <c r="G24" s="35">
        <f>VLOOKUP($A24,ConstEquipEmissFactors!$A$8:$N$24,13,FALSE)</f>
        <v>0.0441</v>
      </c>
      <c r="H24" s="36">
        <f>VLOOKUP($A24,ConstEquipEmissFactors!$A$8:$N$24,14,FALSE)</f>
        <v>0.02205</v>
      </c>
      <c r="I24" s="143">
        <f t="shared" si="0"/>
        <v>4.850999999999999</v>
      </c>
      <c r="J24" s="144">
        <f t="shared" si="1"/>
        <v>0.882</v>
      </c>
      <c r="K24" s="144">
        <f t="shared" si="2"/>
        <v>7.938</v>
      </c>
      <c r="L24" s="144">
        <f t="shared" si="3"/>
        <v>0.882</v>
      </c>
      <c r="M24" s="145">
        <f t="shared" si="4"/>
        <v>0.441</v>
      </c>
    </row>
    <row r="25" spans="1:13" ht="13.5" thickBot="1">
      <c r="A25" s="164" t="s">
        <v>48</v>
      </c>
      <c r="B25" s="135"/>
      <c r="C25" s="136"/>
      <c r="D25" s="137"/>
      <c r="E25" s="138"/>
      <c r="F25" s="138"/>
      <c r="G25" s="138"/>
      <c r="H25" s="139"/>
      <c r="I25" s="146">
        <f>SUM(I8:I24)</f>
        <v>29.691449999999996</v>
      </c>
      <c r="J25" s="147">
        <f>SUM(J8:J24)</f>
        <v>7.33315</v>
      </c>
      <c r="K25" s="148">
        <f>SUM(K8:K24)</f>
        <v>66.80735</v>
      </c>
      <c r="L25" s="147">
        <f>SUM(L8:L24)</f>
        <v>5.3248999999999995</v>
      </c>
      <c r="M25" s="149">
        <f>SUM(M8:M24)</f>
        <v>3.666575</v>
      </c>
    </row>
    <row r="26" spans="9:13" ht="12.75">
      <c r="I26" s="6"/>
      <c r="J26" s="6"/>
      <c r="K26" s="6"/>
      <c r="L26" s="6"/>
      <c r="M26" s="6"/>
    </row>
    <row r="27" spans="1:13" ht="12.75">
      <c r="A27" s="84" t="s">
        <v>131</v>
      </c>
      <c r="M27" s="9"/>
    </row>
    <row r="28" ht="12.75">
      <c r="A28" s="1"/>
    </row>
    <row r="29" ht="12.75">
      <c r="A29" s="85" t="s">
        <v>109</v>
      </c>
    </row>
    <row r="30" ht="12.75">
      <c r="A30" s="85" t="s">
        <v>110</v>
      </c>
    </row>
    <row r="41" spans="1:13" ht="12.75">
      <c r="A41" s="202"/>
      <c r="B41" s="4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</sheetData>
  <sheetProtection/>
  <mergeCells count="5">
    <mergeCell ref="A3:M3"/>
    <mergeCell ref="A2:M2"/>
    <mergeCell ref="I6:M6"/>
    <mergeCell ref="A4:M4"/>
    <mergeCell ref="A6:A7"/>
  </mergeCells>
  <conditionalFormatting sqref="L26:M26 I26">
    <cfRule type="cellIs" priority="1" dxfId="0" operator="greaterThanOrEqual" stopIfTrue="1">
      <formula>#REF!</formula>
    </cfRule>
  </conditionalFormatting>
  <conditionalFormatting sqref="K26">
    <cfRule type="cellIs" priority="2" dxfId="0" operator="greaterThanOrEqual" stopIfTrue="1">
      <formula>#REF!</formula>
    </cfRule>
  </conditionalFormatting>
  <conditionalFormatting sqref="J26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3" r:id="rId1"/>
  <headerFooter alignWithMargins="0">
    <oddHeader>&amp;C&amp;"Arial,Bold"&amp;12
&amp;RExxonMobil Rule 1105.1 Compliance Project</oddHeader>
    <oddFooter>&amp;LFinal EIR&amp;CB-4&amp;RMarch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41"/>
  <sheetViews>
    <sheetView view="pageBreakPreview" zoomScale="60" zoomScalePageLayoutView="0" workbookViewId="0" topLeftCell="A1">
      <selection activeCell="G34" sqref="G34"/>
    </sheetView>
  </sheetViews>
  <sheetFormatPr defaultColWidth="9.140625" defaultRowHeight="12.75"/>
  <cols>
    <col min="1" max="1" width="36.7109375" style="0" customWidth="1"/>
    <col min="2" max="2" width="9.7109375" style="14" customWidth="1"/>
    <col min="3" max="5" width="9.28125" style="0" bestFit="1" customWidth="1"/>
    <col min="6" max="6" width="9.00390625" style="0" customWidth="1"/>
    <col min="7" max="10" width="9.28125" style="0" bestFit="1" customWidth="1"/>
    <col min="11" max="11" width="9.7109375" style="0" bestFit="1" customWidth="1"/>
    <col min="12" max="13" width="9.28125" style="0" bestFit="1" customWidth="1"/>
  </cols>
  <sheetData>
    <row r="1" spans="1:13" ht="12.75">
      <c r="A1" s="202"/>
      <c r="B1" s="4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5">
      <c r="A2" s="216" t="s">
        <v>177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">
      <c r="A3" s="215" t="s">
        <v>174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.75" customHeight="1">
      <c r="A4" s="215" t="s">
        <v>136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ht="13.5" thickBot="1"/>
    <row r="6" spans="1:13" ht="15">
      <c r="A6" s="209" t="s">
        <v>13</v>
      </c>
      <c r="B6" s="40"/>
      <c r="C6" s="43" t="s">
        <v>14</v>
      </c>
      <c r="D6" s="34"/>
      <c r="E6" s="22" t="s">
        <v>107</v>
      </c>
      <c r="F6" s="22"/>
      <c r="G6" s="103"/>
      <c r="H6" s="104"/>
      <c r="I6" s="212" t="s">
        <v>108</v>
      </c>
      <c r="J6" s="213"/>
      <c r="K6" s="213"/>
      <c r="L6" s="213"/>
      <c r="M6" s="214"/>
    </row>
    <row r="7" spans="1:13" ht="13.5" thickBot="1">
      <c r="A7" s="210"/>
      <c r="B7" s="105" t="s">
        <v>106</v>
      </c>
      <c r="C7" s="44" t="s">
        <v>15</v>
      </c>
      <c r="D7" s="24" t="s">
        <v>0</v>
      </c>
      <c r="E7" s="10" t="s">
        <v>1</v>
      </c>
      <c r="F7" s="10" t="s">
        <v>2</v>
      </c>
      <c r="G7" s="10" t="s">
        <v>4</v>
      </c>
      <c r="H7" s="29" t="s">
        <v>3</v>
      </c>
      <c r="I7" s="24" t="s">
        <v>0</v>
      </c>
      <c r="J7" s="10" t="s">
        <v>1</v>
      </c>
      <c r="K7" s="10" t="s">
        <v>2</v>
      </c>
      <c r="L7" s="10" t="s">
        <v>4</v>
      </c>
      <c r="M7" s="23" t="s">
        <v>3</v>
      </c>
    </row>
    <row r="8" spans="1:13" ht="13.5" thickTop="1">
      <c r="A8" s="38" t="s">
        <v>16</v>
      </c>
      <c r="B8" s="41">
        <v>0</v>
      </c>
      <c r="C8" s="45">
        <v>0</v>
      </c>
      <c r="D8" s="27">
        <f>VLOOKUP($A8,ConstEquipEmissFactors!$A$8:$N$24,10,FALSE)</f>
        <v>0.5231250000000001</v>
      </c>
      <c r="E8" s="18">
        <f>VLOOKUP($A8,ConstEquipEmissFactors!$A$8:$N$24,11,FALSE)</f>
        <v>0.10462500000000001</v>
      </c>
      <c r="F8" s="18">
        <f>VLOOKUP($A8,ConstEquipEmissFactors!$A$8:$N$24,12,FALSE)</f>
        <v>0.76725</v>
      </c>
      <c r="G8" s="18">
        <f>VLOOKUP($A8,ConstEquipEmissFactors!$A$8:$N$24,13,FALSE)</f>
        <v>0.06975</v>
      </c>
      <c r="H8" s="28">
        <f>VLOOKUP($A8,ConstEquipEmissFactors!$A$8:$N$24,14,FALSE)</f>
        <v>0.034875</v>
      </c>
      <c r="I8" s="140">
        <f aca="true" t="shared" si="0" ref="I8:I24">D8*$C8*$B8</f>
        <v>0</v>
      </c>
      <c r="J8" s="141">
        <f aca="true" t="shared" si="1" ref="J8:J24">E8*$C8*$B8</f>
        <v>0</v>
      </c>
      <c r="K8" s="141">
        <f aca="true" t="shared" si="2" ref="K8:K24">F8*$C8*$B8</f>
        <v>0</v>
      </c>
      <c r="L8" s="141">
        <f aca="true" t="shared" si="3" ref="L8:L24">G8*$C8*$B8</f>
        <v>0</v>
      </c>
      <c r="M8" s="142">
        <f aca="true" t="shared" si="4" ref="M8:M24">H8*$C8*$B8</f>
        <v>0</v>
      </c>
    </row>
    <row r="9" spans="1:13" ht="12.75">
      <c r="A9" s="38" t="s">
        <v>36</v>
      </c>
      <c r="B9" s="41">
        <v>1</v>
      </c>
      <c r="C9" s="45">
        <v>24</v>
      </c>
      <c r="D9" s="27">
        <f>VLOOKUP($A9,ConstEquipEmissFactors!$A$8:$N$24,10,FALSE)</f>
        <v>0.25871999999999995</v>
      </c>
      <c r="E9" s="18">
        <f>VLOOKUP($A9,ConstEquipEmissFactors!$A$8:$N$24,11,FALSE)</f>
        <v>0.04704</v>
      </c>
      <c r="F9" s="18">
        <f>VLOOKUP($A9,ConstEquipEmissFactors!$A$8:$N$24,12,FALSE)</f>
        <v>0.42335999999999996</v>
      </c>
      <c r="G9" s="18">
        <f>VLOOKUP($A9,ConstEquipEmissFactors!$A$8:$N$24,13,FALSE)</f>
        <v>0.04704</v>
      </c>
      <c r="H9" s="28">
        <f>VLOOKUP($A9,ConstEquipEmissFactors!$A$8:$N$24,14,FALSE)</f>
        <v>0.02352</v>
      </c>
      <c r="I9" s="140">
        <f t="shared" si="0"/>
        <v>6.209279999999999</v>
      </c>
      <c r="J9" s="141">
        <f t="shared" si="1"/>
        <v>1.12896</v>
      </c>
      <c r="K9" s="141">
        <f t="shared" si="2"/>
        <v>10.160639999999999</v>
      </c>
      <c r="L9" s="141">
        <f t="shared" si="3"/>
        <v>1.12896</v>
      </c>
      <c r="M9" s="142">
        <f t="shared" si="4"/>
        <v>0.56448</v>
      </c>
    </row>
    <row r="10" spans="1:13" ht="12.75">
      <c r="A10" s="38" t="s">
        <v>35</v>
      </c>
      <c r="B10" s="41">
        <v>0</v>
      </c>
      <c r="C10" s="45">
        <v>0</v>
      </c>
      <c r="D10" s="27">
        <f>VLOOKUP($A10,ConstEquipEmissFactors!$A$8:$N$24,10,FALSE)</f>
        <v>0.9690000000000001</v>
      </c>
      <c r="E10" s="18">
        <f>VLOOKUP($A10,ConstEquipEmissFactors!$A$8:$N$24,11,FALSE)</f>
        <v>0.323</v>
      </c>
      <c r="F10" s="18">
        <f>VLOOKUP($A10,ConstEquipEmissFactors!$A$8:$N$24,12,FALSE)</f>
        <v>3.3915</v>
      </c>
      <c r="G10" s="18">
        <f>VLOOKUP($A10,ConstEquipEmissFactors!$A$8:$N$24,13,FALSE)</f>
        <v>0.323</v>
      </c>
      <c r="H10" s="28">
        <f>VLOOKUP($A10,ConstEquipEmissFactors!$A$8:$N$24,14,FALSE)</f>
        <v>0.24225000000000002</v>
      </c>
      <c r="I10" s="140">
        <f t="shared" si="0"/>
        <v>0</v>
      </c>
      <c r="J10" s="141">
        <f t="shared" si="1"/>
        <v>0</v>
      </c>
      <c r="K10" s="141">
        <f t="shared" si="2"/>
        <v>0</v>
      </c>
      <c r="L10" s="141">
        <f t="shared" si="3"/>
        <v>0</v>
      </c>
      <c r="M10" s="142">
        <f t="shared" si="4"/>
        <v>0</v>
      </c>
    </row>
    <row r="11" spans="1:13" ht="12.75">
      <c r="A11" s="38" t="s">
        <v>37</v>
      </c>
      <c r="B11" s="41">
        <v>0</v>
      </c>
      <c r="C11" s="45">
        <v>0</v>
      </c>
      <c r="D11" s="27">
        <f>VLOOKUP($A11,ConstEquipEmissFactors!$A$8:$N$24,10,FALSE)</f>
        <v>0.1898</v>
      </c>
      <c r="E11" s="18">
        <f>VLOOKUP($A11,ConstEquipEmissFactors!$A$8:$N$24,11,FALSE)</f>
        <v>0.22776</v>
      </c>
      <c r="F11" s="18">
        <f>VLOOKUP($A11,ConstEquipEmissFactors!$A$8:$N$24,12,FALSE)</f>
        <v>0.01898</v>
      </c>
      <c r="G11" s="18">
        <f>VLOOKUP($A11,ConstEquipEmissFactors!$A$8:$N$24,13,FALSE)</f>
        <v>0.02847</v>
      </c>
      <c r="H11" s="28">
        <f>VLOOKUP($A11,ConstEquipEmissFactors!$A$8:$N$24,14,FALSE)</f>
        <v>0.00949</v>
      </c>
      <c r="I11" s="140">
        <f t="shared" si="0"/>
        <v>0</v>
      </c>
      <c r="J11" s="141">
        <f t="shared" si="1"/>
        <v>0</v>
      </c>
      <c r="K11" s="141">
        <f t="shared" si="2"/>
        <v>0</v>
      </c>
      <c r="L11" s="141">
        <f t="shared" si="3"/>
        <v>0</v>
      </c>
      <c r="M11" s="142">
        <f t="shared" si="4"/>
        <v>0</v>
      </c>
    </row>
    <row r="12" spans="1:13" ht="12.75">
      <c r="A12" s="38" t="s">
        <v>129</v>
      </c>
      <c r="B12" s="41">
        <v>1</v>
      </c>
      <c r="C12" s="45">
        <v>24</v>
      </c>
      <c r="D12" s="27">
        <f>VLOOKUP($A12,ConstEquipEmissFactors!$A$8:$N$24,10,FALSE)</f>
        <v>0.8127</v>
      </c>
      <c r="E12" s="18">
        <f>VLOOKUP($A12,ConstEquipEmissFactors!$A$8:$N$24,11,FALSE)</f>
        <v>0.2709</v>
      </c>
      <c r="F12" s="18">
        <f>VLOOKUP($A12,ConstEquipEmissFactors!$A$8:$N$24,12,FALSE)</f>
        <v>2.0769</v>
      </c>
      <c r="G12" s="18">
        <f>VLOOKUP($A12,ConstEquipEmissFactors!$A$8:$N$24,13,FALSE)</f>
        <v>0.18059999999999998</v>
      </c>
      <c r="H12" s="28">
        <f>VLOOKUP($A12,ConstEquipEmissFactors!$A$8:$N$24,14,FALSE)</f>
        <v>0.13545</v>
      </c>
      <c r="I12" s="140">
        <f t="shared" si="0"/>
        <v>19.5048</v>
      </c>
      <c r="J12" s="141">
        <f t="shared" si="1"/>
        <v>6.5016</v>
      </c>
      <c r="K12" s="141">
        <f t="shared" si="2"/>
        <v>49.845600000000005</v>
      </c>
      <c r="L12" s="141">
        <f t="shared" si="3"/>
        <v>4.3344</v>
      </c>
      <c r="M12" s="142">
        <f t="shared" si="4"/>
        <v>3.2508</v>
      </c>
    </row>
    <row r="13" spans="1:13" ht="12.75">
      <c r="A13" s="38" t="s">
        <v>67</v>
      </c>
      <c r="B13" s="41">
        <v>1</v>
      </c>
      <c r="C13" s="45">
        <v>24</v>
      </c>
      <c r="D13" s="27">
        <f>VLOOKUP($A13,ConstEquipEmissFactors!$A$8:$N$24,10,FALSE)</f>
        <v>0.9675</v>
      </c>
      <c r="E13" s="18">
        <f>VLOOKUP($A13,ConstEquipEmissFactors!$A$8:$N$24,11,FALSE)</f>
        <v>0.3225</v>
      </c>
      <c r="F13" s="18">
        <f>VLOOKUP($A13,ConstEquipEmissFactors!$A$8:$N$24,12,FALSE)</f>
        <v>2.4725</v>
      </c>
      <c r="G13" s="18">
        <f>VLOOKUP($A13,ConstEquipEmissFactors!$A$8:$N$24,13,FALSE)</f>
        <v>0.215</v>
      </c>
      <c r="H13" s="28">
        <f>VLOOKUP($A13,ConstEquipEmissFactors!$A$8:$N$24,14,FALSE)</f>
        <v>0.16125</v>
      </c>
      <c r="I13" s="140">
        <f t="shared" si="0"/>
        <v>23.22</v>
      </c>
      <c r="J13" s="141">
        <f t="shared" si="1"/>
        <v>7.74</v>
      </c>
      <c r="K13" s="141">
        <f t="shared" si="2"/>
        <v>59.34</v>
      </c>
      <c r="L13" s="141">
        <f t="shared" si="3"/>
        <v>5.16</v>
      </c>
      <c r="M13" s="142">
        <f t="shared" si="4"/>
        <v>3.87</v>
      </c>
    </row>
    <row r="14" spans="1:13" ht="12.75">
      <c r="A14" s="38" t="s">
        <v>44</v>
      </c>
      <c r="B14" s="41">
        <v>0</v>
      </c>
      <c r="C14" s="45">
        <v>0</v>
      </c>
      <c r="D14" s="27">
        <f>VLOOKUP($A14,ConstEquipEmissFactors!$A$8:$N$24,10,FALSE)</f>
        <v>1.06425</v>
      </c>
      <c r="E14" s="18">
        <f>VLOOKUP($A14,ConstEquipEmissFactors!$A$8:$N$24,11,FALSE)</f>
        <v>0.35475</v>
      </c>
      <c r="F14" s="18">
        <f>VLOOKUP($A14,ConstEquipEmissFactors!$A$8:$N$24,12,FALSE)</f>
        <v>2.71975</v>
      </c>
      <c r="G14" s="18">
        <f>VLOOKUP($A14,ConstEquipEmissFactors!$A$8:$N$24,13,FALSE)</f>
        <v>0.23650000000000002</v>
      </c>
      <c r="H14" s="28">
        <f>VLOOKUP($A14,ConstEquipEmissFactors!$A$8:$N$24,14,FALSE)</f>
        <v>0.177375</v>
      </c>
      <c r="I14" s="140">
        <f t="shared" si="0"/>
        <v>0</v>
      </c>
      <c r="J14" s="141">
        <f t="shared" si="1"/>
        <v>0</v>
      </c>
      <c r="K14" s="141">
        <f t="shared" si="2"/>
        <v>0</v>
      </c>
      <c r="L14" s="141">
        <f t="shared" si="3"/>
        <v>0</v>
      </c>
      <c r="M14" s="142">
        <f t="shared" si="4"/>
        <v>0</v>
      </c>
    </row>
    <row r="15" spans="1:13" ht="12.75">
      <c r="A15" s="38" t="s">
        <v>45</v>
      </c>
      <c r="B15" s="41">
        <v>1</v>
      </c>
      <c r="C15" s="45">
        <v>24</v>
      </c>
      <c r="D15" s="27">
        <f>VLOOKUP($A15,ConstEquipEmissFactors!$A$8:$N$24,10,FALSE)</f>
        <v>1.0062</v>
      </c>
      <c r="E15" s="18">
        <f>VLOOKUP($A15,ConstEquipEmissFactors!$A$8:$N$24,11,FALSE)</f>
        <v>0.33540000000000003</v>
      </c>
      <c r="F15" s="18">
        <f>VLOOKUP($A15,ConstEquipEmissFactors!$A$8:$N$24,12,FALSE)</f>
        <v>2.5713999999999997</v>
      </c>
      <c r="G15" s="18">
        <f>VLOOKUP($A15,ConstEquipEmissFactors!$A$8:$N$24,13,FALSE)</f>
        <v>0.2236</v>
      </c>
      <c r="H15" s="28">
        <f>VLOOKUP($A15,ConstEquipEmissFactors!$A$8:$N$24,14,FALSE)</f>
        <v>0.16770000000000002</v>
      </c>
      <c r="I15" s="140">
        <f t="shared" si="0"/>
        <v>24.1488</v>
      </c>
      <c r="J15" s="141">
        <f t="shared" si="1"/>
        <v>8.049600000000002</v>
      </c>
      <c r="K15" s="141">
        <f t="shared" si="2"/>
        <v>61.71359999999999</v>
      </c>
      <c r="L15" s="141">
        <f t="shared" si="3"/>
        <v>5.3664</v>
      </c>
      <c r="M15" s="142">
        <f t="shared" si="4"/>
        <v>4.024800000000001</v>
      </c>
    </row>
    <row r="16" spans="1:13" ht="12.75">
      <c r="A16" s="38" t="s">
        <v>68</v>
      </c>
      <c r="B16" s="41">
        <v>0</v>
      </c>
      <c r="C16" s="45">
        <v>0</v>
      </c>
      <c r="D16" s="27">
        <f>VLOOKUP($A16,ConstEquipEmissFactors!$A$8:$N$24,10,FALSE)</f>
        <v>4.5</v>
      </c>
      <c r="E16" s="18">
        <f>VLOOKUP($A16,ConstEquipEmissFactors!$A$8:$N$24,11,FALSE)</f>
        <v>0.675</v>
      </c>
      <c r="F16" s="18">
        <f>VLOOKUP($A16,ConstEquipEmissFactors!$A$8:$N$24,12,FALSE)</f>
        <v>5.4</v>
      </c>
      <c r="G16" s="18">
        <f>VLOOKUP($A16,ConstEquipEmissFactors!$A$8:$N$24,13,FALSE)</f>
        <v>0.44999999999999996</v>
      </c>
      <c r="H16" s="28">
        <f>VLOOKUP($A16,ConstEquipEmissFactors!$A$8:$N$24,14,FALSE)</f>
        <v>0.3375</v>
      </c>
      <c r="I16" s="140">
        <f t="shared" si="0"/>
        <v>0</v>
      </c>
      <c r="J16" s="141">
        <f t="shared" si="1"/>
        <v>0</v>
      </c>
      <c r="K16" s="141">
        <f>F16*$C16*$B16</f>
        <v>0</v>
      </c>
      <c r="L16" s="141">
        <f t="shared" si="3"/>
        <v>0</v>
      </c>
      <c r="M16" s="142">
        <f t="shared" si="4"/>
        <v>0</v>
      </c>
    </row>
    <row r="17" spans="1:13" ht="12.75">
      <c r="A17" s="38" t="s">
        <v>49</v>
      </c>
      <c r="B17" s="41">
        <v>0</v>
      </c>
      <c r="C17" s="45">
        <v>0</v>
      </c>
      <c r="D17" s="25">
        <f>VLOOKUP($A17,ConstEquipEmissFactors!$A$8:$N$24,10,FALSE)</f>
        <v>0.6270000000000001</v>
      </c>
      <c r="E17" s="17">
        <f>VLOOKUP($A17,ConstEquipEmissFactors!$A$8:$N$24,11,FALSE)</f>
        <v>0.20900000000000002</v>
      </c>
      <c r="F17" s="17">
        <f>VLOOKUP($A17,ConstEquipEmissFactors!$A$8:$N$24,12,FALSE)</f>
        <v>2.1945</v>
      </c>
      <c r="G17" s="17">
        <f>VLOOKUP($A17,ConstEquipEmissFactors!$A$8:$N$24,13,FALSE)</f>
        <v>0.20900000000000002</v>
      </c>
      <c r="H17" s="26">
        <f>VLOOKUP($A17,ConstEquipEmissFactors!$A$8:$N$24,14,FALSE)</f>
        <v>0.15675000000000003</v>
      </c>
      <c r="I17" s="140">
        <f t="shared" si="0"/>
        <v>0</v>
      </c>
      <c r="J17" s="141">
        <f t="shared" si="1"/>
        <v>0</v>
      </c>
      <c r="K17" s="141">
        <f t="shared" si="2"/>
        <v>0</v>
      </c>
      <c r="L17" s="141">
        <f t="shared" si="3"/>
        <v>0</v>
      </c>
      <c r="M17" s="142">
        <f t="shared" si="4"/>
        <v>0</v>
      </c>
    </row>
    <row r="18" spans="1:13" ht="12.75">
      <c r="A18" s="38" t="s">
        <v>32</v>
      </c>
      <c r="B18" s="41">
        <v>0</v>
      </c>
      <c r="C18" s="45">
        <v>0</v>
      </c>
      <c r="D18" s="25">
        <f>VLOOKUP($A18,ConstEquipEmissFactors!$A$8:$N$24,10,FALSE)</f>
        <v>1.595</v>
      </c>
      <c r="E18" s="17">
        <f>VLOOKUP($A18,ConstEquipEmissFactors!$A$8:$N$24,11,FALSE)</f>
        <v>0.145</v>
      </c>
      <c r="F18" s="17">
        <f>VLOOKUP($A18,ConstEquipEmissFactors!$A$8:$N$24,12,FALSE)</f>
        <v>3.4799999999999995</v>
      </c>
      <c r="G18" s="17">
        <f>VLOOKUP($A18,ConstEquipEmissFactors!$A$8:$N$24,13,FALSE)</f>
        <v>0.29</v>
      </c>
      <c r="H18" s="26">
        <f>VLOOKUP($A18,ConstEquipEmissFactors!$A$8:$N$24,14,FALSE)</f>
        <v>0.21749999999999997</v>
      </c>
      <c r="I18" s="140">
        <f t="shared" si="0"/>
        <v>0</v>
      </c>
      <c r="J18" s="141">
        <f t="shared" si="1"/>
        <v>0</v>
      </c>
      <c r="K18" s="141">
        <f t="shared" si="2"/>
        <v>0</v>
      </c>
      <c r="L18" s="141">
        <f t="shared" si="3"/>
        <v>0</v>
      </c>
      <c r="M18" s="142">
        <f t="shared" si="4"/>
        <v>0</v>
      </c>
    </row>
    <row r="19" spans="1:13" ht="12.75">
      <c r="A19" s="38" t="s">
        <v>39</v>
      </c>
      <c r="B19" s="41">
        <v>2</v>
      </c>
      <c r="C19" s="45">
        <v>24</v>
      </c>
      <c r="D19" s="25">
        <f>VLOOKUP($A19,ConstEquipEmissFactors!$A$8:$N$24,10,FALSE)</f>
        <v>0.3081</v>
      </c>
      <c r="E19" s="17">
        <f>VLOOKUP($A19,ConstEquipEmissFactors!$A$8:$N$24,11,FALSE)</f>
        <v>0.0711</v>
      </c>
      <c r="F19" s="17">
        <f>VLOOKUP($A19,ConstEquipEmissFactors!$A$8:$N$24,12,FALSE)</f>
        <v>0.7346999999999999</v>
      </c>
      <c r="G19" s="17">
        <f>VLOOKUP($A19,ConstEquipEmissFactors!$A$8:$N$24,13,FALSE)</f>
        <v>0.0474</v>
      </c>
      <c r="H19" s="26">
        <f>VLOOKUP($A19,ConstEquipEmissFactors!$A$8:$N$24,14,FALSE)</f>
        <v>0.03555</v>
      </c>
      <c r="I19" s="140">
        <f t="shared" si="0"/>
        <v>14.788799999999998</v>
      </c>
      <c r="J19" s="141">
        <f t="shared" si="1"/>
        <v>3.4128</v>
      </c>
      <c r="K19" s="141">
        <f t="shared" si="2"/>
        <v>35.26559999999999</v>
      </c>
      <c r="L19" s="141">
        <f t="shared" si="3"/>
        <v>2.2752</v>
      </c>
      <c r="M19" s="142">
        <f t="shared" si="4"/>
        <v>1.7064</v>
      </c>
    </row>
    <row r="20" spans="1:13" ht="12.75">
      <c r="A20" s="38" t="s">
        <v>17</v>
      </c>
      <c r="B20" s="41">
        <v>0</v>
      </c>
      <c r="C20" s="45">
        <v>0</v>
      </c>
      <c r="D20" s="25">
        <f>VLOOKUP($A20,ConstEquipEmissFactors!$A$8:$N$24,10,FALSE)</f>
        <v>1.46475</v>
      </c>
      <c r="E20" s="17">
        <f>VLOOKUP($A20,ConstEquipEmissFactors!$A$8:$N$24,11,FALSE)</f>
        <v>0.29295000000000004</v>
      </c>
      <c r="F20" s="17">
        <f>VLOOKUP($A20,ConstEquipEmissFactors!$A$8:$N$24,12,FALSE)</f>
        <v>2.1483000000000003</v>
      </c>
      <c r="G20" s="17">
        <f>VLOOKUP($A20,ConstEquipEmissFactors!$A$8:$N$24,13,FALSE)</f>
        <v>0.1953</v>
      </c>
      <c r="H20" s="26">
        <f>VLOOKUP($A20,ConstEquipEmissFactors!$A$8:$N$24,14,FALSE)</f>
        <v>0.09765</v>
      </c>
      <c r="I20" s="140">
        <f t="shared" si="0"/>
        <v>0</v>
      </c>
      <c r="J20" s="141">
        <f t="shared" si="1"/>
        <v>0</v>
      </c>
      <c r="K20" s="141">
        <f t="shared" si="2"/>
        <v>0</v>
      </c>
      <c r="L20" s="141">
        <f t="shared" si="3"/>
        <v>0</v>
      </c>
      <c r="M20" s="142">
        <f t="shared" si="4"/>
        <v>0</v>
      </c>
    </row>
    <row r="21" spans="1:13" ht="12.75">
      <c r="A21" s="39" t="s">
        <v>126</v>
      </c>
      <c r="B21" s="41">
        <v>0</v>
      </c>
      <c r="C21" s="45">
        <v>0</v>
      </c>
      <c r="D21" s="25">
        <f>VLOOKUP($A21,ConstEquipEmissFactors!$A$8:$N$24,10,FALSE)</f>
        <v>0.6919</v>
      </c>
      <c r="E21" s="17">
        <f>VLOOKUP($A21,ConstEquipEmissFactors!$A$8:$N$24,11,FALSE)</f>
        <v>0.1258</v>
      </c>
      <c r="F21" s="17">
        <f>VLOOKUP($A21,ConstEquipEmissFactors!$A$8:$N$24,12,FALSE)</f>
        <v>1.1321999999999999</v>
      </c>
      <c r="G21" s="17">
        <f>VLOOKUP($A21,ConstEquipEmissFactors!$A$8:$N$24,13,FALSE)</f>
        <v>0.1258</v>
      </c>
      <c r="H21" s="26">
        <f>VLOOKUP($A21,ConstEquipEmissFactors!$A$8:$N$24,14,FALSE)</f>
        <v>0.0629</v>
      </c>
      <c r="I21" s="140">
        <f>D21*$C21*$B21</f>
        <v>0</v>
      </c>
      <c r="J21" s="141">
        <f>E21*$C21*$B21</f>
        <v>0</v>
      </c>
      <c r="K21" s="141">
        <f>F21*$C21*$B21</f>
        <v>0</v>
      </c>
      <c r="L21" s="141">
        <f>G21*$C21*$B21</f>
        <v>0</v>
      </c>
      <c r="M21" s="142">
        <f>H21*$C21*$B21</f>
        <v>0</v>
      </c>
    </row>
    <row r="22" spans="1:13" ht="12.75">
      <c r="A22" s="39" t="s">
        <v>46</v>
      </c>
      <c r="B22" s="41">
        <v>4</v>
      </c>
      <c r="C22" s="45">
        <v>12</v>
      </c>
      <c r="D22" s="25">
        <f>VLOOKUP($A22,ConstEquipEmissFactors!$A$8:$N$24,10,FALSE)</f>
        <v>0.11725999999999999</v>
      </c>
      <c r="E22" s="17">
        <f>VLOOKUP($A22,ConstEquipEmissFactors!$A$8:$N$24,11,FALSE)</f>
        <v>0.021320000000000002</v>
      </c>
      <c r="F22" s="17">
        <f>VLOOKUP($A22,ConstEquipEmissFactors!$A$8:$N$24,12,FALSE)</f>
        <v>0.19187999999999997</v>
      </c>
      <c r="G22" s="17">
        <f>VLOOKUP($A22,ConstEquipEmissFactors!$A$8:$N$24,13,FALSE)</f>
        <v>0.021320000000000002</v>
      </c>
      <c r="H22" s="26">
        <f>VLOOKUP($A22,ConstEquipEmissFactors!$A$8:$N$24,14,FALSE)</f>
        <v>0.010660000000000001</v>
      </c>
      <c r="I22" s="140">
        <f t="shared" si="0"/>
        <v>5.62848</v>
      </c>
      <c r="J22" s="141">
        <f t="shared" si="1"/>
        <v>1.02336</v>
      </c>
      <c r="K22" s="141">
        <f t="shared" si="2"/>
        <v>9.210239999999999</v>
      </c>
      <c r="L22" s="141">
        <f t="shared" si="3"/>
        <v>1.02336</v>
      </c>
      <c r="M22" s="142">
        <f t="shared" si="4"/>
        <v>0.51168</v>
      </c>
    </row>
    <row r="23" spans="1:13" ht="12.75">
      <c r="A23" s="39" t="s">
        <v>38</v>
      </c>
      <c r="B23" s="41">
        <v>0</v>
      </c>
      <c r="C23" s="45">
        <v>0</v>
      </c>
      <c r="D23" s="37">
        <f>VLOOKUP($A23,ConstEquipEmissFactors!$A$8:$N$24,10,FALSE)</f>
        <v>0.820625</v>
      </c>
      <c r="E23" s="35">
        <f>VLOOKUP($A23,ConstEquipEmissFactors!$A$8:$N$24,11,FALSE)</f>
        <v>0.18937500000000002</v>
      </c>
      <c r="F23" s="35">
        <f>VLOOKUP($A23,ConstEquipEmissFactors!$A$8:$N$24,12,FALSE)</f>
        <v>1.956875</v>
      </c>
      <c r="G23" s="35">
        <f>VLOOKUP($A23,ConstEquipEmissFactors!$A$8:$N$24,13,FALSE)</f>
        <v>0.12625</v>
      </c>
      <c r="H23" s="36">
        <f>VLOOKUP($A23,ConstEquipEmissFactors!$A$8:$N$24,14,FALSE)</f>
        <v>0.09468750000000001</v>
      </c>
      <c r="I23" s="140">
        <f t="shared" si="0"/>
        <v>0</v>
      </c>
      <c r="J23" s="141">
        <f t="shared" si="1"/>
        <v>0</v>
      </c>
      <c r="K23" s="141">
        <f t="shared" si="2"/>
        <v>0</v>
      </c>
      <c r="L23" s="141">
        <f t="shared" si="3"/>
        <v>0</v>
      </c>
      <c r="M23" s="142">
        <f t="shared" si="4"/>
        <v>0</v>
      </c>
    </row>
    <row r="24" spans="1:13" ht="12.75" customHeight="1" thickBot="1">
      <c r="A24" s="39" t="s">
        <v>47</v>
      </c>
      <c r="B24" s="42">
        <v>2</v>
      </c>
      <c r="C24" s="46">
        <v>24</v>
      </c>
      <c r="D24" s="37">
        <f>VLOOKUP($A24,ConstEquipEmissFactors!$A$8:$N$24,10,FALSE)</f>
        <v>0.24254999999999996</v>
      </c>
      <c r="E24" s="35">
        <f>VLOOKUP($A24,ConstEquipEmissFactors!$A$8:$N$24,11,FALSE)</f>
        <v>0.0441</v>
      </c>
      <c r="F24" s="35">
        <f>VLOOKUP($A24,ConstEquipEmissFactors!$A$8:$N$24,12,FALSE)</f>
        <v>0.3969</v>
      </c>
      <c r="G24" s="35">
        <f>VLOOKUP($A24,ConstEquipEmissFactors!$A$8:$N$24,13,FALSE)</f>
        <v>0.0441</v>
      </c>
      <c r="H24" s="36">
        <f>VLOOKUP($A24,ConstEquipEmissFactors!$A$8:$N$24,14,FALSE)</f>
        <v>0.02205</v>
      </c>
      <c r="I24" s="143">
        <f t="shared" si="0"/>
        <v>11.642399999999999</v>
      </c>
      <c r="J24" s="144">
        <f t="shared" si="1"/>
        <v>2.1168</v>
      </c>
      <c r="K24" s="144">
        <f t="shared" si="2"/>
        <v>19.051199999999998</v>
      </c>
      <c r="L24" s="144">
        <f t="shared" si="3"/>
        <v>2.1168</v>
      </c>
      <c r="M24" s="145">
        <f t="shared" si="4"/>
        <v>1.0584</v>
      </c>
    </row>
    <row r="25" spans="1:13" ht="13.5" thickBot="1">
      <c r="A25" s="164" t="s">
        <v>48</v>
      </c>
      <c r="B25" s="135"/>
      <c r="C25" s="136"/>
      <c r="D25" s="137"/>
      <c r="E25" s="138"/>
      <c r="F25" s="138"/>
      <c r="G25" s="138"/>
      <c r="H25" s="139"/>
      <c r="I25" s="150">
        <f>SUM(I8:I24)</f>
        <v>105.14255999999997</v>
      </c>
      <c r="J25" s="151">
        <f>SUM(J8:J24)</f>
        <v>29.973120000000005</v>
      </c>
      <c r="K25" s="152">
        <f>SUM(K8:K24)</f>
        <v>244.58688</v>
      </c>
      <c r="L25" s="151">
        <f>SUM(L8:L24)</f>
        <v>21.405120000000004</v>
      </c>
      <c r="M25" s="153">
        <f>SUM(M8:M24)</f>
        <v>14.986560000000003</v>
      </c>
    </row>
    <row r="26" spans="9:13" ht="12.75">
      <c r="I26" s="6"/>
      <c r="J26" s="6"/>
      <c r="K26" s="6"/>
      <c r="L26" s="6"/>
      <c r="M26" s="6"/>
    </row>
    <row r="27" spans="1:13" ht="12.75">
      <c r="A27" s="84" t="s">
        <v>132</v>
      </c>
      <c r="M27" s="9"/>
    </row>
    <row r="28" ht="12.75">
      <c r="A28" s="1"/>
    </row>
    <row r="29" ht="12.75">
      <c r="A29" s="85" t="s">
        <v>109</v>
      </c>
    </row>
    <row r="30" ht="12.75">
      <c r="A30" s="85" t="s">
        <v>110</v>
      </c>
    </row>
    <row r="41" spans="1:13" ht="12.75">
      <c r="A41" s="202"/>
      <c r="B41" s="4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</sheetData>
  <sheetProtection/>
  <mergeCells count="5">
    <mergeCell ref="A3:M3"/>
    <mergeCell ref="A2:M2"/>
    <mergeCell ref="I6:M6"/>
    <mergeCell ref="A4:M4"/>
    <mergeCell ref="A6:A7"/>
  </mergeCells>
  <conditionalFormatting sqref="L26:M26 I26">
    <cfRule type="cellIs" priority="1" dxfId="0" operator="greaterThanOrEqual" stopIfTrue="1">
      <formula>#REF!</formula>
    </cfRule>
  </conditionalFormatting>
  <conditionalFormatting sqref="K26">
    <cfRule type="cellIs" priority="2" dxfId="0" operator="greaterThanOrEqual" stopIfTrue="1">
      <formula>#REF!</formula>
    </cfRule>
  </conditionalFormatting>
  <conditionalFormatting sqref="J26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1" r:id="rId1"/>
  <headerFooter alignWithMargins="0">
    <oddHeader>&amp;C&amp;"Arial,Bold"&amp;12
&amp;RExxonMobil Rule 1105.1 Compliance Project</oddHeader>
    <oddFooter>&amp;LFinal EIR&amp;CB-5&amp;RMarch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N33"/>
  <sheetViews>
    <sheetView view="pageBreakPreview" zoomScale="60" zoomScalePageLayoutView="0" workbookViewId="0" topLeftCell="A1">
      <selection activeCell="A33" sqref="A33"/>
    </sheetView>
  </sheetViews>
  <sheetFormatPr defaultColWidth="9.140625" defaultRowHeight="12.75"/>
  <cols>
    <col min="1" max="1" width="4.851562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2" ht="15">
      <c r="B2" s="232" t="s">
        <v>178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2:12" ht="15">
      <c r="B3" s="232" t="s">
        <v>179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ht="13.5" thickBot="1"/>
    <row r="5" spans="2:12" ht="30" customHeight="1" thickBot="1">
      <c r="B5" s="106" t="s">
        <v>9</v>
      </c>
      <c r="C5" s="227" t="s">
        <v>23</v>
      </c>
      <c r="D5" s="228"/>
      <c r="E5" s="227" t="s">
        <v>71</v>
      </c>
      <c r="F5" s="229"/>
      <c r="G5" s="227" t="s">
        <v>24</v>
      </c>
      <c r="H5" s="228"/>
      <c r="I5" s="227" t="s">
        <v>25</v>
      </c>
      <c r="J5" s="229"/>
      <c r="K5" s="227" t="s">
        <v>26</v>
      </c>
      <c r="L5" s="228"/>
    </row>
    <row r="6" spans="2:12" ht="15">
      <c r="B6" s="59" t="s">
        <v>104</v>
      </c>
      <c r="C6" s="230">
        <v>0.01282</v>
      </c>
      <c r="D6" s="230"/>
      <c r="E6" s="230">
        <v>0.001383</v>
      </c>
      <c r="F6" s="230"/>
      <c r="G6" s="230">
        <v>0.001361</v>
      </c>
      <c r="H6" s="230"/>
      <c r="I6" s="230">
        <v>9E-06</v>
      </c>
      <c r="J6" s="230"/>
      <c r="K6" s="230">
        <v>8E-05</v>
      </c>
      <c r="L6" s="233"/>
    </row>
    <row r="7" spans="2:12" ht="15">
      <c r="B7" s="60" t="s">
        <v>98</v>
      </c>
      <c r="C7" s="226">
        <v>0.01282</v>
      </c>
      <c r="D7" s="226"/>
      <c r="E7" s="226">
        <v>0.001383</v>
      </c>
      <c r="F7" s="226"/>
      <c r="G7" s="226">
        <v>0.001361</v>
      </c>
      <c r="H7" s="226"/>
      <c r="I7" s="226">
        <v>9E-06</v>
      </c>
      <c r="J7" s="226"/>
      <c r="K7" s="226">
        <v>8E-05</v>
      </c>
      <c r="L7" s="231"/>
    </row>
    <row r="8" spans="2:12" ht="15">
      <c r="B8" s="61" t="s">
        <v>58</v>
      </c>
      <c r="C8" s="226">
        <v>0.017455</v>
      </c>
      <c r="D8" s="226"/>
      <c r="E8" s="226">
        <v>0.002608</v>
      </c>
      <c r="F8" s="226"/>
      <c r="G8" s="226">
        <v>0.024978</v>
      </c>
      <c r="H8" s="226"/>
      <c r="I8" s="226">
        <v>3.3E-05</v>
      </c>
      <c r="J8" s="226"/>
      <c r="K8" s="226">
        <v>0.00044</v>
      </c>
      <c r="L8" s="231"/>
    </row>
    <row r="9" spans="2:12" ht="15">
      <c r="B9" s="60" t="s">
        <v>111</v>
      </c>
      <c r="C9" s="226">
        <v>0.017455</v>
      </c>
      <c r="D9" s="226"/>
      <c r="E9" s="226">
        <v>0.002608</v>
      </c>
      <c r="F9" s="226"/>
      <c r="G9" s="226">
        <v>0.024978</v>
      </c>
      <c r="H9" s="226"/>
      <c r="I9" s="226">
        <v>3.3E-05</v>
      </c>
      <c r="J9" s="226"/>
      <c r="K9" s="226">
        <v>0.00044</v>
      </c>
      <c r="L9" s="231"/>
    </row>
    <row r="10" spans="2:12" ht="15">
      <c r="B10" s="60" t="s">
        <v>127</v>
      </c>
      <c r="C10" s="226">
        <v>0.017455</v>
      </c>
      <c r="D10" s="226"/>
      <c r="E10" s="226">
        <v>0.002608</v>
      </c>
      <c r="F10" s="226"/>
      <c r="G10" s="226">
        <v>0.024978</v>
      </c>
      <c r="H10" s="226"/>
      <c r="I10" s="226">
        <v>3.3E-05</v>
      </c>
      <c r="J10" s="226"/>
      <c r="K10" s="226">
        <v>0.00044</v>
      </c>
      <c r="L10" s="231"/>
    </row>
    <row r="11" spans="2:12" ht="15">
      <c r="B11" s="60" t="s">
        <v>69</v>
      </c>
      <c r="C11" s="226">
        <v>0.00552</v>
      </c>
      <c r="D11" s="226"/>
      <c r="E11" s="226">
        <v>0.001227</v>
      </c>
      <c r="F11" s="226"/>
      <c r="G11" s="226">
        <v>0.035635</v>
      </c>
      <c r="H11" s="226"/>
      <c r="I11" s="226">
        <v>4.57E-05</v>
      </c>
      <c r="J11" s="226"/>
      <c r="K11" s="226">
        <v>0.000644</v>
      </c>
      <c r="L11" s="231"/>
    </row>
    <row r="12" spans="2:12" ht="15.75" thickBot="1">
      <c r="B12" s="62" t="s">
        <v>73</v>
      </c>
      <c r="C12" s="217">
        <v>0.00552</v>
      </c>
      <c r="D12" s="217"/>
      <c r="E12" s="217">
        <v>0.001227</v>
      </c>
      <c r="F12" s="217"/>
      <c r="G12" s="217">
        <v>0.035635</v>
      </c>
      <c r="H12" s="217"/>
      <c r="I12" s="217">
        <v>4.57E-05</v>
      </c>
      <c r="J12" s="217"/>
      <c r="K12" s="217">
        <v>0.000644</v>
      </c>
      <c r="L12" s="218"/>
    </row>
    <row r="13" spans="2:12" ht="12.75">
      <c r="B13" s="222" t="s">
        <v>56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4" spans="2:12" ht="12.75">
      <c r="B14" s="223" t="s">
        <v>57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2:12" ht="12.7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3.5" thickBot="1"/>
    <row r="17" spans="2:13" ht="15.75" thickBot="1">
      <c r="B17" s="107"/>
      <c r="C17" s="219" t="s">
        <v>10</v>
      </c>
      <c r="D17" s="220"/>
      <c r="E17" s="220"/>
      <c r="F17" s="221"/>
      <c r="G17" s="219" t="s">
        <v>59</v>
      </c>
      <c r="H17" s="220"/>
      <c r="I17" s="220"/>
      <c r="J17" s="220"/>
      <c r="K17" s="221"/>
      <c r="L17" s="7"/>
      <c r="M17" s="7"/>
    </row>
    <row r="18" spans="2:14" ht="55.5" thickBot="1">
      <c r="B18" s="108" t="s">
        <v>11</v>
      </c>
      <c r="C18" s="109" t="s">
        <v>43</v>
      </c>
      <c r="D18" s="110" t="s">
        <v>42</v>
      </c>
      <c r="E18" s="111" t="s">
        <v>140</v>
      </c>
      <c r="F18" s="112" t="s">
        <v>141</v>
      </c>
      <c r="G18" s="113" t="s">
        <v>27</v>
      </c>
      <c r="H18" s="114" t="s">
        <v>28</v>
      </c>
      <c r="I18" s="113" t="s">
        <v>29</v>
      </c>
      <c r="J18" s="113" t="s">
        <v>30</v>
      </c>
      <c r="K18" s="114" t="s">
        <v>31</v>
      </c>
      <c r="L18" s="8"/>
      <c r="M18" s="16"/>
      <c r="N18" s="16"/>
    </row>
    <row r="19" spans="2:14" ht="12.75">
      <c r="B19" s="59" t="s">
        <v>105</v>
      </c>
      <c r="C19" s="32">
        <v>90</v>
      </c>
      <c r="D19" s="32">
        <v>2</v>
      </c>
      <c r="E19" s="183">
        <v>16.2</v>
      </c>
      <c r="F19" s="32">
        <f>E19*D19*C19</f>
        <v>2916</v>
      </c>
      <c r="G19" s="128">
        <f aca="true" t="shared" si="0" ref="G19:G25">F19*C6</f>
        <v>37.38312</v>
      </c>
      <c r="H19" s="128">
        <f aca="true" t="shared" si="1" ref="H19:H25">F19*E6</f>
        <v>4.032827999999999</v>
      </c>
      <c r="I19" s="128">
        <f aca="true" t="shared" si="2" ref="I19:I25">F19*G6</f>
        <v>3.968676</v>
      </c>
      <c r="J19" s="128">
        <f aca="true" t="shared" si="3" ref="J19:J25">F19*I6</f>
        <v>0.026244</v>
      </c>
      <c r="K19" s="129">
        <f aca="true" t="shared" si="4" ref="K19:K25">F19*K6</f>
        <v>0.23328000000000002</v>
      </c>
      <c r="L19" s="30"/>
      <c r="M19" s="31"/>
      <c r="N19" s="31"/>
    </row>
    <row r="20" spans="2:14" ht="12.75">
      <c r="B20" s="60" t="s">
        <v>99</v>
      </c>
      <c r="C20" s="21">
        <v>4</v>
      </c>
      <c r="D20" s="21">
        <v>1</v>
      </c>
      <c r="E20" s="21">
        <v>5</v>
      </c>
      <c r="F20" s="21">
        <f aca="true" t="shared" si="5" ref="F20:F25">E20*D20*C20</f>
        <v>20</v>
      </c>
      <c r="G20" s="130">
        <f t="shared" si="0"/>
        <v>0.2564</v>
      </c>
      <c r="H20" s="130">
        <f t="shared" si="1"/>
        <v>0.027659999999999997</v>
      </c>
      <c r="I20" s="130">
        <f t="shared" si="2"/>
        <v>0.02722</v>
      </c>
      <c r="J20" s="159">
        <f t="shared" si="3"/>
        <v>0.00018</v>
      </c>
      <c r="K20" s="160">
        <f t="shared" si="4"/>
        <v>0.0016</v>
      </c>
      <c r="L20" s="30"/>
      <c r="M20" s="31"/>
      <c r="N20" s="31"/>
    </row>
    <row r="21" spans="2:14" ht="12.75">
      <c r="B21" s="61" t="s">
        <v>34</v>
      </c>
      <c r="C21" s="21">
        <v>8</v>
      </c>
      <c r="D21" s="21">
        <v>2</v>
      </c>
      <c r="E21" s="21">
        <v>10</v>
      </c>
      <c r="F21" s="21">
        <f t="shared" si="5"/>
        <v>160</v>
      </c>
      <c r="G21" s="130">
        <f t="shared" si="0"/>
        <v>2.7927999999999997</v>
      </c>
      <c r="H21" s="130">
        <f t="shared" si="1"/>
        <v>0.41728</v>
      </c>
      <c r="I21" s="130">
        <f t="shared" si="2"/>
        <v>3.99648</v>
      </c>
      <c r="J21" s="130">
        <f t="shared" si="3"/>
        <v>0.00528</v>
      </c>
      <c r="K21" s="131">
        <f t="shared" si="4"/>
        <v>0.0704</v>
      </c>
      <c r="L21" s="15"/>
      <c r="M21" s="19"/>
      <c r="N21" s="19"/>
    </row>
    <row r="22" spans="2:14" s="11" customFormat="1" ht="12.75">
      <c r="B22" s="60" t="s">
        <v>41</v>
      </c>
      <c r="C22" s="21">
        <v>1</v>
      </c>
      <c r="D22" s="21">
        <v>1</v>
      </c>
      <c r="E22" s="21">
        <v>5</v>
      </c>
      <c r="F22" s="21">
        <f t="shared" si="5"/>
        <v>5</v>
      </c>
      <c r="G22" s="130">
        <f t="shared" si="0"/>
        <v>0.08727499999999999</v>
      </c>
      <c r="H22" s="130">
        <f t="shared" si="1"/>
        <v>0.01304</v>
      </c>
      <c r="I22" s="130">
        <f t="shared" si="2"/>
        <v>0.12489</v>
      </c>
      <c r="J22" s="159">
        <f t="shared" si="3"/>
        <v>0.000165</v>
      </c>
      <c r="K22" s="160">
        <f t="shared" si="4"/>
        <v>0.0022</v>
      </c>
      <c r="L22" s="15"/>
      <c r="M22" s="19"/>
      <c r="N22" s="19"/>
    </row>
    <row r="23" spans="2:14" s="11" customFormat="1" ht="12.75">
      <c r="B23" s="60" t="s">
        <v>40</v>
      </c>
      <c r="C23" s="21">
        <v>0</v>
      </c>
      <c r="D23" s="21">
        <v>0</v>
      </c>
      <c r="E23" s="21">
        <v>0</v>
      </c>
      <c r="F23" s="21">
        <f t="shared" si="5"/>
        <v>0</v>
      </c>
      <c r="G23" s="21">
        <v>0</v>
      </c>
      <c r="H23" s="21">
        <v>0</v>
      </c>
      <c r="I23" s="21">
        <f t="shared" si="2"/>
        <v>0</v>
      </c>
      <c r="J23" s="21">
        <f t="shared" si="3"/>
        <v>0</v>
      </c>
      <c r="K23" s="157">
        <f t="shared" si="4"/>
        <v>0</v>
      </c>
      <c r="L23" s="15"/>
      <c r="M23" s="19"/>
      <c r="N23" s="19"/>
    </row>
    <row r="24" spans="2:14" s="11" customFormat="1" ht="12.75">
      <c r="B24" s="60" t="s">
        <v>70</v>
      </c>
      <c r="C24" s="21">
        <v>5</v>
      </c>
      <c r="D24" s="21">
        <v>2</v>
      </c>
      <c r="E24" s="126">
        <v>15</v>
      </c>
      <c r="F24" s="21">
        <f t="shared" si="5"/>
        <v>150</v>
      </c>
      <c r="G24" s="130">
        <f t="shared" si="0"/>
        <v>0.828</v>
      </c>
      <c r="H24" s="130">
        <f t="shared" si="1"/>
        <v>0.18405</v>
      </c>
      <c r="I24" s="130">
        <f t="shared" si="2"/>
        <v>5.34525</v>
      </c>
      <c r="J24" s="130">
        <f t="shared" si="3"/>
        <v>0.006855</v>
      </c>
      <c r="K24" s="131">
        <f t="shared" si="4"/>
        <v>0.0966</v>
      </c>
      <c r="L24" s="19"/>
      <c r="M24" s="19"/>
      <c r="N24" s="19"/>
    </row>
    <row r="25" spans="2:14" s="11" customFormat="1" ht="13.5" thickBot="1">
      <c r="B25" s="63" t="s">
        <v>74</v>
      </c>
      <c r="C25" s="33">
        <v>10</v>
      </c>
      <c r="D25" s="33">
        <v>2</v>
      </c>
      <c r="E25" s="127">
        <v>10</v>
      </c>
      <c r="F25" s="33">
        <f t="shared" si="5"/>
        <v>200</v>
      </c>
      <c r="G25" s="132">
        <f t="shared" si="0"/>
        <v>1.1039999999999999</v>
      </c>
      <c r="H25" s="132">
        <f t="shared" si="1"/>
        <v>0.2454</v>
      </c>
      <c r="I25" s="132">
        <f t="shared" si="2"/>
        <v>7.127</v>
      </c>
      <c r="J25" s="132">
        <f t="shared" si="3"/>
        <v>0.00914</v>
      </c>
      <c r="K25" s="133">
        <f t="shared" si="4"/>
        <v>0.1288</v>
      </c>
      <c r="L25" s="19"/>
      <c r="M25" s="19"/>
      <c r="N25" s="19"/>
    </row>
    <row r="26" spans="2:14" ht="14.25" thickBot="1" thickTop="1">
      <c r="B26" s="163" t="s">
        <v>33</v>
      </c>
      <c r="C26" s="154"/>
      <c r="D26" s="154"/>
      <c r="E26" s="154"/>
      <c r="F26" s="154"/>
      <c r="G26" s="155">
        <f>SUM(G19:G25)</f>
        <v>42.451595</v>
      </c>
      <c r="H26" s="155">
        <f>SUM(H19:H25)</f>
        <v>4.920258</v>
      </c>
      <c r="I26" s="155">
        <f>SUM(I19:I25)</f>
        <v>20.589516</v>
      </c>
      <c r="J26" s="155">
        <f>SUM(J19:J25)</f>
        <v>0.047864</v>
      </c>
      <c r="K26" s="156">
        <f>SUM(K19:K25)</f>
        <v>0.53288</v>
      </c>
      <c r="L26" s="19"/>
      <c r="M26" s="19"/>
      <c r="N26" s="19"/>
    </row>
    <row r="27" spans="2:10" ht="12.75">
      <c r="B27" s="90" t="s">
        <v>72</v>
      </c>
      <c r="C27" s="90"/>
      <c r="D27" s="90"/>
      <c r="E27" s="90"/>
      <c r="F27" s="90"/>
      <c r="G27" s="90"/>
      <c r="H27" s="90"/>
      <c r="I27" s="90"/>
      <c r="J27" s="90"/>
    </row>
    <row r="28" spans="2:13" ht="12.75">
      <c r="B28" s="91" t="s">
        <v>94</v>
      </c>
      <c r="C28" s="91"/>
      <c r="D28" s="91"/>
      <c r="E28" s="91"/>
      <c r="F28" s="91"/>
      <c r="M28" s="9"/>
    </row>
    <row r="29" spans="2:11" ht="12.75">
      <c r="B29" s="225" t="s">
        <v>139</v>
      </c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t="12.75">
      <c r="B30" s="224" t="s">
        <v>167</v>
      </c>
      <c r="C30" s="224"/>
      <c r="D30" s="224"/>
      <c r="E30" s="224"/>
      <c r="F30" s="224"/>
      <c r="G30" s="224"/>
      <c r="H30" s="224"/>
      <c r="I30" s="224"/>
      <c r="J30" s="224"/>
      <c r="K30" s="224"/>
    </row>
    <row r="31" spans="2:11" ht="12.75"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3" spans="1:13" ht="12.7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</row>
  </sheetData>
  <sheetProtection/>
  <mergeCells count="48">
    <mergeCell ref="B2:L2"/>
    <mergeCell ref="B3:L3"/>
    <mergeCell ref="K10:L10"/>
    <mergeCell ref="I9:J9"/>
    <mergeCell ref="G10:H10"/>
    <mergeCell ref="I10:J10"/>
    <mergeCell ref="I8:J8"/>
    <mergeCell ref="G9:H9"/>
    <mergeCell ref="K6:L6"/>
    <mergeCell ref="K7:L7"/>
    <mergeCell ref="K8:L8"/>
    <mergeCell ref="G6:H6"/>
    <mergeCell ref="G7:H7"/>
    <mergeCell ref="I7:J7"/>
    <mergeCell ref="I6:J6"/>
    <mergeCell ref="K5:L5"/>
    <mergeCell ref="I5:J5"/>
    <mergeCell ref="C6:D6"/>
    <mergeCell ref="E11:F11"/>
    <mergeCell ref="G11:H11"/>
    <mergeCell ref="I11:J11"/>
    <mergeCell ref="K11:L11"/>
    <mergeCell ref="E5:F5"/>
    <mergeCell ref="E6:F6"/>
    <mergeCell ref="C5:D5"/>
    <mergeCell ref="G8:H8"/>
    <mergeCell ref="G5:H5"/>
    <mergeCell ref="C8:D8"/>
    <mergeCell ref="E8:F8"/>
    <mergeCell ref="C7:D7"/>
    <mergeCell ref="E7:F7"/>
    <mergeCell ref="B30:K30"/>
    <mergeCell ref="B29:K29"/>
    <mergeCell ref="C12:D12"/>
    <mergeCell ref="E12:F12"/>
    <mergeCell ref="C9:D9"/>
    <mergeCell ref="C11:D11"/>
    <mergeCell ref="E9:F9"/>
    <mergeCell ref="C10:D10"/>
    <mergeCell ref="E10:F10"/>
    <mergeCell ref="K9:L9"/>
    <mergeCell ref="G12:H12"/>
    <mergeCell ref="I12:J12"/>
    <mergeCell ref="K12:L12"/>
    <mergeCell ref="C17:F17"/>
    <mergeCell ref="G17:K17"/>
    <mergeCell ref="B13:L13"/>
    <mergeCell ref="B14:L14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EIR&amp;CB-6&amp;RMarch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N33"/>
  <sheetViews>
    <sheetView view="pageBreakPreview" zoomScale="60" zoomScalePageLayoutView="0" workbookViewId="0" topLeftCell="A1">
      <selection activeCell="A1" sqref="A1:M1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2" ht="15">
      <c r="B2" s="232" t="s">
        <v>180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2:12" ht="15">
      <c r="B3" s="232" t="s">
        <v>181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ht="13.5" thickBot="1"/>
    <row r="5" spans="2:12" ht="30" customHeight="1" thickBot="1">
      <c r="B5" s="106" t="s">
        <v>9</v>
      </c>
      <c r="C5" s="227" t="s">
        <v>23</v>
      </c>
      <c r="D5" s="228"/>
      <c r="E5" s="227" t="s">
        <v>71</v>
      </c>
      <c r="F5" s="229"/>
      <c r="G5" s="227" t="s">
        <v>24</v>
      </c>
      <c r="H5" s="228"/>
      <c r="I5" s="227" t="s">
        <v>25</v>
      </c>
      <c r="J5" s="229"/>
      <c r="K5" s="227" t="s">
        <v>26</v>
      </c>
      <c r="L5" s="228"/>
    </row>
    <row r="6" spans="2:12" ht="15">
      <c r="B6" s="59" t="s">
        <v>104</v>
      </c>
      <c r="C6" s="230">
        <v>0.01282</v>
      </c>
      <c r="D6" s="230"/>
      <c r="E6" s="230">
        <v>0.001383</v>
      </c>
      <c r="F6" s="230"/>
      <c r="G6" s="230">
        <v>0.001361</v>
      </c>
      <c r="H6" s="230"/>
      <c r="I6" s="230">
        <v>9E-06</v>
      </c>
      <c r="J6" s="230"/>
      <c r="K6" s="230">
        <v>8E-05</v>
      </c>
      <c r="L6" s="233"/>
    </row>
    <row r="7" spans="2:12" ht="15">
      <c r="B7" s="60" t="s">
        <v>98</v>
      </c>
      <c r="C7" s="226">
        <v>0.01282</v>
      </c>
      <c r="D7" s="226"/>
      <c r="E7" s="226">
        <v>0.001383</v>
      </c>
      <c r="F7" s="226"/>
      <c r="G7" s="226">
        <v>0.001361</v>
      </c>
      <c r="H7" s="226"/>
      <c r="I7" s="226">
        <v>9E-06</v>
      </c>
      <c r="J7" s="226"/>
      <c r="K7" s="226">
        <v>8E-05</v>
      </c>
      <c r="L7" s="231"/>
    </row>
    <row r="8" spans="2:12" ht="15">
      <c r="B8" s="61" t="s">
        <v>58</v>
      </c>
      <c r="C8" s="226">
        <v>0.017455</v>
      </c>
      <c r="D8" s="226"/>
      <c r="E8" s="226">
        <v>0.002608</v>
      </c>
      <c r="F8" s="226"/>
      <c r="G8" s="226">
        <v>0.024978</v>
      </c>
      <c r="H8" s="226"/>
      <c r="I8" s="226">
        <v>3.3E-05</v>
      </c>
      <c r="J8" s="226"/>
      <c r="K8" s="226">
        <v>0.00044</v>
      </c>
      <c r="L8" s="231"/>
    </row>
    <row r="9" spans="2:12" ht="15">
      <c r="B9" s="60" t="s">
        <v>111</v>
      </c>
      <c r="C9" s="226">
        <v>0.017455</v>
      </c>
      <c r="D9" s="226"/>
      <c r="E9" s="226">
        <v>0.002608</v>
      </c>
      <c r="F9" s="226"/>
      <c r="G9" s="226">
        <v>0.024978</v>
      </c>
      <c r="H9" s="226"/>
      <c r="I9" s="226">
        <v>3.3E-05</v>
      </c>
      <c r="J9" s="226"/>
      <c r="K9" s="226">
        <v>0.00044</v>
      </c>
      <c r="L9" s="231"/>
    </row>
    <row r="10" spans="2:12" ht="15">
      <c r="B10" s="60" t="s">
        <v>127</v>
      </c>
      <c r="C10" s="226">
        <v>0.017455</v>
      </c>
      <c r="D10" s="226"/>
      <c r="E10" s="226">
        <v>0.002608</v>
      </c>
      <c r="F10" s="226"/>
      <c r="G10" s="226">
        <v>0.024978</v>
      </c>
      <c r="H10" s="226"/>
      <c r="I10" s="226">
        <v>3.3E-05</v>
      </c>
      <c r="J10" s="226"/>
      <c r="K10" s="226">
        <v>0.00044</v>
      </c>
      <c r="L10" s="231"/>
    </row>
    <row r="11" spans="2:12" ht="15">
      <c r="B11" s="60" t="s">
        <v>69</v>
      </c>
      <c r="C11" s="226">
        <v>0.00552</v>
      </c>
      <c r="D11" s="226"/>
      <c r="E11" s="226">
        <v>0.001227</v>
      </c>
      <c r="F11" s="226"/>
      <c r="G11" s="226">
        <v>0.035635</v>
      </c>
      <c r="H11" s="226"/>
      <c r="I11" s="226">
        <v>4.57E-05</v>
      </c>
      <c r="J11" s="226"/>
      <c r="K11" s="226">
        <v>0.000644</v>
      </c>
      <c r="L11" s="231"/>
    </row>
    <row r="12" spans="2:12" ht="15.75" thickBot="1">
      <c r="B12" s="62" t="s">
        <v>73</v>
      </c>
      <c r="C12" s="217">
        <v>0.00552</v>
      </c>
      <c r="D12" s="217"/>
      <c r="E12" s="217">
        <v>0.001227</v>
      </c>
      <c r="F12" s="217"/>
      <c r="G12" s="217">
        <v>0.035635</v>
      </c>
      <c r="H12" s="217"/>
      <c r="I12" s="217">
        <v>4.57E-05</v>
      </c>
      <c r="J12" s="217"/>
      <c r="K12" s="217">
        <v>0.000644</v>
      </c>
      <c r="L12" s="218"/>
    </row>
    <row r="13" spans="2:12" ht="12.75">
      <c r="B13" s="222" t="s">
        <v>56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4" spans="2:12" ht="12.75">
      <c r="B14" s="223" t="s">
        <v>57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2:12" ht="12.7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3.5" thickBot="1"/>
    <row r="17" spans="2:13" ht="15.75" thickBot="1">
      <c r="B17" s="107"/>
      <c r="C17" s="219" t="s">
        <v>10</v>
      </c>
      <c r="D17" s="220"/>
      <c r="E17" s="220"/>
      <c r="F17" s="221"/>
      <c r="G17" s="219" t="s">
        <v>59</v>
      </c>
      <c r="H17" s="220"/>
      <c r="I17" s="220"/>
      <c r="J17" s="220"/>
      <c r="K17" s="221"/>
      <c r="L17" s="7"/>
      <c r="M17" s="7"/>
    </row>
    <row r="18" spans="1:14" ht="55.5" thickBot="1">
      <c r="A18" s="234"/>
      <c r="B18" s="108" t="s">
        <v>11</v>
      </c>
      <c r="C18" s="109" t="s">
        <v>43</v>
      </c>
      <c r="D18" s="110" t="s">
        <v>42</v>
      </c>
      <c r="E18" s="111" t="s">
        <v>140</v>
      </c>
      <c r="F18" s="112" t="s">
        <v>141</v>
      </c>
      <c r="G18" s="113" t="s">
        <v>27</v>
      </c>
      <c r="H18" s="114" t="s">
        <v>28</v>
      </c>
      <c r="I18" s="113" t="s">
        <v>29</v>
      </c>
      <c r="J18" s="113" t="s">
        <v>30</v>
      </c>
      <c r="K18" s="114" t="s">
        <v>31</v>
      </c>
      <c r="L18" s="8"/>
      <c r="M18" s="16"/>
      <c r="N18" s="16"/>
    </row>
    <row r="19" spans="1:14" ht="12.75">
      <c r="A19" s="234"/>
      <c r="B19" s="59" t="s">
        <v>105</v>
      </c>
      <c r="C19" s="32">
        <v>230</v>
      </c>
      <c r="D19" s="32">
        <v>2</v>
      </c>
      <c r="E19" s="183">
        <v>16.2</v>
      </c>
      <c r="F19" s="32">
        <f>E19*D19*C19</f>
        <v>7452</v>
      </c>
      <c r="G19" s="128">
        <f aca="true" t="shared" si="0" ref="G19:G25">F19*C6</f>
        <v>95.53464</v>
      </c>
      <c r="H19" s="128">
        <f aca="true" t="shared" si="1" ref="H19:H25">F19*E6</f>
        <v>10.306116</v>
      </c>
      <c r="I19" s="128">
        <f aca="true" t="shared" si="2" ref="I19:I25">F19*G6</f>
        <v>10.142172</v>
      </c>
      <c r="J19" s="128">
        <f aca="true" t="shared" si="3" ref="J19:J25">F19*I6</f>
        <v>0.067068</v>
      </c>
      <c r="K19" s="129">
        <f aca="true" t="shared" si="4" ref="K19:K25">F19*K6</f>
        <v>0.59616</v>
      </c>
      <c r="L19" s="30"/>
      <c r="M19" s="31"/>
      <c r="N19" s="31"/>
    </row>
    <row r="20" spans="2:14" ht="12.75">
      <c r="B20" s="60" t="s">
        <v>99</v>
      </c>
      <c r="C20" s="21">
        <v>5</v>
      </c>
      <c r="D20" s="21">
        <v>1</v>
      </c>
      <c r="E20" s="21">
        <v>5</v>
      </c>
      <c r="F20" s="21">
        <f aca="true" t="shared" si="5" ref="F20:F25">E20*D20*C20</f>
        <v>25</v>
      </c>
      <c r="G20" s="130">
        <f t="shared" si="0"/>
        <v>0.3205</v>
      </c>
      <c r="H20" s="130">
        <f t="shared" si="1"/>
        <v>0.034574999999999995</v>
      </c>
      <c r="I20" s="130">
        <f t="shared" si="2"/>
        <v>0.034025</v>
      </c>
      <c r="J20" s="159">
        <f t="shared" si="3"/>
        <v>0.000225</v>
      </c>
      <c r="K20" s="160">
        <f t="shared" si="4"/>
        <v>0.002</v>
      </c>
      <c r="L20" s="30"/>
      <c r="M20" s="31"/>
      <c r="N20" s="31"/>
    </row>
    <row r="21" spans="2:14" ht="12.75">
      <c r="B21" s="61" t="s">
        <v>34</v>
      </c>
      <c r="C21" s="21">
        <v>15</v>
      </c>
      <c r="D21" s="21">
        <v>2</v>
      </c>
      <c r="E21" s="21">
        <v>10</v>
      </c>
      <c r="F21" s="21">
        <f t="shared" si="5"/>
        <v>300</v>
      </c>
      <c r="G21" s="130">
        <f t="shared" si="0"/>
        <v>5.2364999999999995</v>
      </c>
      <c r="H21" s="130">
        <f t="shared" si="1"/>
        <v>0.7824</v>
      </c>
      <c r="I21" s="130">
        <f t="shared" si="2"/>
        <v>7.4934</v>
      </c>
      <c r="J21" s="130">
        <f t="shared" si="3"/>
        <v>0.0099</v>
      </c>
      <c r="K21" s="131">
        <f t="shared" si="4"/>
        <v>0.132</v>
      </c>
      <c r="L21" s="15"/>
      <c r="M21" s="19"/>
      <c r="N21" s="19"/>
    </row>
    <row r="22" spans="1:14" s="11" customFormat="1" ht="12.75">
      <c r="A22" s="235"/>
      <c r="B22" s="60" t="s">
        <v>41</v>
      </c>
      <c r="C22" s="21">
        <v>1</v>
      </c>
      <c r="D22" s="21">
        <v>1</v>
      </c>
      <c r="E22" s="21">
        <v>5</v>
      </c>
      <c r="F22" s="21">
        <f t="shared" si="5"/>
        <v>5</v>
      </c>
      <c r="G22" s="130">
        <f t="shared" si="0"/>
        <v>0.08727499999999999</v>
      </c>
      <c r="H22" s="130">
        <f t="shared" si="1"/>
        <v>0.01304</v>
      </c>
      <c r="I22" s="130">
        <f t="shared" si="2"/>
        <v>0.12489</v>
      </c>
      <c r="J22" s="159">
        <f t="shared" si="3"/>
        <v>0.000165</v>
      </c>
      <c r="K22" s="160">
        <f t="shared" si="4"/>
        <v>0.0022</v>
      </c>
      <c r="L22" s="15"/>
      <c r="M22" s="19"/>
      <c r="N22" s="19"/>
    </row>
    <row r="23" spans="1:14" s="11" customFormat="1" ht="12.75">
      <c r="A23" s="235"/>
      <c r="B23" s="60" t="s">
        <v>40</v>
      </c>
      <c r="C23" s="21">
        <v>2</v>
      </c>
      <c r="D23" s="21">
        <v>1</v>
      </c>
      <c r="E23" s="21">
        <v>5</v>
      </c>
      <c r="F23" s="21">
        <f t="shared" si="5"/>
        <v>10</v>
      </c>
      <c r="G23" s="130">
        <f t="shared" si="0"/>
        <v>0.17454999999999998</v>
      </c>
      <c r="H23" s="130">
        <f t="shared" si="1"/>
        <v>0.02608</v>
      </c>
      <c r="I23" s="130">
        <f t="shared" si="2"/>
        <v>0.24978</v>
      </c>
      <c r="J23" s="159">
        <f t="shared" si="3"/>
        <v>0.00033</v>
      </c>
      <c r="K23" s="160">
        <f t="shared" si="4"/>
        <v>0.0044</v>
      </c>
      <c r="L23" s="15"/>
      <c r="M23" s="19"/>
      <c r="N23" s="19"/>
    </row>
    <row r="24" spans="1:14" s="11" customFormat="1" ht="12.75">
      <c r="A24" s="47"/>
      <c r="B24" s="60" t="s">
        <v>70</v>
      </c>
      <c r="C24" s="21">
        <v>0</v>
      </c>
      <c r="D24" s="21">
        <v>0</v>
      </c>
      <c r="E24" s="126">
        <v>0</v>
      </c>
      <c r="F24" s="21">
        <f t="shared" si="5"/>
        <v>0</v>
      </c>
      <c r="G24" s="21">
        <f t="shared" si="0"/>
        <v>0</v>
      </c>
      <c r="H24" s="21">
        <f t="shared" si="1"/>
        <v>0</v>
      </c>
      <c r="I24" s="21">
        <f t="shared" si="2"/>
        <v>0</v>
      </c>
      <c r="J24" s="21">
        <f t="shared" si="3"/>
        <v>0</v>
      </c>
      <c r="K24" s="157">
        <f t="shared" si="4"/>
        <v>0</v>
      </c>
      <c r="L24" s="19"/>
      <c r="M24" s="19"/>
      <c r="N24" s="19"/>
    </row>
    <row r="25" spans="1:14" s="11" customFormat="1" ht="13.5" thickBot="1">
      <c r="A25" s="47"/>
      <c r="B25" s="63" t="s">
        <v>74</v>
      </c>
      <c r="C25" s="33">
        <v>0</v>
      </c>
      <c r="D25" s="33">
        <v>0</v>
      </c>
      <c r="E25" s="127">
        <v>0</v>
      </c>
      <c r="F25" s="33">
        <f t="shared" si="5"/>
        <v>0</v>
      </c>
      <c r="G25" s="33">
        <f t="shared" si="0"/>
        <v>0</v>
      </c>
      <c r="H25" s="33">
        <f t="shared" si="1"/>
        <v>0</v>
      </c>
      <c r="I25" s="33">
        <f t="shared" si="2"/>
        <v>0</v>
      </c>
      <c r="J25" s="33">
        <f t="shared" si="3"/>
        <v>0</v>
      </c>
      <c r="K25" s="162">
        <f t="shared" si="4"/>
        <v>0</v>
      </c>
      <c r="L25" s="19"/>
      <c r="M25" s="19"/>
      <c r="N25" s="19"/>
    </row>
    <row r="26" spans="2:14" ht="14.25" thickBot="1" thickTop="1">
      <c r="B26" s="163" t="s">
        <v>33</v>
      </c>
      <c r="C26" s="154"/>
      <c r="D26" s="154"/>
      <c r="E26" s="154"/>
      <c r="F26" s="154"/>
      <c r="G26" s="155">
        <f>SUM(G19:G25)</f>
        <v>101.35346499999999</v>
      </c>
      <c r="H26" s="155">
        <f>SUM(H19:H25)</f>
        <v>11.162211</v>
      </c>
      <c r="I26" s="155">
        <f>SUM(I19:I25)</f>
        <v>18.044267</v>
      </c>
      <c r="J26" s="155">
        <f>SUM(J19:J25)</f>
        <v>0.07768800000000001</v>
      </c>
      <c r="K26" s="161">
        <f>SUM(K19:K25)</f>
        <v>0.73676</v>
      </c>
      <c r="L26" s="19"/>
      <c r="M26" s="19"/>
      <c r="N26" s="19"/>
    </row>
    <row r="27" spans="2:10" ht="12.75">
      <c r="B27" s="91" t="s">
        <v>72</v>
      </c>
      <c r="C27" s="91"/>
      <c r="D27" s="91"/>
      <c r="E27" s="91"/>
      <c r="F27" s="91"/>
      <c r="G27" s="91"/>
      <c r="H27" s="91"/>
      <c r="I27" s="91"/>
      <c r="J27" s="91"/>
    </row>
    <row r="28" spans="2:13" ht="12.75">
      <c r="B28" s="91" t="s">
        <v>94</v>
      </c>
      <c r="C28" s="91"/>
      <c r="D28" s="91"/>
      <c r="E28" s="91"/>
      <c r="F28" s="91"/>
      <c r="G28" s="91"/>
      <c r="H28" s="91"/>
      <c r="I28" s="91"/>
      <c r="J28" s="91"/>
      <c r="M28" s="9"/>
    </row>
    <row r="29" spans="2:11" ht="12.75">
      <c r="B29" s="225" t="s">
        <v>139</v>
      </c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t="12.75">
      <c r="B30" s="224" t="s">
        <v>167</v>
      </c>
      <c r="C30" s="224"/>
      <c r="D30" s="224"/>
      <c r="E30" s="224"/>
      <c r="F30" s="224"/>
      <c r="G30" s="224"/>
      <c r="H30" s="224"/>
      <c r="I30" s="224"/>
      <c r="J30" s="224"/>
      <c r="K30" s="224"/>
    </row>
    <row r="33" spans="1:13" ht="12.7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</row>
  </sheetData>
  <sheetProtection/>
  <mergeCells count="50">
    <mergeCell ref="B2:L2"/>
    <mergeCell ref="B3:L3"/>
    <mergeCell ref="A22:A23"/>
    <mergeCell ref="C7:D7"/>
    <mergeCell ref="E7:F7"/>
    <mergeCell ref="G5:H5"/>
    <mergeCell ref="C8:D8"/>
    <mergeCell ref="E8:F8"/>
    <mergeCell ref="C17:F17"/>
    <mergeCell ref="G17:K17"/>
    <mergeCell ref="K5:L5"/>
    <mergeCell ref="I5:J5"/>
    <mergeCell ref="K6:L6"/>
    <mergeCell ref="G6:H6"/>
    <mergeCell ref="C6:D6"/>
    <mergeCell ref="E5:F5"/>
    <mergeCell ref="E6:F6"/>
    <mergeCell ref="C5:D5"/>
    <mergeCell ref="K9:L9"/>
    <mergeCell ref="G7:H7"/>
    <mergeCell ref="I7:J7"/>
    <mergeCell ref="I6:J6"/>
    <mergeCell ref="G8:H8"/>
    <mergeCell ref="I8:J8"/>
    <mergeCell ref="K7:L7"/>
    <mergeCell ref="K8:L8"/>
    <mergeCell ref="C9:D9"/>
    <mergeCell ref="I9:J9"/>
    <mergeCell ref="G10:H10"/>
    <mergeCell ref="I10:J10"/>
    <mergeCell ref="G9:H9"/>
    <mergeCell ref="E9:F9"/>
    <mergeCell ref="A18:A19"/>
    <mergeCell ref="C10:D10"/>
    <mergeCell ref="E10:F10"/>
    <mergeCell ref="C11:D11"/>
    <mergeCell ref="E11:F11"/>
    <mergeCell ref="B13:L13"/>
    <mergeCell ref="B14:L14"/>
    <mergeCell ref="K12:L12"/>
    <mergeCell ref="K10:L10"/>
    <mergeCell ref="B30:K30"/>
    <mergeCell ref="B29:K29"/>
    <mergeCell ref="G11:H11"/>
    <mergeCell ref="I11:J11"/>
    <mergeCell ref="K11:L11"/>
    <mergeCell ref="C12:D12"/>
    <mergeCell ref="E12:F12"/>
    <mergeCell ref="G12:H12"/>
    <mergeCell ref="I12:J12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EIR&amp;CB-7&amp;RMarch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N33"/>
  <sheetViews>
    <sheetView view="pageBreakPreview" zoomScale="60" zoomScalePageLayoutView="0" workbookViewId="0" topLeftCell="A1">
      <selection activeCell="N3" sqref="N3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2:12" ht="15">
      <c r="B2" s="232" t="s">
        <v>182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2:12" ht="15">
      <c r="B3" s="232" t="s">
        <v>183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ht="13.5" thickBot="1"/>
    <row r="5" spans="2:12" ht="30" customHeight="1" thickBot="1">
      <c r="B5" s="106" t="s">
        <v>9</v>
      </c>
      <c r="C5" s="227" t="s">
        <v>23</v>
      </c>
      <c r="D5" s="228"/>
      <c r="E5" s="227" t="s">
        <v>71</v>
      </c>
      <c r="F5" s="229"/>
      <c r="G5" s="227" t="s">
        <v>24</v>
      </c>
      <c r="H5" s="228"/>
      <c r="I5" s="227" t="s">
        <v>25</v>
      </c>
      <c r="J5" s="229"/>
      <c r="K5" s="227" t="s">
        <v>26</v>
      </c>
      <c r="L5" s="228"/>
    </row>
    <row r="6" spans="2:12" ht="15">
      <c r="B6" s="59" t="s">
        <v>104</v>
      </c>
      <c r="C6" s="230">
        <v>0.011798</v>
      </c>
      <c r="D6" s="230"/>
      <c r="E6" s="230">
        <v>0.001277</v>
      </c>
      <c r="F6" s="230"/>
      <c r="G6" s="230">
        <v>0.001245</v>
      </c>
      <c r="H6" s="230"/>
      <c r="I6" s="230">
        <v>9E-06</v>
      </c>
      <c r="J6" s="230"/>
      <c r="K6" s="230">
        <v>8E-05</v>
      </c>
      <c r="L6" s="233"/>
    </row>
    <row r="7" spans="2:12" ht="15">
      <c r="B7" s="60" t="s">
        <v>98</v>
      </c>
      <c r="C7" s="226">
        <v>0.011798</v>
      </c>
      <c r="D7" s="226"/>
      <c r="E7" s="226">
        <v>0.001277</v>
      </c>
      <c r="F7" s="226"/>
      <c r="G7" s="226">
        <v>0.001245</v>
      </c>
      <c r="H7" s="226"/>
      <c r="I7" s="226">
        <v>9E-06</v>
      </c>
      <c r="J7" s="226"/>
      <c r="K7" s="226">
        <v>8E-05</v>
      </c>
      <c r="L7" s="231"/>
    </row>
    <row r="8" spans="2:12" ht="15">
      <c r="B8" s="61" t="s">
        <v>58</v>
      </c>
      <c r="C8" s="226">
        <v>0.015942</v>
      </c>
      <c r="D8" s="226"/>
      <c r="E8" s="226">
        <v>0.00245</v>
      </c>
      <c r="F8" s="226"/>
      <c r="G8" s="226">
        <v>0.023199</v>
      </c>
      <c r="H8" s="226"/>
      <c r="I8" s="226">
        <v>3.3E-05</v>
      </c>
      <c r="J8" s="226"/>
      <c r="K8" s="226">
        <v>0.000419</v>
      </c>
      <c r="L8" s="231"/>
    </row>
    <row r="9" spans="2:12" ht="15">
      <c r="B9" s="60" t="s">
        <v>111</v>
      </c>
      <c r="C9" s="226">
        <v>0.015942</v>
      </c>
      <c r="D9" s="226"/>
      <c r="E9" s="226">
        <v>0.00245</v>
      </c>
      <c r="F9" s="226"/>
      <c r="G9" s="226">
        <v>0.023199</v>
      </c>
      <c r="H9" s="226"/>
      <c r="I9" s="226">
        <v>3.3E-05</v>
      </c>
      <c r="J9" s="226"/>
      <c r="K9" s="226">
        <v>0.000419</v>
      </c>
      <c r="L9" s="231"/>
    </row>
    <row r="10" spans="2:12" ht="15">
      <c r="B10" s="60" t="s">
        <v>127</v>
      </c>
      <c r="C10" s="226">
        <v>0.015942</v>
      </c>
      <c r="D10" s="226"/>
      <c r="E10" s="226">
        <v>0.00245</v>
      </c>
      <c r="F10" s="226"/>
      <c r="G10" s="226">
        <v>0.023199</v>
      </c>
      <c r="H10" s="226"/>
      <c r="I10" s="226">
        <v>3.3E-05</v>
      </c>
      <c r="J10" s="226"/>
      <c r="K10" s="226">
        <v>0.000419</v>
      </c>
      <c r="L10" s="231"/>
    </row>
    <row r="11" spans="2:12" ht="15">
      <c r="B11" s="60" t="s">
        <v>69</v>
      </c>
      <c r="C11" s="226">
        <v>0.005117</v>
      </c>
      <c r="D11" s="226"/>
      <c r="E11" s="226">
        <v>0.001133</v>
      </c>
      <c r="F11" s="226"/>
      <c r="G11" s="226">
        <v>0.032442</v>
      </c>
      <c r="H11" s="226"/>
      <c r="I11" s="226">
        <v>4.6E-05</v>
      </c>
      <c r="J11" s="226"/>
      <c r="K11" s="226">
        <v>0.000598</v>
      </c>
      <c r="L11" s="231"/>
    </row>
    <row r="12" spans="2:12" ht="15.75" thickBot="1">
      <c r="B12" s="62" t="s">
        <v>73</v>
      </c>
      <c r="C12" s="217">
        <v>0.005117</v>
      </c>
      <c r="D12" s="217"/>
      <c r="E12" s="217">
        <v>0.001133</v>
      </c>
      <c r="F12" s="217"/>
      <c r="G12" s="217">
        <v>0.032442</v>
      </c>
      <c r="H12" s="217"/>
      <c r="I12" s="217">
        <v>4.6E-05</v>
      </c>
      <c r="J12" s="217"/>
      <c r="K12" s="217">
        <v>0.000598</v>
      </c>
      <c r="L12" s="218"/>
    </row>
    <row r="13" spans="2:12" ht="12.75">
      <c r="B13" s="222" t="s">
        <v>60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4" spans="2:12" ht="12.75">
      <c r="B14" s="223" t="s">
        <v>61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2:12" ht="12.7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3.5" thickBot="1"/>
    <row r="17" spans="2:13" ht="15.75" thickBot="1">
      <c r="B17" s="107"/>
      <c r="C17" s="219" t="s">
        <v>10</v>
      </c>
      <c r="D17" s="220"/>
      <c r="E17" s="220"/>
      <c r="F17" s="221"/>
      <c r="G17" s="219" t="s">
        <v>59</v>
      </c>
      <c r="H17" s="220"/>
      <c r="I17" s="220"/>
      <c r="J17" s="220"/>
      <c r="K17" s="221"/>
      <c r="L17" s="7"/>
      <c r="M17" s="7"/>
    </row>
    <row r="18" spans="1:14" ht="55.5" thickBot="1">
      <c r="A18" s="234"/>
      <c r="B18" s="108" t="s">
        <v>11</v>
      </c>
      <c r="C18" s="109" t="s">
        <v>43</v>
      </c>
      <c r="D18" s="110" t="s">
        <v>42</v>
      </c>
      <c r="E18" s="111" t="s">
        <v>140</v>
      </c>
      <c r="F18" s="112" t="s">
        <v>141</v>
      </c>
      <c r="G18" s="113" t="s">
        <v>27</v>
      </c>
      <c r="H18" s="114" t="s">
        <v>28</v>
      </c>
      <c r="I18" s="113" t="s">
        <v>29</v>
      </c>
      <c r="J18" s="113" t="s">
        <v>30</v>
      </c>
      <c r="K18" s="114" t="s">
        <v>31</v>
      </c>
      <c r="L18" s="8"/>
      <c r="M18" s="16"/>
      <c r="N18" s="16"/>
    </row>
    <row r="19" spans="1:14" ht="12.75">
      <c r="A19" s="234"/>
      <c r="B19" s="59" t="s">
        <v>105</v>
      </c>
      <c r="C19" s="32">
        <v>30</v>
      </c>
      <c r="D19" s="32">
        <v>2</v>
      </c>
      <c r="E19" s="183">
        <v>16.2</v>
      </c>
      <c r="F19" s="32">
        <f>E19*D19*C19</f>
        <v>972</v>
      </c>
      <c r="G19" s="128">
        <f aca="true" t="shared" si="0" ref="G19:G25">F19*C6</f>
        <v>11.467656</v>
      </c>
      <c r="H19" s="128">
        <f aca="true" t="shared" si="1" ref="H19:H25">F19*E6</f>
        <v>1.241244</v>
      </c>
      <c r="I19" s="128">
        <f aca="true" t="shared" si="2" ref="I19:I25">F19*G6</f>
        <v>1.21014</v>
      </c>
      <c r="J19" s="128">
        <f aca="true" t="shared" si="3" ref="J19:J25">F19*I6</f>
        <v>0.008748</v>
      </c>
      <c r="K19" s="129">
        <f aca="true" t="shared" si="4" ref="K19:K25">F19*K6</f>
        <v>0.07776000000000001</v>
      </c>
      <c r="L19" s="30"/>
      <c r="M19" s="31"/>
      <c r="N19" s="31"/>
    </row>
    <row r="20" spans="2:14" ht="12.75">
      <c r="B20" s="60" t="s">
        <v>99</v>
      </c>
      <c r="C20" s="21">
        <v>2</v>
      </c>
      <c r="D20" s="21">
        <v>1</v>
      </c>
      <c r="E20" s="21">
        <v>5</v>
      </c>
      <c r="F20" s="21">
        <f aca="true" t="shared" si="5" ref="F20:F25">E20*D20*C20</f>
        <v>10</v>
      </c>
      <c r="G20" s="130">
        <f t="shared" si="0"/>
        <v>0.11798</v>
      </c>
      <c r="H20" s="130">
        <f t="shared" si="1"/>
        <v>0.01277</v>
      </c>
      <c r="I20" s="130">
        <f t="shared" si="2"/>
        <v>0.01245</v>
      </c>
      <c r="J20" s="159">
        <f t="shared" si="3"/>
        <v>9E-05</v>
      </c>
      <c r="K20" s="160">
        <f t="shared" si="4"/>
        <v>0.0008</v>
      </c>
      <c r="L20" s="30"/>
      <c r="M20" s="31"/>
      <c r="N20" s="31"/>
    </row>
    <row r="21" spans="2:14" ht="12.75">
      <c r="B21" s="61" t="s">
        <v>34</v>
      </c>
      <c r="C21" s="21">
        <v>1</v>
      </c>
      <c r="D21" s="21">
        <v>2</v>
      </c>
      <c r="E21" s="21">
        <v>10</v>
      </c>
      <c r="F21" s="21">
        <f t="shared" si="5"/>
        <v>20</v>
      </c>
      <c r="G21" s="130">
        <f t="shared" si="0"/>
        <v>0.31884</v>
      </c>
      <c r="H21" s="130">
        <f t="shared" si="1"/>
        <v>0.049</v>
      </c>
      <c r="I21" s="130">
        <f t="shared" si="2"/>
        <v>0.46398</v>
      </c>
      <c r="J21" s="158">
        <f t="shared" si="3"/>
        <v>0.00066</v>
      </c>
      <c r="K21" s="131">
        <f t="shared" si="4"/>
        <v>0.00838</v>
      </c>
      <c r="L21" s="15"/>
      <c r="M21" s="19"/>
      <c r="N21" s="19"/>
    </row>
    <row r="22" spans="1:14" s="11" customFormat="1" ht="12.75">
      <c r="A22" s="235"/>
      <c r="B22" s="60" t="s">
        <v>41</v>
      </c>
      <c r="C22" s="21">
        <v>1</v>
      </c>
      <c r="D22" s="21">
        <v>1</v>
      </c>
      <c r="E22" s="21">
        <v>5</v>
      </c>
      <c r="F22" s="21">
        <f t="shared" si="5"/>
        <v>5</v>
      </c>
      <c r="G22" s="130">
        <f t="shared" si="0"/>
        <v>0.07971</v>
      </c>
      <c r="H22" s="130">
        <f t="shared" si="1"/>
        <v>0.01225</v>
      </c>
      <c r="I22" s="130">
        <f t="shared" si="2"/>
        <v>0.115995</v>
      </c>
      <c r="J22" s="159">
        <f t="shared" si="3"/>
        <v>0.000165</v>
      </c>
      <c r="K22" s="160">
        <f t="shared" si="4"/>
        <v>0.002095</v>
      </c>
      <c r="L22" s="15"/>
      <c r="M22" s="19"/>
      <c r="N22" s="19"/>
    </row>
    <row r="23" spans="1:14" s="11" customFormat="1" ht="12.75">
      <c r="A23" s="235"/>
      <c r="B23" s="60" t="s">
        <v>40</v>
      </c>
      <c r="C23" s="21">
        <v>0</v>
      </c>
      <c r="D23" s="21">
        <v>0</v>
      </c>
      <c r="E23" s="21">
        <v>0</v>
      </c>
      <c r="F23" s="21">
        <f t="shared" si="5"/>
        <v>0</v>
      </c>
      <c r="G23" s="21">
        <f t="shared" si="0"/>
        <v>0</v>
      </c>
      <c r="H23" s="21">
        <f t="shared" si="1"/>
        <v>0</v>
      </c>
      <c r="I23" s="21">
        <f t="shared" si="2"/>
        <v>0</v>
      </c>
      <c r="J23" s="21">
        <f t="shared" si="3"/>
        <v>0</v>
      </c>
      <c r="K23" s="157">
        <f t="shared" si="4"/>
        <v>0</v>
      </c>
      <c r="L23" s="15"/>
      <c r="M23" s="19"/>
      <c r="N23" s="19"/>
    </row>
    <row r="24" spans="1:14" s="11" customFormat="1" ht="12.75">
      <c r="A24" s="47"/>
      <c r="B24" s="60" t="s">
        <v>70</v>
      </c>
      <c r="C24" s="21">
        <v>0</v>
      </c>
      <c r="D24" s="21">
        <v>0</v>
      </c>
      <c r="E24" s="126">
        <v>0</v>
      </c>
      <c r="F24" s="21">
        <f t="shared" si="5"/>
        <v>0</v>
      </c>
      <c r="G24" s="21">
        <f t="shared" si="0"/>
        <v>0</v>
      </c>
      <c r="H24" s="21">
        <f t="shared" si="1"/>
        <v>0</v>
      </c>
      <c r="I24" s="21">
        <f t="shared" si="2"/>
        <v>0</v>
      </c>
      <c r="J24" s="21">
        <f t="shared" si="3"/>
        <v>0</v>
      </c>
      <c r="K24" s="157">
        <f t="shared" si="4"/>
        <v>0</v>
      </c>
      <c r="L24" s="19"/>
      <c r="M24" s="19"/>
      <c r="N24" s="19"/>
    </row>
    <row r="25" spans="1:14" s="11" customFormat="1" ht="13.5" thickBot="1">
      <c r="A25" s="47"/>
      <c r="B25" s="63" t="s">
        <v>74</v>
      </c>
      <c r="C25" s="33">
        <v>0</v>
      </c>
      <c r="D25" s="33">
        <v>0</v>
      </c>
      <c r="E25" s="127">
        <v>0</v>
      </c>
      <c r="F25" s="33">
        <f t="shared" si="5"/>
        <v>0</v>
      </c>
      <c r="G25" s="33">
        <f t="shared" si="0"/>
        <v>0</v>
      </c>
      <c r="H25" s="33">
        <f t="shared" si="1"/>
        <v>0</v>
      </c>
      <c r="I25" s="33">
        <f t="shared" si="2"/>
        <v>0</v>
      </c>
      <c r="J25" s="33">
        <f t="shared" si="3"/>
        <v>0</v>
      </c>
      <c r="K25" s="162">
        <f t="shared" si="4"/>
        <v>0</v>
      </c>
      <c r="L25" s="19"/>
      <c r="M25" s="19"/>
      <c r="N25" s="19"/>
    </row>
    <row r="26" spans="2:14" ht="14.25" thickBot="1" thickTop="1">
      <c r="B26" s="163" t="s">
        <v>33</v>
      </c>
      <c r="C26" s="154"/>
      <c r="D26" s="154"/>
      <c r="E26" s="154"/>
      <c r="F26" s="154"/>
      <c r="G26" s="155">
        <f>SUM(G19:G25)</f>
        <v>11.984186</v>
      </c>
      <c r="H26" s="155">
        <f>SUM(H19:H25)</f>
        <v>1.315264</v>
      </c>
      <c r="I26" s="155">
        <f>SUM(I19:I25)</f>
        <v>1.8025650000000002</v>
      </c>
      <c r="J26" s="155">
        <f>SUM(J19:J25)</f>
        <v>0.009663</v>
      </c>
      <c r="K26" s="161">
        <f>SUM(K19:K25)</f>
        <v>0.089035</v>
      </c>
      <c r="L26" s="19"/>
      <c r="M26" s="19"/>
      <c r="N26" s="19"/>
    </row>
    <row r="27" spans="2:11" ht="12.75">
      <c r="B27" s="91" t="s">
        <v>72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2:13" ht="12.75">
      <c r="B28" s="91" t="s">
        <v>94</v>
      </c>
      <c r="C28" s="91"/>
      <c r="D28" s="91"/>
      <c r="E28" s="91"/>
      <c r="F28" s="91"/>
      <c r="G28" s="91"/>
      <c r="H28" s="91"/>
      <c r="I28" s="91"/>
      <c r="J28" s="91"/>
      <c r="K28" s="91"/>
      <c r="M28" s="9"/>
    </row>
    <row r="29" spans="2:11" ht="12.75">
      <c r="B29" s="225" t="s">
        <v>139</v>
      </c>
      <c r="C29" s="211"/>
      <c r="D29" s="211"/>
      <c r="E29" s="211"/>
      <c r="F29" s="211"/>
      <c r="G29" s="211"/>
      <c r="H29" s="211"/>
      <c r="I29" s="211"/>
      <c r="J29" s="211"/>
      <c r="K29" s="211"/>
    </row>
    <row r="30" spans="2:11" ht="12.75">
      <c r="B30" s="224" t="s">
        <v>167</v>
      </c>
      <c r="C30" s="224"/>
      <c r="D30" s="224"/>
      <c r="E30" s="224"/>
      <c r="F30" s="224"/>
      <c r="G30" s="224"/>
      <c r="H30" s="224"/>
      <c r="I30" s="224"/>
      <c r="J30" s="224"/>
      <c r="K30" s="224"/>
    </row>
    <row r="33" spans="1:13" ht="12.7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</row>
  </sheetData>
  <sheetProtection/>
  <mergeCells count="50">
    <mergeCell ref="I8:J8"/>
    <mergeCell ref="K8:L8"/>
    <mergeCell ref="I9:J9"/>
    <mergeCell ref="K9:L9"/>
    <mergeCell ref="E6:F6"/>
    <mergeCell ref="E7:F7"/>
    <mergeCell ref="G6:H6"/>
    <mergeCell ref="G7:H7"/>
    <mergeCell ref="B2:L2"/>
    <mergeCell ref="B3:L3"/>
    <mergeCell ref="I7:J7"/>
    <mergeCell ref="I6:J6"/>
    <mergeCell ref="K5:L5"/>
    <mergeCell ref="I5:J5"/>
    <mergeCell ref="C6:D6"/>
    <mergeCell ref="E11:F11"/>
    <mergeCell ref="G11:H11"/>
    <mergeCell ref="I11:J11"/>
    <mergeCell ref="K11:L11"/>
    <mergeCell ref="K6:L6"/>
    <mergeCell ref="K7:L7"/>
    <mergeCell ref="E5:F5"/>
    <mergeCell ref="C5:D5"/>
    <mergeCell ref="G8:H8"/>
    <mergeCell ref="G5:H5"/>
    <mergeCell ref="C8:D8"/>
    <mergeCell ref="E8:F8"/>
    <mergeCell ref="C7:D7"/>
    <mergeCell ref="E9:F9"/>
    <mergeCell ref="C9:D9"/>
    <mergeCell ref="C10:D10"/>
    <mergeCell ref="E10:F10"/>
    <mergeCell ref="G9:H9"/>
    <mergeCell ref="C11:D11"/>
    <mergeCell ref="B30:K30"/>
    <mergeCell ref="B29:K29"/>
    <mergeCell ref="K12:L12"/>
    <mergeCell ref="G10:H10"/>
    <mergeCell ref="I10:J10"/>
    <mergeCell ref="K10:L10"/>
    <mergeCell ref="G17:K17"/>
    <mergeCell ref="B13:L13"/>
    <mergeCell ref="B14:L14"/>
    <mergeCell ref="G12:H12"/>
    <mergeCell ref="I12:J12"/>
    <mergeCell ref="A22:A23"/>
    <mergeCell ref="A18:A19"/>
    <mergeCell ref="C12:D12"/>
    <mergeCell ref="E12:F12"/>
    <mergeCell ref="C17:F17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EIR&amp;CB-8&amp;RMarch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 ND Appendix A</dc:title>
  <dc:subject>Construction Emission Calculations</dc:subject>
  <dc:creator>Kathy C. Stevens</dc:creator>
  <cp:keywords/>
  <dc:description/>
  <cp:lastModifiedBy>dsasaki</cp:lastModifiedBy>
  <cp:lastPrinted>2007-03-06T02:16:17Z</cp:lastPrinted>
  <dcterms:created xsi:type="dcterms:W3CDTF">2001-03-17T00:01:53Z</dcterms:created>
  <dcterms:modified xsi:type="dcterms:W3CDTF">2014-08-06T19:30:07Z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-219728632</vt:i4>
  </property>
  <property fmtid="{D5CDD505-2E9C-101B-9397-08002B2CF9AE}" pid="3" name="_EmailSubject">
    <vt:lpwstr>Final EIR for ExxonMobil's Rule 1105.1 </vt:lpwstr>
  </property>
  <property fmtid="{D5CDD505-2E9C-101B-9397-08002B2CF9AE}" pid="4" name="_AuthorEmail">
    <vt:lpwstr>JKoizumi@aqmd.gov</vt:lpwstr>
  </property>
  <property fmtid="{D5CDD505-2E9C-101B-9397-08002B2CF9AE}" pid="5" name="_AuthorEmailDisplayName">
    <vt:lpwstr>James Koizumi</vt:lpwstr>
  </property>
  <property fmtid="{D5CDD505-2E9C-101B-9397-08002B2CF9AE}" pid="6" name="_ReviewingToolsShownOnce">
    <vt:lpwstr/>
  </property>
</Properties>
</file>