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firstSheet="17" activeTab="18"/>
  </bookViews>
  <sheets>
    <sheet name="Construction Emissions Cov Page" sheetId="1" r:id="rId1"/>
    <sheet name="Construction Equipment" sheetId="2" r:id="rId2"/>
    <sheet name="Fugitive Construction EF" sheetId="3" r:id="rId3"/>
    <sheet name="Construction Trip Emissions" sheetId="4" r:id="rId4"/>
    <sheet name="Fugitive Vehicle Emissions" sheetId="5" r:id="rId5"/>
    <sheet name="Mitigated Construction Emiss" sheetId="6" r:id="rId6"/>
    <sheet name="Op Emiss-  Stat. Sources Cover" sheetId="7" r:id="rId7"/>
    <sheet name="Total Project" sheetId="8" r:id="rId8"/>
    <sheet name="Alky U-110" sheetId="9" r:id="rId9"/>
    <sheet name="CLEF U-152" sheetId="10" r:id="rId10"/>
    <sheet name="Acid Plant U-141" sheetId="11" r:id="rId11"/>
    <sheet name="Storage Tank Piping" sheetId="12" r:id="rId12"/>
    <sheet name="Butane Unloading" sheetId="13" r:id="rId13"/>
    <sheet name="Combustion Emissions" sheetId="14" r:id="rId14"/>
    <sheet name="Acid Plant" sheetId="15" r:id="rId15"/>
    <sheet name="Flare Mods" sheetId="16" r:id="rId16"/>
    <sheet name="Cooling Tower" sheetId="17" r:id="rId17"/>
    <sheet name="Tank Summary Table" sheetId="18" r:id="rId18"/>
    <sheet name="Op Emiss- Mobile Sources Cover" sheetId="19" r:id="rId19"/>
    <sheet name="Mobile Emissions" sheetId="20" r:id="rId20"/>
    <sheet name="Fugitive Dust Vehicle Emissions" sheetId="21" r:id="rId21"/>
    <sheet name="Railcar Emissions" sheetId="22" r:id="rId22"/>
    <sheet name="Alt Emiss Calcs Cover Page" sheetId="23" r:id="rId23"/>
    <sheet name="Ship Emission Assumptions " sheetId="24" r:id="rId24"/>
    <sheet name="Ship Emission Calculations" sheetId="25" r:id="rId25"/>
    <sheet name="Alternative 2" sheetId="26" r:id="rId26"/>
  </sheets>
  <externalReferences>
    <externalReference r:id="rId29"/>
  </externalReferences>
  <definedNames>
    <definedName name="_xlnm.Print_Area" localSheetId="10">'Acid Plant U-141'!$A$1:$G$49</definedName>
    <definedName name="_xlnm.Print_Area" localSheetId="8">'Alky U-110'!$A$1:$G$49</definedName>
    <definedName name="_xlnm.Print_Area" localSheetId="12">'Butane Unloading'!$A$1:$G$51</definedName>
    <definedName name="_xlnm.Print_Area" localSheetId="9">'CLEF U-152'!$A$1:$G$49</definedName>
    <definedName name="_xlnm.Print_Area" localSheetId="3">'Construction Trip Emissions'!$A$1:$L$39</definedName>
    <definedName name="_xlnm.Print_Area" localSheetId="19">'Mobile Emissions'!$A$1:$L$35</definedName>
    <definedName name="_xlnm.Print_Area" localSheetId="23">'Ship Emission Assumptions '!$A$1:$I$44</definedName>
    <definedName name="_xlnm.Print_Area" localSheetId="11">'Storage Tank Piping'!$A$1:$G$49</definedName>
    <definedName name="_xlnm.Print_Area" localSheetId="7">'Total Project'!$A$1:$G$51</definedName>
  </definedNames>
  <calcPr fullCalcOnLoad="1"/>
</workbook>
</file>

<file path=xl/sharedStrings.xml><?xml version="1.0" encoding="utf-8"?>
<sst xmlns="http://schemas.openxmlformats.org/spreadsheetml/2006/main" count="1339" uniqueCount="419">
  <si>
    <t>Construction Equipment</t>
  </si>
  <si>
    <t>Equipment Type</t>
  </si>
  <si>
    <t xml:space="preserve">Hours </t>
  </si>
  <si>
    <t>Emission Factors lb/hr</t>
  </si>
  <si>
    <t>Daily Emissions (lbs/day)</t>
  </si>
  <si>
    <t xml:space="preserve"> </t>
  </si>
  <si>
    <t>Number #</t>
  </si>
  <si>
    <t>Per Day</t>
  </si>
  <si>
    <t>CO</t>
  </si>
  <si>
    <t>VOC</t>
  </si>
  <si>
    <t>NOx</t>
  </si>
  <si>
    <t>SOx</t>
  </si>
  <si>
    <t>PM10</t>
  </si>
  <si>
    <t>Air Compressor 130 CFM</t>
  </si>
  <si>
    <t>Backhoe</t>
  </si>
  <si>
    <t>Dozer</t>
  </si>
  <si>
    <t>--</t>
  </si>
  <si>
    <t>Plate Compactor (Gasoline)</t>
  </si>
  <si>
    <t>Drum Compactor (Diesel)</t>
  </si>
  <si>
    <t>Cranes</t>
  </si>
  <si>
    <t>Dump Trucks</t>
  </si>
  <si>
    <t>Flatbed Truck</t>
  </si>
  <si>
    <t>Front End Loader</t>
  </si>
  <si>
    <t>Manlifts (Boom and Scissor)</t>
  </si>
  <si>
    <t>Concrete Vibrator (Electric)</t>
  </si>
  <si>
    <t>Forklifts</t>
  </si>
  <si>
    <t>Generators (Gasoline)</t>
  </si>
  <si>
    <t>Weld Machine (Gasoline)</t>
  </si>
  <si>
    <t>Demolition Hammer</t>
  </si>
  <si>
    <t>Boom Trucks</t>
  </si>
  <si>
    <t>Total Emission Totals</t>
  </si>
  <si>
    <t>* Emissions factors from SCAQMD CEQA Air Quality Handbook, Table A9-8-A.</t>
  </si>
  <si>
    <t xml:space="preserve">* Emissions factors from SCAQMD CEQA Air Quality Handbook, Table A9-8-C. </t>
  </si>
  <si>
    <r>
      <t xml:space="preserve">Table A9-8-C, </t>
    </r>
    <r>
      <rPr>
        <i/>
        <sz val="8"/>
        <rFont val="Arial"/>
        <family val="2"/>
      </rPr>
      <t>Pounds/hour calculated from load factor and hp rating.</t>
    </r>
  </si>
  <si>
    <r>
      <t xml:space="preserve">* Trucks Emissions factors from SCAQMD CEQA Air Quality Handbook Table A9-8-A, </t>
    </r>
    <r>
      <rPr>
        <i/>
        <sz val="8"/>
        <rFont val="Arial"/>
        <family val="2"/>
      </rPr>
      <t>Trucks:off highway diesel used for truck:pickup/stake bed.</t>
    </r>
  </si>
  <si>
    <r>
      <t xml:space="preserve">* Emissions factors from SCAQMD CEQA Air Quality Handbook, Table A9-8-A, </t>
    </r>
    <r>
      <rPr>
        <i/>
        <sz val="8"/>
        <rFont val="Arial"/>
        <family val="2"/>
      </rPr>
      <t>Emissions for equipment not specifically listed can be found under miscellaneous</t>
    </r>
  </si>
  <si>
    <t>N:EXCEL:2021Construction Equipment Emissions</t>
  </si>
  <si>
    <t>On Road Mobile Emission Factors from California ARB EMFAC7G</t>
  </si>
  <si>
    <t>Vehicle Type</t>
  </si>
  <si>
    <t>Exhaust Emissions Factor (g/mile)</t>
  </si>
  <si>
    <t>Continuous Start EF (g/trip)</t>
  </si>
  <si>
    <t>Exhaust Emission Factor (g/mile)</t>
  </si>
  <si>
    <t>Hot Soak Factor (g/trip)</t>
  </si>
  <si>
    <t>Diurmal &amp; Resting Losses (g/hr)</t>
  </si>
  <si>
    <t>Evap Running Losses (g/mile)</t>
  </si>
  <si>
    <t>Emission Factor (g/mile)</t>
  </si>
  <si>
    <t>Construction Workers Commuting</t>
  </si>
  <si>
    <t>Light Duty Trucks</t>
  </si>
  <si>
    <t>Heavy Diesel Trucks</t>
  </si>
  <si>
    <t>NA</t>
  </si>
  <si>
    <t>Parameters</t>
  </si>
  <si>
    <t>Peak Day Emissions, lbs/day</t>
  </si>
  <si>
    <t>Number of Vehicles</t>
  </si>
  <si>
    <t>Total Number of Trips</t>
  </si>
  <si>
    <t>Distance Traveled In Miles</t>
  </si>
  <si>
    <t>Source</t>
  </si>
  <si>
    <t xml:space="preserve">Exhaust Emissions </t>
  </si>
  <si>
    <t>Continuous Start Emissions</t>
  </si>
  <si>
    <t xml:space="preserve">Exhaust &amp; Running Emission </t>
  </si>
  <si>
    <t>Other VOC Emissions</t>
  </si>
  <si>
    <t>Diurnal and Resting Loss Emissions</t>
  </si>
  <si>
    <t xml:space="preserve">Exhaust Emission </t>
  </si>
  <si>
    <t xml:space="preserve">Emission </t>
  </si>
  <si>
    <t xml:space="preserve">Construction Workers Commuting </t>
  </si>
  <si>
    <t xml:space="preserve">Delivery Cars/Trucks  </t>
  </si>
  <si>
    <t>Onsite Cars and Pick up Trucks</t>
  </si>
  <si>
    <t>On-Site Buses</t>
  </si>
  <si>
    <t>On-site Diesel Trucks</t>
  </si>
  <si>
    <t xml:space="preserve">Construction Workers  </t>
  </si>
  <si>
    <t>Delivery Cars/Trucks</t>
  </si>
  <si>
    <t>Onsite Cars/Pick up Trucks</t>
  </si>
  <si>
    <t>On-Site Diesel Trucks</t>
  </si>
  <si>
    <t>Total Emissions for Heavy Diesel Trucks</t>
  </si>
  <si>
    <t>Total Trip Emissions</t>
  </si>
  <si>
    <t>Emission factors for light duty trucks assumes that all trucks have non-catalyst/gasoline engines</t>
  </si>
  <si>
    <t>Diurnal &amp; Resting losses vehicle ROG emission based on a 8 hour day</t>
  </si>
  <si>
    <t>Based on California ARB EMFAC7G model years 1965-1999, enhanced I&amp;M, 75 deg F, 25 MPH</t>
  </si>
  <si>
    <t>Trip time assumed to be 60 minutes for continuous start emission factors</t>
  </si>
  <si>
    <t>EMFAC7G was finalized in Oct.1996</t>
  </si>
  <si>
    <t>Emission factors for heavy diesel includes (3) water trucks and (4) dump trucks</t>
  </si>
  <si>
    <t xml:space="preserve"> Fugitive Dust Construction Emission Estimates</t>
  </si>
  <si>
    <t>from Trucks and Employee Vehicles</t>
  </si>
  <si>
    <t>Source Type</t>
  </si>
  <si>
    <t xml:space="preserve">Number </t>
  </si>
  <si>
    <t>Fuel</t>
  </si>
  <si>
    <t>Peak Daily Trips</t>
  </si>
  <si>
    <t>One-way Distance</t>
  </si>
  <si>
    <t>Emission Factor (lb/vmt)</t>
  </si>
  <si>
    <t>Peak     PM-10 (lbs/day)</t>
  </si>
  <si>
    <t>Passenger Vehicle/</t>
  </si>
  <si>
    <t>On Paved Roadways</t>
  </si>
  <si>
    <t>Gasoline</t>
  </si>
  <si>
    <t>(with street cleaning)</t>
  </si>
  <si>
    <t>Onsite Cars/Pickup Trucks</t>
  </si>
  <si>
    <t>Diesel</t>
  </si>
  <si>
    <t>Total</t>
  </si>
  <si>
    <t>* Emission Calculations from SCAQMD CEQA Air Quality Handbook, Table A9-9</t>
  </si>
  <si>
    <t>2021:Construction Equipment Emissions</t>
  </si>
  <si>
    <t xml:space="preserve">Fugitive Dust Associated with </t>
  </si>
  <si>
    <t xml:space="preserve">  Site Construction Activities</t>
  </si>
  <si>
    <t>Average Pieces of Equipment Operating</t>
  </si>
  <si>
    <t>Peak Pieces of Equipment Operating</t>
  </si>
  <si>
    <t>Hours of Operation</t>
  </si>
  <si>
    <t>PM10 Emission Factor (lb/hour)</t>
  </si>
  <si>
    <t>Water Control Factor</t>
  </si>
  <si>
    <t>Controlled Emissions</t>
  </si>
  <si>
    <t>Uncontrolled Emissions</t>
  </si>
  <si>
    <t>SCAQMD Emission Factor Source</t>
  </si>
  <si>
    <t>Average PM10 Emissions (lbs/day)</t>
  </si>
  <si>
    <t>Peak PM10 Emissions (lbs/day</t>
  </si>
  <si>
    <t>Grading Operations</t>
  </si>
  <si>
    <t>Construction Activities</t>
  </si>
  <si>
    <t>Table A9-9-F</t>
  </si>
  <si>
    <t>TRENCHING OPERATIONS (Backhoe)</t>
  </si>
  <si>
    <t>TEMPORARY STOCKPILES</t>
  </si>
  <si>
    <t>Average Tons of Materials Handled Per Day</t>
  </si>
  <si>
    <t>Peak    Tons of Materials Handled  Per Day</t>
  </si>
  <si>
    <t>PM-10 Emission Factor (lb/ton)</t>
  </si>
  <si>
    <t>Average   PM-10 Emissions Pounds/day</t>
  </si>
  <si>
    <t>Peak      PM-10 Emissions Pounds/day</t>
  </si>
  <si>
    <t>Table A9-9</t>
  </si>
  <si>
    <t>Assumptions:</t>
  </si>
  <si>
    <t>1cubic yard trench spoils = 1 ton</t>
  </si>
  <si>
    <t xml:space="preserve">WIND EROSION Disturbed Area and Temporary Stockpiles                                        </t>
  </si>
  <si>
    <t>Days of Construction</t>
  </si>
  <si>
    <t>Average Acreage Disturbed Per Day</t>
  </si>
  <si>
    <t>Peak Acreage Disturbed Per Day</t>
  </si>
  <si>
    <t>PM-10 Emission Factor (lb/day/acre)</t>
  </si>
  <si>
    <t>Peak        PM-10 Emissions Pounds/day</t>
  </si>
  <si>
    <t>Average   PM-10 Emissions Tons/Year</t>
  </si>
  <si>
    <t>Peak      PM-10 Emissions Tons/Year</t>
  </si>
  <si>
    <t>Table A9-9-E</t>
  </si>
  <si>
    <t>TOTAL PM-10 Pounds/day</t>
  </si>
  <si>
    <t>Average</t>
  </si>
  <si>
    <t>Peak</t>
  </si>
  <si>
    <t>(Controlled Emissions)</t>
  </si>
  <si>
    <t>Construction</t>
  </si>
  <si>
    <t>(Uncontrolled Emissions)</t>
  </si>
  <si>
    <t>2021:Construction-Fugitive Emissions</t>
  </si>
  <si>
    <t>Generators (Electric)</t>
  </si>
  <si>
    <t>Weld Machine (Electric)</t>
  </si>
  <si>
    <t>* Emissions factors from SCAQMD CEQA Air Quality Handbook, Table 9-8-A.</t>
  </si>
  <si>
    <t xml:space="preserve">* Emissions factors from SCAQMD CEQA Air Quality Handbook, Table 9-8-C. </t>
  </si>
  <si>
    <r>
      <t xml:space="preserve">Table 9-8-C, </t>
    </r>
    <r>
      <rPr>
        <i/>
        <sz val="8"/>
        <rFont val="Arial"/>
        <family val="2"/>
      </rPr>
      <t>Pounds/hour calculated from load factor and hp rating.</t>
    </r>
  </si>
  <si>
    <r>
      <t xml:space="preserve">* Trucks Emissions factors from SCAQMD CEQA Air Quality Handbook Table 9-8-A, </t>
    </r>
    <r>
      <rPr>
        <i/>
        <sz val="8"/>
        <rFont val="Arial"/>
        <family val="2"/>
      </rPr>
      <t>Trucks:off highway diesel used for truck:pickup/stake bed.</t>
    </r>
  </si>
  <si>
    <r>
      <t xml:space="preserve">* Emissions factors from SCAQMD CEQA Air Quality Handbook, Table 9-8-A, </t>
    </r>
    <r>
      <rPr>
        <i/>
        <sz val="8"/>
        <rFont val="Arial"/>
        <family val="2"/>
      </rPr>
      <t>Emissions for equipment not specifically listed can be found under miscellaneous</t>
    </r>
  </si>
  <si>
    <t>N:EXCEL:2021MitigatedConstruction Equipment Emissions</t>
  </si>
  <si>
    <t>Construction Emissions</t>
  </si>
  <si>
    <t>Operational Emissions - Stationary Sources</t>
  </si>
  <si>
    <t>Number</t>
  </si>
  <si>
    <t>Seal type</t>
  </si>
  <si>
    <t>Service</t>
  </si>
  <si>
    <t>Emission Fac.</t>
  </si>
  <si>
    <t>lb/yr</t>
  </si>
  <si>
    <t>lb/day</t>
  </si>
  <si>
    <t>NEW EQUIPMENT</t>
  </si>
  <si>
    <t>Pumps</t>
  </si>
  <si>
    <t>tandem seals</t>
  </si>
  <si>
    <t>light liquid</t>
  </si>
  <si>
    <t>Compressors</t>
  </si>
  <si>
    <t>closed vent system</t>
  </si>
  <si>
    <t>HC Gas/vapor</t>
  </si>
  <si>
    <t>Valves</t>
  </si>
  <si>
    <t>bellows sealed</t>
  </si>
  <si>
    <t>live loaded or low emission valves &lt; 500 ppm</t>
  </si>
  <si>
    <t>heavy liquid</t>
  </si>
  <si>
    <t>all</t>
  </si>
  <si>
    <t>Flanges</t>
  </si>
  <si>
    <t>Process Drains</t>
  </si>
  <si>
    <t>sealed</t>
  </si>
  <si>
    <t>Rail Car Vap. Rec.</t>
  </si>
  <si>
    <t>98% efficient</t>
  </si>
  <si>
    <t>butane</t>
  </si>
  <si>
    <t>per AP-42</t>
  </si>
  <si>
    <t>TOTAL ROG ADDED WITH NEW EQUIPMENT</t>
  </si>
  <si>
    <t>REMOVED EQUIPMENT</t>
  </si>
  <si>
    <t>single seal</t>
  </si>
  <si>
    <t>standard valve</t>
  </si>
  <si>
    <t>PSVs</t>
  </si>
  <si>
    <t>TOTAL ROG REMOVED BY DEMOLITION</t>
  </si>
  <si>
    <t>NET ROG EMISSIONS</t>
  </si>
  <si>
    <t>&gt;2"</t>
  </si>
  <si>
    <t>&lt;2"</t>
  </si>
  <si>
    <t>Flange</t>
  </si>
  <si>
    <t>Cont.</t>
  </si>
  <si>
    <t>&lt;2" W</t>
  </si>
  <si>
    <t>&lt;2" Flg.</t>
  </si>
  <si>
    <r>
      <t>PSVs</t>
    </r>
    <r>
      <rPr>
        <sz val="10"/>
        <rFont val="Arial"/>
        <family val="0"/>
      </rPr>
      <t xml:space="preserve"> </t>
    </r>
  </si>
  <si>
    <t>Unit 152 B201 - FCCU</t>
  </si>
  <si>
    <t>mmBtu/hr</t>
  </si>
  <si>
    <t>Hours/day</t>
  </si>
  <si>
    <t>Pollutant</t>
  </si>
  <si>
    <t>Emission Factor (lbs/mmscf)</t>
  </si>
  <si>
    <t>Emission Rate (lbs/day)</t>
  </si>
  <si>
    <t>NOx*</t>
  </si>
  <si>
    <t>SOx*</t>
  </si>
  <si>
    <t>Unit 152 B-202 - FCCU</t>
  </si>
  <si>
    <t>Unit 110 B-211 - Alkylation Unit</t>
  </si>
  <si>
    <t>SOx**</t>
  </si>
  <si>
    <t>Boilers</t>
  </si>
  <si>
    <t>SUMMARY OF COMBUSTION EMISSIONS</t>
  </si>
  <si>
    <t>Total Emissions (lbs/day)</t>
  </si>
  <si>
    <t>Emission factors for CO, VOCs, and PM10 are based on SCAQMD default emission factors.</t>
  </si>
  <si>
    <t>Emission factors for NOx and SOx are based on the RECLAIM emission factors.</t>
  </si>
  <si>
    <t>Emission calculations assume that the total additional steam requirements are provided by Boiler #4.</t>
  </si>
  <si>
    <t xml:space="preserve">which provides a worst case estimate of emission increases.  The additional steam requirements will actually be </t>
  </si>
  <si>
    <t>supplied by a number of different boilers.</t>
  </si>
  <si>
    <t>N:2021Emissions</t>
  </si>
  <si>
    <t>UNIT</t>
  </si>
  <si>
    <t>tons/year</t>
  </si>
  <si>
    <t>lbs/day</t>
  </si>
  <si>
    <t>Sulfur Plant</t>
  </si>
  <si>
    <t>Acid Plant</t>
  </si>
  <si>
    <t>Total Emissions</t>
  </si>
  <si>
    <t>BASELINE NOx EMISSIONS</t>
  </si>
  <si>
    <t>PROJECT NOx EMISSIONS</t>
  </si>
  <si>
    <t>CUMULATIVE NOx EMISSIONS</t>
  </si>
  <si>
    <t>Current PM10 Emissions</t>
  </si>
  <si>
    <t>Process Volume (tons/yr)</t>
  </si>
  <si>
    <t>PM10 Emissions (lbs/yr)</t>
  </si>
  <si>
    <t>PM10 Emissions (lbs/day)</t>
  </si>
  <si>
    <t>Acid Produced</t>
  </si>
  <si>
    <t>(355 tons/day)</t>
  </si>
  <si>
    <t>Increased Acid</t>
  </si>
  <si>
    <t>(45 tons/day)</t>
  </si>
  <si>
    <t>(1) Based on average emissions in July 1998 through June 2000.</t>
  </si>
  <si>
    <t>(2) Based on a test run of the Acid Plant to maximum production levels.  NOx and SOx emissions were measured from the CEMS on the Acid and Sulfur Plant.</t>
  </si>
  <si>
    <t>(3) Based on SCAQMD emission factor from Annual Emission Fee Form R5.</t>
  </si>
  <si>
    <t>N:2021Emissions:Acid Plant</t>
  </si>
  <si>
    <t>Flare</t>
  </si>
  <si>
    <t>Incremental Daily Ave. Flow (mmscfd)</t>
  </si>
  <si>
    <t>Butane Emission Factor (lb/mmscfd)</t>
  </si>
  <si>
    <t>Emissions (lbs/day)</t>
  </si>
  <si>
    <t>Butane</t>
  </si>
  <si>
    <t>Recovery</t>
  </si>
  <si>
    <t>System</t>
  </si>
  <si>
    <t>Maximum Water Recirculation (gpm)</t>
  </si>
  <si>
    <t>Daily Recirculation (gpd)</t>
  </si>
  <si>
    <t>Emission Factor (lbs/mmgal)*</t>
  </si>
  <si>
    <t>* Source U.S. EPA AP-42</t>
  </si>
  <si>
    <r>
      <t>Btu/ft</t>
    </r>
    <r>
      <rPr>
        <vertAlign val="superscript"/>
        <sz val="10"/>
        <rFont val="Arial"/>
        <family val="2"/>
      </rPr>
      <t>3</t>
    </r>
  </si>
  <si>
    <r>
      <t>mmft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/day</t>
    </r>
  </si>
  <si>
    <r>
      <t xml:space="preserve">* </t>
    </r>
    <r>
      <rPr>
        <sz val="8"/>
        <rFont val="Arial"/>
        <family val="2"/>
      </rPr>
      <t xml:space="preserve"> Units for emission factors are lb/mmBtu.</t>
    </r>
  </si>
  <si>
    <r>
      <t>**</t>
    </r>
    <r>
      <rPr>
        <sz val="8"/>
        <rFont val="Arial"/>
        <family val="2"/>
      </rPr>
      <t>SOx emission increase due to incremental Merox off-gas sulfur</t>
    </r>
  </si>
  <si>
    <r>
      <t>BASELINE SOx EMISSIONS</t>
    </r>
    <r>
      <rPr>
        <b/>
        <vertAlign val="superscript"/>
        <sz val="10"/>
        <rFont val="Arial"/>
        <family val="2"/>
      </rPr>
      <t>(1)</t>
    </r>
  </si>
  <si>
    <r>
      <t>PROJECT SOx EMISSIONS</t>
    </r>
    <r>
      <rPr>
        <b/>
        <vertAlign val="superscript"/>
        <sz val="10"/>
        <rFont val="Arial"/>
        <family val="2"/>
      </rPr>
      <t>(2)</t>
    </r>
  </si>
  <si>
    <r>
      <t>CUMULATIVE SOx EMISSIONS</t>
    </r>
    <r>
      <rPr>
        <b/>
        <vertAlign val="superscript"/>
        <sz val="10"/>
        <rFont val="Arial"/>
        <family val="2"/>
      </rPr>
      <t>(2)</t>
    </r>
  </si>
  <si>
    <r>
      <t>Emission Factor (lbs/ton)</t>
    </r>
    <r>
      <rPr>
        <vertAlign val="superscript"/>
        <sz val="10"/>
        <rFont val="Arial"/>
        <family val="2"/>
      </rPr>
      <t>(3)</t>
    </r>
  </si>
  <si>
    <r>
      <t>Projected PM10 Emissions Increase</t>
    </r>
    <r>
      <rPr>
        <vertAlign val="superscript"/>
        <sz val="10"/>
        <rFont val="Arial"/>
        <family val="2"/>
      </rPr>
      <t>(2)</t>
    </r>
  </si>
  <si>
    <t>PROPOSED</t>
  </si>
  <si>
    <t xml:space="preserve">Equipment No. </t>
  </si>
  <si>
    <t>Throughput, BPD</t>
  </si>
  <si>
    <t>Vapor Press, PSIA</t>
  </si>
  <si>
    <t>F-136</t>
  </si>
  <si>
    <t>Perch</t>
  </si>
  <si>
    <t>16,700 gal/yr.</t>
  </si>
  <si>
    <t>Perchloroethylene</t>
  </si>
  <si>
    <t>Perchlorethylene</t>
  </si>
  <si>
    <t>19,000 gal/yr</t>
  </si>
  <si>
    <t xml:space="preserve">F-301 </t>
  </si>
  <si>
    <t>90 % Acid</t>
  </si>
  <si>
    <t>N/A</t>
  </si>
  <si>
    <t>90 % Acid with hydrocarbons</t>
  </si>
  <si>
    <t>?</t>
  </si>
  <si>
    <t xml:space="preserve">Tank 146 </t>
  </si>
  <si>
    <t>OS Alkylate</t>
  </si>
  <si>
    <t>Aviation Base Stock</t>
  </si>
  <si>
    <t xml:space="preserve">Alkylate  </t>
  </si>
  <si>
    <t>2.4 @ 68 F</t>
  </si>
  <si>
    <t>Tank 169</t>
  </si>
  <si>
    <t>MTBE</t>
  </si>
  <si>
    <t>4.8 @ 68 F</t>
  </si>
  <si>
    <t xml:space="preserve">Tank 170 </t>
  </si>
  <si>
    <t xml:space="preserve">Tank 292 </t>
  </si>
  <si>
    <t>Regular Gasoline</t>
  </si>
  <si>
    <t>Alkylate</t>
  </si>
  <si>
    <t>Tank 452</t>
  </si>
  <si>
    <t>U80 Reformate</t>
  </si>
  <si>
    <t>TOTAL ESTIMATED EMISSION INCREASE (lbs/year)</t>
  </si>
  <si>
    <t>TOTAL ESTIMATED EMISSION INCREASE (lbs/day)</t>
  </si>
  <si>
    <t>Project Emissions Increases (lb/yrs)</t>
  </si>
  <si>
    <t>Emissions, Lb/yr</t>
  </si>
  <si>
    <t>9 RVP Sum 12 RVP Wint</t>
  </si>
  <si>
    <r>
      <t>CURRENT</t>
    </r>
    <r>
      <rPr>
        <b/>
        <vertAlign val="superscript"/>
        <sz val="10"/>
        <rFont val="Times New Roman"/>
        <family val="1"/>
      </rPr>
      <t>(1)</t>
    </r>
  </si>
  <si>
    <r>
      <t>0</t>
    </r>
    <r>
      <rPr>
        <vertAlign val="superscript"/>
        <sz val="10"/>
        <rFont val="Times New Roman"/>
        <family val="1"/>
      </rPr>
      <t>(2)</t>
    </r>
  </si>
  <si>
    <r>
      <t>None</t>
    </r>
    <r>
      <rPr>
        <vertAlign val="superscript"/>
        <sz val="10"/>
        <rFont val="Times New Roman"/>
        <family val="1"/>
      </rPr>
      <t>(3)</t>
    </r>
  </si>
  <si>
    <t>Service (basis    for emissions)</t>
  </si>
  <si>
    <t xml:space="preserve">(1) Current emissions are based on an average of the 1998-1999 and the 1999-2000 annual emission fee reports.  </t>
  </si>
  <si>
    <t xml:space="preserve">(2) Storage Tank F-136 is a pressurized tank with a PSV vented to vapor recovery.  No physical modifications are required but an increase in annual tank turnovers within the </t>
  </si>
  <si>
    <t xml:space="preserve">     current permit limits is expected.  The storage tank is vapor balanced to the delivery truck so that no actual emission increases are expected.  </t>
  </si>
  <si>
    <t xml:space="preserve">(3) Current emissions from this tank are minor since the tank contains mostly sulfuric acid which has a negligible vapor pressure.  The proposed project includes connecting this </t>
  </si>
  <si>
    <t xml:space="preserve">      tank to vapor recovery so that the emissions from the tank will be controlled by about 95%.  Therefore, no emission increases are expected from Tank F-301.</t>
  </si>
  <si>
    <t>N:2021:CARB III Tank Summary Table</t>
  </si>
  <si>
    <t>Operational Emissions - Mobile Sources</t>
  </si>
  <si>
    <t>Workers Commuting</t>
  </si>
  <si>
    <t>EMISSIONS INSIDE BASIN</t>
  </si>
  <si>
    <t>Number of Vehicles per day</t>
  </si>
  <si>
    <t>Heavy Diesel Trucks-Acid</t>
  </si>
  <si>
    <t>EMISSIONS OUTSIDE BASIN</t>
  </si>
  <si>
    <t>Peak Day Emissions, lbs/year</t>
  </si>
  <si>
    <t>Number of Vehicles per year</t>
  </si>
  <si>
    <t>Emission factors for heavy diesel includes 1,460 sulfuric acid trucks, 3 perchloroethylene trucks, 33 anhydrous ammonia trucks, 448 ammonia sulfate trucks, and 40 liquid sulfur truck trips per year.</t>
  </si>
  <si>
    <t>Emissions outside of the Basin include 3 perchlorethylene trips (from Richmond, CA) and 33 additional ammonia trucks (from Stockton, CA).</t>
  </si>
  <si>
    <t>N:EXCEL:2021Mobile Emissions</t>
  </si>
  <si>
    <t xml:space="preserve"> Fugitive Dust Emission Estimates</t>
  </si>
  <si>
    <t>from Additional Operational Truck Trips</t>
  </si>
  <si>
    <t>2021:Mobile Emissions</t>
  </si>
  <si>
    <t>Cargo Weight (Rail Car and Freight)</t>
  </si>
  <si>
    <t>Volume of Butane Transp.</t>
  </si>
  <si>
    <t>gpy</t>
  </si>
  <si>
    <t>Gallons per railcar</t>
  </si>
  <si>
    <t>gal</t>
  </si>
  <si>
    <t>Number of Railcars</t>
  </si>
  <si>
    <t>cars/yr</t>
  </si>
  <si>
    <t>Rail car weight</t>
  </si>
  <si>
    <t>tons/car</t>
  </si>
  <si>
    <t>Total Rail Car Weight</t>
  </si>
  <si>
    <t>tons/yr</t>
  </si>
  <si>
    <t>Weight of Butane</t>
  </si>
  <si>
    <t>Gross Weight</t>
  </si>
  <si>
    <t>tons</t>
  </si>
  <si>
    <t>Fuel Consumption</t>
  </si>
  <si>
    <t>Distance within CA outside of Air Basin</t>
  </si>
  <si>
    <t>miles</t>
  </si>
  <si>
    <t>Total tons-mile</t>
  </si>
  <si>
    <t>tons-mile</t>
  </si>
  <si>
    <t>Average Fuel efficiency</t>
  </si>
  <si>
    <t>ton-mile/gal</t>
  </si>
  <si>
    <t>Total Fuel consumption</t>
  </si>
  <si>
    <t>gal/yr</t>
  </si>
  <si>
    <t>Distance within CA inside of Air Basin</t>
  </si>
  <si>
    <t>Total tons/mile</t>
  </si>
  <si>
    <t>gram/gallon</t>
  </si>
  <si>
    <t>lbs/gallon</t>
  </si>
  <si>
    <t>Link</t>
  </si>
  <si>
    <t>EMISSIONS</t>
  </si>
  <si>
    <t>Within Basin (lbs/yr)</t>
  </si>
  <si>
    <t>Within Basin (lbs/day)</t>
  </si>
  <si>
    <t>Outside Basin (lbs/yr)</t>
  </si>
  <si>
    <t>Outside Basin (lbs/day)</t>
  </si>
  <si>
    <t>(1)  Emission factors are based on Emission Factors for Locomotives, U.S. EPA 420-F-97-05, December 1997.</t>
  </si>
  <si>
    <r>
      <t>EMISSION FACTORS</t>
    </r>
    <r>
      <rPr>
        <vertAlign val="superscript"/>
        <sz val="10"/>
        <rFont val="Arial"/>
        <family val="2"/>
      </rPr>
      <t>(1)</t>
    </r>
  </si>
  <si>
    <t>Alternative Emission Calculations</t>
  </si>
  <si>
    <t>Emission Factors for Cruising</t>
  </si>
  <si>
    <t>Propulsion Type</t>
  </si>
  <si>
    <t>Design Categories</t>
  </si>
  <si>
    <t>Cruise Emission Factors (lb/1000 gal)</t>
  </si>
  <si>
    <t>Shiptype</t>
  </si>
  <si>
    <t>HC</t>
  </si>
  <si>
    <t>PM</t>
  </si>
  <si>
    <t>Tanker</t>
  </si>
  <si>
    <t>Motorships</t>
  </si>
  <si>
    <t>Steamships</t>
  </si>
  <si>
    <t>Emission Factors for Maneuvering</t>
  </si>
  <si>
    <t>Maneuvering Emission Factors (lb/1000 gal)</t>
  </si>
  <si>
    <t xml:space="preserve">Emission Factors for Auxiliary Power </t>
  </si>
  <si>
    <t>All Modes, Emission Factors (lb/hr)</t>
  </si>
  <si>
    <t>Engines</t>
  </si>
  <si>
    <t xml:space="preserve">Emission Factors for Tugboats </t>
  </si>
  <si>
    <t>Emission Factors (lb/1000 gal)</t>
  </si>
  <si>
    <t>Tugboat</t>
  </si>
  <si>
    <t>Fuel Consumption by Propulsion Type</t>
  </si>
  <si>
    <t>Fuel Consumption by Activity</t>
  </si>
  <si>
    <t>Ship Type</t>
  </si>
  <si>
    <t xml:space="preserve">Activity </t>
  </si>
  <si>
    <t>Fuel Consumption, gal/hr</t>
  </si>
  <si>
    <t>Cruising for 6.5 hrs, gal</t>
  </si>
  <si>
    <t>Maneuvering for 2 hrs, gal</t>
  </si>
  <si>
    <t>Total Cruising/ Maneuvering Fuel Consumption, gal</t>
  </si>
  <si>
    <t>Motor</t>
  </si>
  <si>
    <t>Cruising/Maneuvering</t>
  </si>
  <si>
    <t>Steam</t>
  </si>
  <si>
    <t>Fuel consumption based on most common tankers from Acurex Environmental report ppg. 4-7, 3-24</t>
  </si>
  <si>
    <t>Cruising time (avg) outside precautionary area = 5.5 hr from Acurex Environmental report pg. 4-23</t>
  </si>
  <si>
    <t>Cruising time (avg) inside precautionary area = 1hr  from Acurex Environmental report pg. 4-23</t>
  </si>
  <si>
    <t>Avg. Maneuvering time is 1.53 hrs pg.4-36 table 4-10(a) rounded to 2 hrs</t>
  </si>
  <si>
    <t>Conservative assumption that maneuvering consumes same fuel/hour as cruising</t>
  </si>
  <si>
    <t>Fuel Consumption for Tug Boats averaged from Mobil Reformulated Fuels Revised Draft EIR, average per tug of 42.4 gals rounded to 45 gals per tug</t>
  </si>
  <si>
    <t>Emissions from Cruising, lbs</t>
  </si>
  <si>
    <t>This table is repeated on next sheet, but next sheet is linked to this table. SO, don't print this one!!</t>
  </si>
  <si>
    <t>Fuel Consumption per Year, gals</t>
  </si>
  <si>
    <t>No. Ships</t>
  </si>
  <si>
    <t>Cruising &amp; Maneuvering</t>
  </si>
  <si>
    <t>Tug Boats</t>
  </si>
  <si>
    <t>Currently</t>
  </si>
  <si>
    <t xml:space="preserve">Total </t>
  </si>
  <si>
    <t>Proposed</t>
  </si>
  <si>
    <t>Increase</t>
  </si>
  <si>
    <t xml:space="preserve">Current and Proposed Shipments </t>
  </si>
  <si>
    <t>Total Cruising Emissions lbs/yr</t>
  </si>
  <si>
    <t>at Los Angeles Marine Terminal</t>
  </si>
  <si>
    <t>Ship Contents</t>
  </si>
  <si>
    <t>Current No.</t>
  </si>
  <si>
    <t>Proposed No.</t>
  </si>
  <si>
    <t>Hours at Berth</t>
  </si>
  <si>
    <t>Ethanol</t>
  </si>
  <si>
    <t>Assume 50/50 split of motor versus steam per cargo</t>
  </si>
  <si>
    <t>increase</t>
  </si>
  <si>
    <t>Total Maneuvering Emissions lbs/yr</t>
  </si>
  <si>
    <t>Emissions from Auxiliary Power (lbs/yr)</t>
  </si>
  <si>
    <t>Cargo</t>
  </si>
  <si>
    <t>Berth Time/ Ship, hrs</t>
  </si>
  <si>
    <t>Total Berth Time, hrs</t>
  </si>
  <si>
    <t>Current</t>
  </si>
  <si>
    <t>Emissions from Tug Boats</t>
  </si>
  <si>
    <t>No. of Ships</t>
  </si>
  <si>
    <t>No. of Tug Boats/ Ship</t>
  </si>
  <si>
    <t>Maneuvering Time, hours</t>
  </si>
  <si>
    <t>No. of Tug Boats</t>
  </si>
  <si>
    <t>Mobil Revised EIR Data</t>
  </si>
  <si>
    <t>Annual, lbs/yr</t>
  </si>
  <si>
    <t>Per Tug, lbs/hr</t>
  </si>
  <si>
    <t>Tosco Current Operations</t>
  </si>
  <si>
    <t>Tosco Proposed Project</t>
  </si>
  <si>
    <t>increase (lbs/yr)</t>
  </si>
  <si>
    <t>overall (cruising, maneuvering, auxiliary power, &amp; tug boats) (lb/yr)</t>
  </si>
  <si>
    <t>overall (cruising, maneuvering, auxiliary power, &amp; tug boats)(lb/visit)</t>
  </si>
  <si>
    <t>N:2021:Ship Emissions</t>
  </si>
  <si>
    <t>N:2021Emissions:Alternative2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</si>
</sst>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_)"/>
    <numFmt numFmtId="167" formatCode="0.0_);\(0.0\)"/>
    <numFmt numFmtId="168" formatCode="0.0"/>
    <numFmt numFmtId="169" formatCode="#,##0.0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/>
      <top style="thick"/>
      <bottom/>
    </border>
    <border>
      <left/>
      <right style="thick"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/>
    </border>
    <border>
      <left style="thick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thick"/>
      <top style="thin"/>
      <bottom style="double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/>
      <right style="thick"/>
      <top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ck"/>
      <top/>
      <bottom/>
    </border>
    <border>
      <left style="thin"/>
      <right style="thin"/>
      <top style="medium"/>
      <bottom style="double"/>
    </border>
    <border>
      <left style="thin"/>
      <right style="thin"/>
      <top style="double"/>
      <bottom style="thick"/>
    </border>
    <border>
      <left style="thin"/>
      <right style="thin"/>
      <top/>
      <bottom style="thick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/>
    </border>
    <border>
      <left/>
      <right/>
      <top style="double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thin"/>
    </border>
    <border>
      <left style="double"/>
      <right/>
      <top/>
      <bottom/>
    </border>
    <border>
      <left style="thin"/>
      <right style="double"/>
      <top/>
      <bottom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thin"/>
      <top/>
      <bottom style="thin"/>
    </border>
    <border>
      <left/>
      <right/>
      <top/>
      <bottom style="double"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/>
      <bottom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ck"/>
      <right style="thin"/>
      <top/>
      <bottom style="thick"/>
    </border>
    <border>
      <left style="thin"/>
      <right style="thin"/>
      <top style="thin"/>
      <bottom style="thick"/>
    </border>
    <border>
      <left style="thin"/>
      <right style="thick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 horizontal="center"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164" fontId="0" fillId="0" borderId="25" xfId="0" applyNumberFormat="1" applyBorder="1" applyAlignment="1" quotePrefix="1">
      <alignment horizontal="center"/>
    </xf>
    <xf numFmtId="16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164" fontId="0" fillId="0" borderId="32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0" fontId="4" fillId="34" borderId="26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5" xfId="0" applyNumberFormat="1" applyBorder="1" applyAlignment="1">
      <alignment/>
    </xf>
    <xf numFmtId="0" fontId="4" fillId="0" borderId="26" xfId="0" applyFont="1" applyFill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horizontal="center" wrapText="1"/>
    </xf>
    <xf numFmtId="0" fontId="0" fillId="0" borderId="46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0" fontId="0" fillId="0" borderId="52" xfId="0" applyBorder="1" applyAlignment="1">
      <alignment/>
    </xf>
    <xf numFmtId="0" fontId="0" fillId="0" borderId="50" xfId="0" applyFont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53" xfId="0" applyFont="1" applyBorder="1" applyAlignment="1">
      <alignment wrapText="1"/>
    </xf>
    <xf numFmtId="0" fontId="0" fillId="0" borderId="43" xfId="0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0" fillId="0" borderId="52" xfId="0" applyBorder="1" applyAlignment="1">
      <alignment wrapText="1"/>
    </xf>
    <xf numFmtId="0" fontId="0" fillId="0" borderId="39" xfId="0" applyBorder="1" applyAlignment="1">
      <alignment wrapText="1"/>
    </xf>
    <xf numFmtId="2" fontId="0" fillId="0" borderId="50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47" xfId="0" applyBorder="1" applyAlignment="1">
      <alignment/>
    </xf>
    <xf numFmtId="0" fontId="0" fillId="0" borderId="41" xfId="0" applyBorder="1" applyAlignment="1">
      <alignment/>
    </xf>
    <xf numFmtId="2" fontId="0" fillId="0" borderId="41" xfId="0" applyNumberFormat="1" applyBorder="1" applyAlignment="1">
      <alignment horizontal="center"/>
    </xf>
    <xf numFmtId="2" fontId="0" fillId="0" borderId="50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4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41" xfId="0" applyBorder="1" applyAlignment="1">
      <alignment wrapText="1"/>
    </xf>
    <xf numFmtId="0" fontId="0" fillId="0" borderId="48" xfId="0" applyBorder="1" applyAlignment="1">
      <alignment horizontal="center" wrapText="1"/>
    </xf>
    <xf numFmtId="0" fontId="0" fillId="0" borderId="55" xfId="0" applyBorder="1" applyAlignment="1">
      <alignment/>
    </xf>
    <xf numFmtId="0" fontId="0" fillId="0" borderId="48" xfId="0" applyBorder="1" applyAlignment="1">
      <alignment/>
    </xf>
    <xf numFmtId="0" fontId="0" fillId="0" borderId="56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6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47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49" xfId="0" applyBorder="1" applyAlignment="1">
      <alignment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2" fillId="0" borderId="5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57" xfId="0" applyFont="1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50" xfId="0" applyBorder="1" applyAlignment="1">
      <alignment horizontal="right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 wrapText="1"/>
    </xf>
    <xf numFmtId="0" fontId="0" fillId="0" borderId="55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7" xfId="0" applyBorder="1" applyAlignment="1">
      <alignment/>
    </xf>
    <xf numFmtId="0" fontId="0" fillId="0" borderId="54" xfId="0" applyBorder="1" applyAlignment="1">
      <alignment/>
    </xf>
    <xf numFmtId="164" fontId="0" fillId="0" borderId="40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8" xfId="0" applyNumberFormat="1" applyBorder="1" applyAlignment="1">
      <alignment/>
    </xf>
    <xf numFmtId="164" fontId="0" fillId="0" borderId="43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7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2" fontId="0" fillId="0" borderId="35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37" fontId="0" fillId="0" borderId="19" xfId="0" applyNumberFormat="1" applyFont="1" applyBorder="1" applyAlignment="1">
      <alignment/>
    </xf>
    <xf numFmtId="167" fontId="0" fillId="0" borderId="69" xfId="0" applyNumberFormat="1" applyFont="1" applyBorder="1" applyAlignment="1">
      <alignment/>
    </xf>
    <xf numFmtId="0" fontId="3" fillId="0" borderId="70" xfId="0" applyFont="1" applyBorder="1" applyAlignment="1">
      <alignment/>
    </xf>
    <xf numFmtId="0" fontId="0" fillId="0" borderId="7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37" fontId="3" fillId="0" borderId="19" xfId="0" applyNumberFormat="1" applyFont="1" applyBorder="1" applyAlignment="1">
      <alignment/>
    </xf>
    <xf numFmtId="167" fontId="3" fillId="0" borderId="69" xfId="0" applyNumberFormat="1" applyFont="1" applyBorder="1" applyAlignment="1">
      <alignment/>
    </xf>
    <xf numFmtId="0" fontId="3" fillId="0" borderId="71" xfId="0" applyFont="1" applyBorder="1" applyAlignment="1">
      <alignment/>
    </xf>
    <xf numFmtId="0" fontId="0" fillId="0" borderId="25" xfId="0" applyBorder="1" applyAlignment="1">
      <alignment horizontal="center"/>
    </xf>
    <xf numFmtId="37" fontId="0" fillId="0" borderId="25" xfId="0" applyNumberFormat="1" applyBorder="1" applyAlignment="1">
      <alignment/>
    </xf>
    <xf numFmtId="167" fontId="0" fillId="0" borderId="72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70" xfId="0" applyFont="1" applyBorder="1" applyAlignment="1">
      <alignment/>
    </xf>
    <xf numFmtId="49" fontId="0" fillId="0" borderId="73" xfId="0" applyNumberFormat="1" applyBorder="1" applyAlignment="1">
      <alignment horizontal="left" wrapText="1"/>
    </xf>
    <xf numFmtId="0" fontId="0" fillId="0" borderId="73" xfId="0" applyBorder="1" applyAlignment="1">
      <alignment/>
    </xf>
    <xf numFmtId="0" fontId="0" fillId="0" borderId="73" xfId="0" applyBorder="1" applyAlignment="1">
      <alignment horizontal="center"/>
    </xf>
    <xf numFmtId="37" fontId="0" fillId="0" borderId="73" xfId="0" applyNumberFormat="1" applyBorder="1" applyAlignment="1">
      <alignment/>
    </xf>
    <xf numFmtId="167" fontId="0" fillId="0" borderId="74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70" xfId="0" applyBorder="1" applyAlignment="1">
      <alignment/>
    </xf>
    <xf numFmtId="0" fontId="0" fillId="0" borderId="68" xfId="0" applyBorder="1" applyAlignment="1">
      <alignment/>
    </xf>
    <xf numFmtId="167" fontId="0" fillId="0" borderId="69" xfId="0" applyNumberFormat="1" applyBorder="1" applyAlignment="1">
      <alignment/>
    </xf>
    <xf numFmtId="0" fontId="3" fillId="0" borderId="75" xfId="0" applyFont="1" applyBorder="1" applyAlignment="1">
      <alignment/>
    </xf>
    <xf numFmtId="0" fontId="3" fillId="0" borderId="76" xfId="0" applyFont="1" applyBorder="1" applyAlignment="1">
      <alignment/>
    </xf>
    <xf numFmtId="37" fontId="0" fillId="0" borderId="32" xfId="0" applyNumberFormat="1" applyBorder="1" applyAlignment="1">
      <alignment/>
    </xf>
    <xf numFmtId="167" fontId="0" fillId="0" borderId="77" xfId="0" applyNumberForma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63" xfId="0" applyBorder="1" applyAlignment="1">
      <alignment horizontal="center"/>
    </xf>
    <xf numFmtId="0" fontId="0" fillId="0" borderId="63" xfId="0" applyBorder="1" applyAlignment="1">
      <alignment/>
    </xf>
    <xf numFmtId="37" fontId="0" fillId="0" borderId="78" xfId="0" applyNumberFormat="1" applyBorder="1" applyAlignment="1">
      <alignment/>
    </xf>
    <xf numFmtId="167" fontId="0" fillId="0" borderId="79" xfId="0" applyNumberFormat="1" applyBorder="1" applyAlignment="1">
      <alignment/>
    </xf>
    <xf numFmtId="167" fontId="0" fillId="0" borderId="0" xfId="0" applyNumberFormat="1" applyAlignment="1">
      <alignment/>
    </xf>
    <xf numFmtId="0" fontId="3" fillId="0" borderId="0" xfId="0" applyFont="1" applyBorder="1" applyAlignment="1">
      <alignment/>
    </xf>
    <xf numFmtId="37" fontId="0" fillId="0" borderId="63" xfId="0" applyNumberFormat="1" applyBorder="1" applyAlignment="1">
      <alignment/>
    </xf>
    <xf numFmtId="167" fontId="0" fillId="0" borderId="63" xfId="0" applyNumberFormat="1" applyBorder="1" applyAlignment="1">
      <alignment/>
    </xf>
    <xf numFmtId="0" fontId="3" fillId="0" borderId="80" xfId="0" applyFont="1" applyBorder="1" applyAlignment="1">
      <alignment/>
    </xf>
    <xf numFmtId="37" fontId="0" fillId="0" borderId="0" xfId="0" applyNumberFormat="1" applyBorder="1" applyAlignment="1">
      <alignment/>
    </xf>
    <xf numFmtId="167" fontId="0" fillId="0" borderId="81" xfId="0" applyNumberFormat="1" applyBorder="1" applyAlignment="1">
      <alignment/>
    </xf>
    <xf numFmtId="0" fontId="3" fillId="0" borderId="82" xfId="0" applyFont="1" applyBorder="1" applyAlignment="1">
      <alignment/>
    </xf>
    <xf numFmtId="0" fontId="0" fillId="0" borderId="83" xfId="0" applyBorder="1" applyAlignment="1">
      <alignment/>
    </xf>
    <xf numFmtId="37" fontId="0" fillId="0" borderId="83" xfId="0" applyNumberFormat="1" applyBorder="1" applyAlignment="1">
      <alignment/>
    </xf>
    <xf numFmtId="167" fontId="0" fillId="0" borderId="84" xfId="0" applyNumberFormat="1" applyBorder="1" applyAlignment="1">
      <alignment/>
    </xf>
    <xf numFmtId="37" fontId="0" fillId="0" borderId="25" xfId="0" applyNumberFormat="1" applyFont="1" applyBorder="1" applyAlignment="1">
      <alignment/>
    </xf>
    <xf numFmtId="167" fontId="0" fillId="0" borderId="72" xfId="0" applyNumberFormat="1" applyFont="1" applyBorder="1" applyAlignment="1">
      <alignment/>
    </xf>
    <xf numFmtId="0" fontId="3" fillId="0" borderId="85" xfId="0" applyFont="1" applyBorder="1" applyAlignment="1">
      <alignment/>
    </xf>
    <xf numFmtId="49" fontId="0" fillId="0" borderId="25" xfId="0" applyNumberFormat="1" applyBorder="1" applyAlignment="1">
      <alignment horizontal="left" wrapText="1"/>
    </xf>
    <xf numFmtId="37" fontId="0" fillId="0" borderId="19" xfId="0" applyNumberFormat="1" applyBorder="1" applyAlignment="1">
      <alignment/>
    </xf>
    <xf numFmtId="0" fontId="3" fillId="0" borderId="86" xfId="0" applyFont="1" applyBorder="1" applyAlignment="1">
      <alignment/>
    </xf>
    <xf numFmtId="167" fontId="0" fillId="0" borderId="0" xfId="0" applyNumberFormat="1" applyBorder="1" applyAlignment="1">
      <alignment/>
    </xf>
    <xf numFmtId="0" fontId="3" fillId="0" borderId="63" xfId="0" applyFont="1" applyBorder="1" applyAlignment="1">
      <alignment horizontal="center"/>
    </xf>
    <xf numFmtId="168" fontId="3" fillId="0" borderId="6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169" fontId="3" fillId="0" borderId="0" xfId="0" applyNumberFormat="1" applyFont="1" applyAlignment="1">
      <alignment horizontal="center"/>
    </xf>
    <xf numFmtId="0" fontId="3" fillId="0" borderId="87" xfId="0" applyFont="1" applyBorder="1" applyAlignment="1">
      <alignment/>
    </xf>
    <xf numFmtId="0" fontId="3" fillId="0" borderId="87" xfId="0" applyFont="1" applyBorder="1" applyAlignment="1">
      <alignment horizontal="center"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3" fillId="0" borderId="88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5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2" fontId="0" fillId="0" borderId="90" xfId="0" applyNumberFormat="1" applyBorder="1" applyAlignment="1">
      <alignment/>
    </xf>
    <xf numFmtId="3" fontId="0" fillId="0" borderId="32" xfId="0" applyNumberFormat="1" applyBorder="1" applyAlignment="1">
      <alignment/>
    </xf>
    <xf numFmtId="2" fontId="0" fillId="0" borderId="25" xfId="0" applyNumberFormat="1" applyBorder="1" applyAlignment="1">
      <alignment/>
    </xf>
    <xf numFmtId="3" fontId="0" fillId="0" borderId="91" xfId="0" applyNumberFormat="1" applyBorder="1" applyAlignment="1">
      <alignment/>
    </xf>
    <xf numFmtId="2" fontId="0" fillId="0" borderId="3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92" xfId="0" applyNumberFormat="1" applyBorder="1" applyAlignment="1">
      <alignment/>
    </xf>
    <xf numFmtId="0" fontId="0" fillId="0" borderId="9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4" xfId="0" applyBorder="1" applyAlignment="1">
      <alignment horizontal="center" wrapText="1"/>
    </xf>
    <xf numFmtId="0" fontId="0" fillId="0" borderId="95" xfId="0" applyBorder="1" applyAlignment="1">
      <alignment/>
    </xf>
    <xf numFmtId="2" fontId="0" fillId="0" borderId="73" xfId="0" applyNumberFormat="1" applyBorder="1" applyAlignment="1">
      <alignment/>
    </xf>
    <xf numFmtId="2" fontId="0" fillId="0" borderId="96" xfId="0" applyNumberFormat="1" applyBorder="1" applyAlignment="1">
      <alignment/>
    </xf>
    <xf numFmtId="2" fontId="0" fillId="0" borderId="97" xfId="0" applyNumberFormat="1" applyBorder="1" applyAlignment="1">
      <alignment/>
    </xf>
    <xf numFmtId="0" fontId="0" fillId="0" borderId="95" xfId="0" applyBorder="1" applyAlignment="1">
      <alignment wrapText="1"/>
    </xf>
    <xf numFmtId="2" fontId="0" fillId="0" borderId="98" xfId="0" applyNumberFormat="1" applyBorder="1" applyAlignment="1">
      <alignment/>
    </xf>
    <xf numFmtId="0" fontId="0" fillId="0" borderId="99" xfId="0" applyBorder="1" applyAlignment="1">
      <alignment/>
    </xf>
    <xf numFmtId="2" fontId="0" fillId="0" borderId="100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101" xfId="0" applyNumberFormat="1" applyBorder="1" applyAlignment="1">
      <alignment/>
    </xf>
    <xf numFmtId="0" fontId="3" fillId="0" borderId="87" xfId="0" applyFont="1" applyBorder="1" applyAlignment="1">
      <alignment horizontal="center"/>
    </xf>
    <xf numFmtId="3" fontId="0" fillId="0" borderId="25" xfId="0" applyNumberFormat="1" applyBorder="1" applyAlignment="1">
      <alignment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vertical="top" wrapText="1"/>
    </xf>
    <xf numFmtId="0" fontId="7" fillId="0" borderId="25" xfId="0" applyFont="1" applyBorder="1" applyAlignment="1">
      <alignment vertical="top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 wrapText="1"/>
    </xf>
    <xf numFmtId="3" fontId="7" fillId="0" borderId="25" xfId="0" applyNumberFormat="1" applyFont="1" applyBorder="1" applyAlignment="1">
      <alignment horizontal="left" vertical="top"/>
    </xf>
    <xf numFmtId="0" fontId="7" fillId="0" borderId="102" xfId="0" applyFont="1" applyBorder="1" applyAlignment="1">
      <alignment/>
    </xf>
    <xf numFmtId="0" fontId="0" fillId="0" borderId="103" xfId="0" applyFont="1" applyBorder="1" applyAlignment="1">
      <alignment/>
    </xf>
    <xf numFmtId="0" fontId="7" fillId="0" borderId="103" xfId="0" applyFont="1" applyBorder="1" applyAlignment="1">
      <alignment/>
    </xf>
    <xf numFmtId="0" fontId="0" fillId="0" borderId="104" xfId="0" applyFont="1" applyBorder="1" applyAlignment="1">
      <alignment/>
    </xf>
    <xf numFmtId="3" fontId="7" fillId="0" borderId="25" xfId="0" applyNumberFormat="1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90" xfId="0" applyBorder="1" applyAlignment="1">
      <alignment wrapText="1"/>
    </xf>
    <xf numFmtId="0" fontId="0" fillId="0" borderId="25" xfId="0" applyBorder="1" applyAlignment="1">
      <alignment wrapText="1"/>
    </xf>
    <xf numFmtId="165" fontId="0" fillId="0" borderId="25" xfId="0" applyNumberFormat="1" applyBorder="1" applyAlignment="1">
      <alignment/>
    </xf>
    <xf numFmtId="0" fontId="0" fillId="0" borderId="90" xfId="0" applyBorder="1" applyAlignment="1">
      <alignment/>
    </xf>
    <xf numFmtId="164" fontId="0" fillId="0" borderId="9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105" xfId="0" applyBorder="1" applyAlignment="1">
      <alignment/>
    </xf>
    <xf numFmtId="0" fontId="0" fillId="0" borderId="25" xfId="0" applyBorder="1" applyAlignment="1">
      <alignment horizontal="center" wrapText="1"/>
    </xf>
    <xf numFmtId="0" fontId="3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2" fontId="16" fillId="0" borderId="0" xfId="0" applyNumberFormat="1" applyFont="1" applyBorder="1" applyAlignment="1">
      <alignment/>
    </xf>
    <xf numFmtId="0" fontId="0" fillId="0" borderId="104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3" xfId="0" applyBorder="1" applyAlignment="1">
      <alignment/>
    </xf>
    <xf numFmtId="0" fontId="3" fillId="0" borderId="0" xfId="0" applyFont="1" applyBorder="1" applyAlignment="1">
      <alignment/>
    </xf>
    <xf numFmtId="0" fontId="0" fillId="0" borderId="102" xfId="0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1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0" fillId="0" borderId="5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 wrapText="1"/>
    </xf>
    <xf numFmtId="2" fontId="0" fillId="0" borderId="39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8" xfId="0" applyFont="1" applyBorder="1" applyAlignment="1">
      <alignment wrapText="1"/>
    </xf>
    <xf numFmtId="0" fontId="0" fillId="0" borderId="43" xfId="0" applyBorder="1" applyAlignment="1">
      <alignment/>
    </xf>
    <xf numFmtId="0" fontId="0" fillId="0" borderId="47" xfId="0" applyBorder="1" applyAlignment="1">
      <alignment wrapText="1"/>
    </xf>
    <xf numFmtId="0" fontId="0" fillId="0" borderId="52" xfId="0" applyBorder="1" applyAlignment="1">
      <alignment/>
    </xf>
    <xf numFmtId="0" fontId="0" fillId="0" borderId="49" xfId="0" applyBorder="1" applyAlignment="1">
      <alignment wrapText="1"/>
    </xf>
    <xf numFmtId="0" fontId="0" fillId="0" borderId="57" xfId="0" applyBorder="1" applyAlignment="1">
      <alignment/>
    </xf>
    <xf numFmtId="0" fontId="0" fillId="0" borderId="42" xfId="0" applyBorder="1" applyAlignment="1">
      <alignment wrapText="1"/>
    </xf>
    <xf numFmtId="0" fontId="0" fillId="0" borderId="54" xfId="0" applyBorder="1" applyAlignment="1">
      <alignment/>
    </xf>
    <xf numFmtId="0" fontId="0" fillId="0" borderId="48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2" xfId="0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49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57" xfId="0" applyNumberFormat="1" applyBorder="1" applyAlignment="1">
      <alignment/>
    </xf>
    <xf numFmtId="2" fontId="0" fillId="0" borderId="54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8" xfId="0" applyFont="1" applyBorder="1" applyAlignment="1">
      <alignment wrapText="1"/>
    </xf>
    <xf numFmtId="0" fontId="11" fillId="0" borderId="25" xfId="0" applyFont="1" applyBorder="1" applyAlignment="1">
      <alignment horizontal="center"/>
    </xf>
    <xf numFmtId="0" fontId="11" fillId="0" borderId="102" xfId="0" applyFont="1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1" fillId="0" borderId="104" xfId="0" applyFont="1" applyBorder="1" applyAlignment="1">
      <alignment horizontal="center"/>
    </xf>
    <xf numFmtId="0" fontId="0" fillId="0" borderId="43" xfId="0" applyFont="1" applyBorder="1" applyAlignment="1">
      <alignment wrapText="1"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7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0" fontId="3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3" fillId="0" borderId="108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9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ceqa/documents/2001/nonaqmd/tosco_rfp/final/Ship%20Emiss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 Emission Assumptions "/>
      <sheetName val="Ship Emission Calculations"/>
    </sheetNames>
    <sheetDataSet>
      <sheetData sheetId="0">
        <row r="11">
          <cell r="D11">
            <v>639</v>
          </cell>
          <cell r="E11">
            <v>19</v>
          </cell>
          <cell r="F11">
            <v>58</v>
          </cell>
          <cell r="G11">
            <v>57</v>
          </cell>
          <cell r="H11">
            <v>363</v>
          </cell>
        </row>
        <row r="12">
          <cell r="D12">
            <v>56</v>
          </cell>
          <cell r="E12">
            <v>0.7</v>
          </cell>
          <cell r="F12">
            <v>3.5</v>
          </cell>
          <cell r="G12">
            <v>20</v>
          </cell>
          <cell r="H12">
            <v>363</v>
          </cell>
        </row>
        <row r="18">
          <cell r="D18">
            <v>14.7</v>
          </cell>
          <cell r="E18">
            <v>2.8</v>
          </cell>
          <cell r="F18">
            <v>1.6</v>
          </cell>
          <cell r="G18">
            <v>0.6</v>
          </cell>
          <cell r="H18">
            <v>8</v>
          </cell>
        </row>
        <row r="19">
          <cell r="D19">
            <v>2.7</v>
          </cell>
          <cell r="E19">
            <v>0.1</v>
          </cell>
          <cell r="F19">
            <v>1.1</v>
          </cell>
          <cell r="G19">
            <v>0.3</v>
          </cell>
          <cell r="H19">
            <v>6.8</v>
          </cell>
        </row>
        <row r="20">
          <cell r="D20">
            <v>19.6</v>
          </cell>
          <cell r="E20">
            <v>0.8</v>
          </cell>
          <cell r="F20">
            <v>1</v>
          </cell>
          <cell r="G20">
            <v>2.7</v>
          </cell>
          <cell r="H20">
            <v>20.9</v>
          </cell>
        </row>
        <row r="31">
          <cell r="F31">
            <v>966</v>
          </cell>
        </row>
        <row r="32">
          <cell r="F32">
            <v>2224</v>
          </cell>
        </row>
        <row r="43">
          <cell r="B43">
            <v>2006.1405</v>
          </cell>
          <cell r="C43">
            <v>56.511</v>
          </cell>
          <cell r="D43">
            <v>172.6725</v>
          </cell>
          <cell r="E43">
            <v>178.9515</v>
          </cell>
          <cell r="F43">
            <v>1139.6385</v>
          </cell>
        </row>
        <row r="44">
          <cell r="B44">
            <v>462.592</v>
          </cell>
          <cell r="C44">
            <v>14.456</v>
          </cell>
          <cell r="D44">
            <v>50.596</v>
          </cell>
          <cell r="E44">
            <v>411.996</v>
          </cell>
          <cell r="F44">
            <v>2623.764</v>
          </cell>
        </row>
        <row r="60">
          <cell r="A60" t="str">
            <v>Fuel Consumption per Year, gals</v>
          </cell>
        </row>
        <row r="61">
          <cell r="B61" t="str">
            <v>No. Ships</v>
          </cell>
          <cell r="C61" t="str">
            <v>Cruising &amp; Maneuvering</v>
          </cell>
          <cell r="D61" t="str">
            <v>Tug Boats</v>
          </cell>
          <cell r="E61" t="str">
            <v>Total</v>
          </cell>
        </row>
        <row r="62">
          <cell r="A62" t="str">
            <v>Currently</v>
          </cell>
        </row>
        <row r="63">
          <cell r="A63" t="str">
            <v>Motor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Steam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Total 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Proposed</v>
          </cell>
        </row>
        <row r="67">
          <cell r="A67" t="str">
            <v>Motor</v>
          </cell>
          <cell r="C67">
            <v>41055</v>
          </cell>
          <cell r="D67">
            <v>900</v>
          </cell>
          <cell r="E67">
            <v>41955</v>
          </cell>
        </row>
        <row r="68">
          <cell r="A68" t="str">
            <v>Steam</v>
          </cell>
          <cell r="C68">
            <v>94520</v>
          </cell>
          <cell r="D68">
            <v>900</v>
          </cell>
          <cell r="E68">
            <v>95420</v>
          </cell>
        </row>
        <row r="69">
          <cell r="A69" t="str">
            <v>Total </v>
          </cell>
          <cell r="C69">
            <v>135575</v>
          </cell>
          <cell r="D69">
            <v>1800</v>
          </cell>
          <cell r="E69">
            <v>137375</v>
          </cell>
        </row>
        <row r="71">
          <cell r="B71">
            <v>20</v>
          </cell>
          <cell r="C71">
            <v>135575</v>
          </cell>
          <cell r="D71">
            <v>1800</v>
          </cell>
          <cell r="E71">
            <v>137375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A14"/>
  <sheetViews>
    <sheetView zoomScalePageLayoutView="0" workbookViewId="0" topLeftCell="A1">
      <selection activeCell="A14" sqref="A14"/>
    </sheetView>
  </sheetViews>
  <sheetFormatPr defaultColWidth="9.140625" defaultRowHeight="12.75"/>
  <sheetData>
    <row r="14" ht="15">
      <c r="A14" s="139" t="s">
        <v>147</v>
      </c>
    </row>
  </sheetData>
  <sheetProtection/>
  <printOptions/>
  <pageMargins left="0.75" right="0.75" top="1" bottom="1" header="0.5" footer="0.5"/>
  <pageSetup horizontalDpi="400" verticalDpi="4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pane xSplit="4" ySplit="1" topLeftCell="E19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25" sqref="A25"/>
    </sheetView>
  </sheetViews>
  <sheetFormatPr defaultColWidth="9.140625" defaultRowHeight="12.75"/>
  <cols>
    <col min="1" max="1" width="17.28125" style="0" customWidth="1"/>
    <col min="3" max="3" width="22.7109375" style="0" customWidth="1"/>
    <col min="4" max="4" width="12.7109375" style="0" customWidth="1"/>
    <col min="5" max="5" width="13.00390625" style="0" customWidth="1"/>
    <col min="8" max="12" width="0" style="0" hidden="1" customWidth="1"/>
  </cols>
  <sheetData>
    <row r="1" spans="1:12" ht="14.25" thickBot="1" thickTop="1">
      <c r="A1" s="140" t="s">
        <v>1</v>
      </c>
      <c r="B1" s="141" t="s">
        <v>149</v>
      </c>
      <c r="C1" s="141" t="s">
        <v>150</v>
      </c>
      <c r="D1" s="141" t="s">
        <v>151</v>
      </c>
      <c r="E1" s="141" t="s">
        <v>152</v>
      </c>
      <c r="F1" s="141" t="s">
        <v>153</v>
      </c>
      <c r="G1" s="142" t="s">
        <v>154</v>
      </c>
      <c r="H1" s="88" t="s">
        <v>181</v>
      </c>
      <c r="I1" s="88" t="s">
        <v>185</v>
      </c>
      <c r="J1" s="88" t="s">
        <v>186</v>
      </c>
      <c r="K1" s="88" t="s">
        <v>183</v>
      </c>
      <c r="L1" s="88" t="s">
        <v>184</v>
      </c>
    </row>
    <row r="2" spans="1:7" ht="14.25" thickBot="1" thickTop="1">
      <c r="A2" s="143"/>
      <c r="B2" s="141"/>
      <c r="C2" s="141"/>
      <c r="D2" s="141"/>
      <c r="E2" s="141"/>
      <c r="F2" s="141"/>
      <c r="G2" s="142"/>
    </row>
    <row r="3" spans="1:7" ht="14.25" thickBot="1" thickTop="1">
      <c r="A3" s="144" t="s">
        <v>155</v>
      </c>
      <c r="B3" s="145"/>
      <c r="C3" s="145"/>
      <c r="D3" s="145"/>
      <c r="E3" s="145"/>
      <c r="F3" s="145"/>
      <c r="G3" s="146"/>
    </row>
    <row r="4" spans="1:7" ht="13.5" thickTop="1">
      <c r="A4" s="147"/>
      <c r="B4" s="148"/>
      <c r="C4" s="148"/>
      <c r="D4" s="148"/>
      <c r="E4" s="148"/>
      <c r="F4" s="148"/>
      <c r="G4" s="149"/>
    </row>
    <row r="5" spans="1:7" ht="12.75">
      <c r="A5" s="150" t="s">
        <v>156</v>
      </c>
      <c r="B5" s="151">
        <v>0</v>
      </c>
      <c r="C5" s="152" t="s">
        <v>157</v>
      </c>
      <c r="D5" s="152" t="s">
        <v>158</v>
      </c>
      <c r="E5" s="151">
        <v>104</v>
      </c>
      <c r="F5" s="153">
        <f>E5*B5</f>
        <v>0</v>
      </c>
      <c r="G5" s="154">
        <f>F5/365</f>
        <v>0</v>
      </c>
    </row>
    <row r="6" spans="1:7" ht="12.75">
      <c r="A6" s="155"/>
      <c r="B6" s="151"/>
      <c r="C6" s="152"/>
      <c r="D6" s="152"/>
      <c r="E6" s="151"/>
      <c r="F6" s="153"/>
      <c r="G6" s="154"/>
    </row>
    <row r="7" spans="1:7" ht="12.75">
      <c r="A7" s="150" t="s">
        <v>159</v>
      </c>
      <c r="B7" s="151">
        <v>0</v>
      </c>
      <c r="C7" s="152" t="s">
        <v>160</v>
      </c>
      <c r="D7" s="20" t="s">
        <v>161</v>
      </c>
      <c r="E7" s="151">
        <v>514</v>
      </c>
      <c r="F7" s="153">
        <f>E7*B7</f>
        <v>0</v>
      </c>
      <c r="G7" s="154">
        <f>F7/365</f>
        <v>0</v>
      </c>
    </row>
    <row r="8" spans="1:7" ht="12.75">
      <c r="A8" s="156"/>
      <c r="B8" s="157"/>
      <c r="C8" s="158"/>
      <c r="D8" s="158"/>
      <c r="E8" s="157"/>
      <c r="F8" s="159"/>
      <c r="G8" s="160"/>
    </row>
    <row r="9" spans="1:12" ht="12.75">
      <c r="A9" s="161" t="s">
        <v>162</v>
      </c>
      <c r="B9" s="162">
        <f>CEILING(SUM(H9:K9)*(1+$L$9),1)</f>
        <v>11</v>
      </c>
      <c r="C9" s="20" t="s">
        <v>163</v>
      </c>
      <c r="D9" s="20" t="s">
        <v>161</v>
      </c>
      <c r="E9" s="162">
        <v>0</v>
      </c>
      <c r="F9" s="163">
        <f aca="true" t="shared" si="0" ref="F9:F14">+B9*E9</f>
        <v>0</v>
      </c>
      <c r="G9" s="164">
        <f aca="true" t="shared" si="1" ref="G9:G14">+F9/365</f>
        <v>0</v>
      </c>
      <c r="I9">
        <v>9</v>
      </c>
      <c r="K9" s="165"/>
      <c r="L9">
        <v>0.15</v>
      </c>
    </row>
    <row r="10" spans="1:10" ht="27" customHeight="1">
      <c r="A10" s="166"/>
      <c r="B10" s="162">
        <f>CEILING(SUM(H10:K10)*(1+$L$9),1)</f>
        <v>0</v>
      </c>
      <c r="C10" s="167" t="s">
        <v>164</v>
      </c>
      <c r="D10" s="168" t="s">
        <v>161</v>
      </c>
      <c r="E10" s="169">
        <v>23</v>
      </c>
      <c r="F10" s="170">
        <f t="shared" si="0"/>
        <v>0</v>
      </c>
      <c r="G10" s="171">
        <f t="shared" si="1"/>
        <v>0</v>
      </c>
      <c r="H10">
        <v>0</v>
      </c>
      <c r="I10">
        <v>0</v>
      </c>
      <c r="J10">
        <v>0</v>
      </c>
    </row>
    <row r="11" spans="1:10" ht="12.75">
      <c r="A11" s="155"/>
      <c r="B11" s="162">
        <f>CEILING(SUM(H11:K11)*(1+$L$9),1)</f>
        <v>6</v>
      </c>
      <c r="C11" s="20" t="s">
        <v>163</v>
      </c>
      <c r="D11" s="172" t="s">
        <v>158</v>
      </c>
      <c r="E11" s="162">
        <v>0</v>
      </c>
      <c r="F11" s="163">
        <f t="shared" si="0"/>
        <v>0</v>
      </c>
      <c r="G11" s="164">
        <f t="shared" si="1"/>
        <v>0</v>
      </c>
      <c r="I11">
        <v>2</v>
      </c>
      <c r="J11">
        <v>3</v>
      </c>
    </row>
    <row r="12" spans="1:10" ht="28.5" customHeight="1">
      <c r="A12" s="173" t="s">
        <v>5</v>
      </c>
      <c r="B12" s="162">
        <f>CEILING(SUM(H12:K12)*(1+$L$9),1)</f>
        <v>11</v>
      </c>
      <c r="C12" s="167" t="s">
        <v>164</v>
      </c>
      <c r="D12" s="152" t="s">
        <v>158</v>
      </c>
      <c r="E12" s="162">
        <v>19</v>
      </c>
      <c r="F12" s="163">
        <f t="shared" si="0"/>
        <v>209</v>
      </c>
      <c r="G12" s="164">
        <f t="shared" si="1"/>
        <v>0.5726027397260274</v>
      </c>
      <c r="H12">
        <v>0</v>
      </c>
      <c r="I12">
        <v>6</v>
      </c>
      <c r="J12">
        <v>3</v>
      </c>
    </row>
    <row r="13" spans="1:7" ht="12.75">
      <c r="A13" s="173"/>
      <c r="B13" s="162">
        <v>0</v>
      </c>
      <c r="C13" s="20" t="s">
        <v>163</v>
      </c>
      <c r="D13" s="20" t="s">
        <v>165</v>
      </c>
      <c r="E13" s="162">
        <v>0</v>
      </c>
      <c r="F13" s="163">
        <f t="shared" si="0"/>
        <v>0</v>
      </c>
      <c r="G13" s="164">
        <f t="shared" si="1"/>
        <v>0</v>
      </c>
    </row>
    <row r="14" spans="1:9" ht="28.5" customHeight="1">
      <c r="A14" s="173"/>
      <c r="B14" s="162">
        <f>CEILING(SUM(H14:K14)*(1+$L$9),1)</f>
        <v>3</v>
      </c>
      <c r="C14" s="167" t="s">
        <v>164</v>
      </c>
      <c r="D14" s="168" t="s">
        <v>165</v>
      </c>
      <c r="E14" s="169">
        <v>3</v>
      </c>
      <c r="F14" s="170">
        <f t="shared" si="0"/>
        <v>9</v>
      </c>
      <c r="G14" s="171">
        <f t="shared" si="1"/>
        <v>0.024657534246575342</v>
      </c>
      <c r="I14">
        <v>2</v>
      </c>
    </row>
    <row r="15" spans="1:7" ht="12.75">
      <c r="A15" s="174"/>
      <c r="B15" s="162"/>
      <c r="C15" s="20"/>
      <c r="D15" s="20"/>
      <c r="E15" s="162"/>
      <c r="F15" s="163"/>
      <c r="G15" s="164"/>
    </row>
    <row r="16" spans="1:7" ht="12.75">
      <c r="A16" s="150" t="s">
        <v>187</v>
      </c>
      <c r="B16" s="21">
        <v>0</v>
      </c>
      <c r="C16" s="152" t="s">
        <v>160</v>
      </c>
      <c r="D16" s="27" t="s">
        <v>166</v>
      </c>
      <c r="E16" s="21">
        <v>0</v>
      </c>
      <c r="F16" s="163">
        <f>+B16*E16</f>
        <v>0</v>
      </c>
      <c r="G16" s="164">
        <f>+F16/365</f>
        <v>0</v>
      </c>
    </row>
    <row r="17" spans="1:7" ht="12.75">
      <c r="A17" s="155"/>
      <c r="B17" s="21"/>
      <c r="C17" s="27"/>
      <c r="D17" s="27"/>
      <c r="E17" s="21"/>
      <c r="F17" s="163"/>
      <c r="G17" s="175"/>
    </row>
    <row r="18" spans="1:12" ht="12.75">
      <c r="A18" s="176" t="s">
        <v>167</v>
      </c>
      <c r="B18" s="162">
        <f>CEILING(((K18)*(1+$L$18)+H18),1)</f>
        <v>29</v>
      </c>
      <c r="C18" s="27"/>
      <c r="D18" s="27"/>
      <c r="E18" s="21">
        <v>1.5</v>
      </c>
      <c r="F18" s="163">
        <f>+B18*E18</f>
        <v>43.5</v>
      </c>
      <c r="G18" s="164">
        <f>+F18/365</f>
        <v>0.11917808219178082</v>
      </c>
      <c r="H18">
        <f>(SUM(H9:H14)+SUM(J9:J14))*(1+L9)*2</f>
        <v>13.799999999999999</v>
      </c>
      <c r="K18">
        <v>12</v>
      </c>
      <c r="L18">
        <v>0.2</v>
      </c>
    </row>
    <row r="19" spans="1:7" ht="12.75">
      <c r="A19" s="177"/>
      <c r="B19" s="36"/>
      <c r="C19" s="35"/>
      <c r="D19" s="35"/>
      <c r="E19" s="36"/>
      <c r="F19" s="178"/>
      <c r="G19" s="179"/>
    </row>
    <row r="20" spans="1:7" ht="12.75">
      <c r="A20" s="150" t="s">
        <v>168</v>
      </c>
      <c r="B20" s="162">
        <v>0</v>
      </c>
      <c r="C20" s="172" t="s">
        <v>169</v>
      </c>
      <c r="D20" s="20" t="s">
        <v>166</v>
      </c>
      <c r="E20" s="162">
        <v>80</v>
      </c>
      <c r="F20" s="163">
        <f>+B20*E20</f>
        <v>0</v>
      </c>
      <c r="G20" s="164">
        <f>+F20/365</f>
        <v>0</v>
      </c>
    </row>
    <row r="21" spans="1:7" ht="13.5" thickBot="1">
      <c r="A21" s="155"/>
      <c r="B21" s="36"/>
      <c r="C21" s="35"/>
      <c r="D21" s="35"/>
      <c r="E21" s="36"/>
      <c r="F21" s="178"/>
      <c r="G21" s="175"/>
    </row>
    <row r="22" spans="1:7" ht="14.25" thickBot="1" thickTop="1">
      <c r="A22" s="144" t="s">
        <v>174</v>
      </c>
      <c r="B22" s="183"/>
      <c r="C22" s="184"/>
      <c r="D22" s="184"/>
      <c r="E22" s="183"/>
      <c r="F22" s="189">
        <f>SUM(F5:F20)</f>
        <v>261.5</v>
      </c>
      <c r="G22" s="186">
        <f>+F22/365</f>
        <v>0.7164383561643836</v>
      </c>
    </row>
    <row r="23" spans="1:7" ht="14.25" thickBot="1" thickTop="1">
      <c r="A23" s="188"/>
      <c r="B23" s="184"/>
      <c r="C23" s="184"/>
      <c r="D23" s="184"/>
      <c r="E23" s="184"/>
      <c r="F23" s="189"/>
      <c r="G23" s="190" t="s">
        <v>5</v>
      </c>
    </row>
    <row r="24" spans="1:7" ht="14.25" thickBot="1" thickTop="1">
      <c r="A24" s="191" t="s">
        <v>175</v>
      </c>
      <c r="B24" s="52"/>
      <c r="C24" s="52"/>
      <c r="D24" s="52"/>
      <c r="E24" s="52"/>
      <c r="F24" s="192"/>
      <c r="G24" s="193"/>
    </row>
    <row r="25" spans="1:7" ht="13.5" thickTop="1">
      <c r="A25" s="194"/>
      <c r="B25" s="195"/>
      <c r="C25" s="195"/>
      <c r="D25" s="195"/>
      <c r="E25" s="195"/>
      <c r="F25" s="196"/>
      <c r="G25" s="197"/>
    </row>
    <row r="26" spans="1:7" ht="12.75">
      <c r="A26" s="161" t="s">
        <v>156</v>
      </c>
      <c r="B26" s="180">
        <v>0</v>
      </c>
      <c r="C26" s="172" t="s">
        <v>157</v>
      </c>
      <c r="D26" s="172" t="s">
        <v>158</v>
      </c>
      <c r="E26" s="180">
        <v>104</v>
      </c>
      <c r="F26" s="198">
        <f>E26*B26</f>
        <v>0</v>
      </c>
      <c r="G26" s="199">
        <f>F26/365</f>
        <v>0</v>
      </c>
    </row>
    <row r="27" spans="1:7" ht="12.75">
      <c r="A27" s="161"/>
      <c r="B27" s="151">
        <v>0</v>
      </c>
      <c r="C27" s="152" t="s">
        <v>176</v>
      </c>
      <c r="D27" s="152" t="s">
        <v>158</v>
      </c>
      <c r="E27" s="151">
        <v>520</v>
      </c>
      <c r="F27" s="198">
        <f>E27*B27</f>
        <v>0</v>
      </c>
      <c r="G27" s="199">
        <f>F27/365</f>
        <v>0</v>
      </c>
    </row>
    <row r="28" spans="1:7" ht="12.75">
      <c r="A28" s="200"/>
      <c r="B28" s="151"/>
      <c r="C28" s="152"/>
      <c r="D28" s="152"/>
      <c r="E28" s="151"/>
      <c r="F28" s="153"/>
      <c r="G28" s="154"/>
    </row>
    <row r="29" spans="1:7" ht="12.75">
      <c r="A29" s="150" t="s">
        <v>159</v>
      </c>
      <c r="B29" s="151">
        <v>0</v>
      </c>
      <c r="C29" s="152" t="s">
        <v>160</v>
      </c>
      <c r="D29" s="20" t="s">
        <v>161</v>
      </c>
      <c r="E29" s="151">
        <v>514</v>
      </c>
      <c r="F29" s="153">
        <f>E29*B29</f>
        <v>0</v>
      </c>
      <c r="G29" s="154">
        <f>F29/365</f>
        <v>0</v>
      </c>
    </row>
    <row r="30" spans="1:7" ht="12.75">
      <c r="A30" s="156"/>
      <c r="B30" s="157"/>
      <c r="C30" s="158"/>
      <c r="D30" s="158"/>
      <c r="E30" s="157"/>
      <c r="F30" s="159"/>
      <c r="G30" s="160"/>
    </row>
    <row r="31" spans="1:7" ht="28.5" customHeight="1">
      <c r="A31" s="161" t="s">
        <v>162</v>
      </c>
      <c r="B31" s="162">
        <f>SUM(H31:J31)</f>
        <v>0</v>
      </c>
      <c r="C31" s="20" t="s">
        <v>163</v>
      </c>
      <c r="D31" s="20" t="s">
        <v>161</v>
      </c>
      <c r="E31" s="162">
        <v>0</v>
      </c>
      <c r="F31" s="163">
        <f>+B31*E31</f>
        <v>0</v>
      </c>
      <c r="G31" s="164">
        <f>+F31/365</f>
        <v>0</v>
      </c>
    </row>
    <row r="32" spans="1:7" ht="39">
      <c r="A32" s="155"/>
      <c r="B32" s="162">
        <v>0</v>
      </c>
      <c r="C32" s="167" t="s">
        <v>164</v>
      </c>
      <c r="D32" s="168" t="s">
        <v>161</v>
      </c>
      <c r="E32" s="169">
        <v>23</v>
      </c>
      <c r="F32" s="170">
        <f>+B32*E32</f>
        <v>0</v>
      </c>
      <c r="G32" s="171">
        <f>+F32/365</f>
        <v>0</v>
      </c>
    </row>
    <row r="33" spans="1:10" ht="28.5" customHeight="1">
      <c r="A33" s="155"/>
      <c r="B33" s="162">
        <f>SUM(H33:J33)</f>
        <v>7</v>
      </c>
      <c r="C33" s="167" t="s">
        <v>177</v>
      </c>
      <c r="D33" s="168" t="s">
        <v>161</v>
      </c>
      <c r="E33" s="169">
        <v>72</v>
      </c>
      <c r="F33" s="198">
        <f>E33*B33</f>
        <v>504</v>
      </c>
      <c r="G33" s="199">
        <f>F33/365</f>
        <v>1.3808219178082193</v>
      </c>
      <c r="H33">
        <v>7</v>
      </c>
      <c r="I33">
        <v>0</v>
      </c>
      <c r="J33">
        <v>0</v>
      </c>
    </row>
    <row r="34" spans="1:7" ht="12.75">
      <c r="A34" s="155"/>
      <c r="B34" s="162">
        <f>SUM(H34:J34)</f>
        <v>0</v>
      </c>
      <c r="C34" s="20" t="s">
        <v>163</v>
      </c>
      <c r="D34" s="172" t="s">
        <v>158</v>
      </c>
      <c r="E34" s="162">
        <v>0</v>
      </c>
      <c r="F34" s="163">
        <f>+B34*E34</f>
        <v>0</v>
      </c>
      <c r="G34" s="164">
        <f>+F34/365</f>
        <v>0</v>
      </c>
    </row>
    <row r="35" spans="1:7" ht="28.5" customHeight="1">
      <c r="A35" s="155"/>
      <c r="B35" s="162">
        <f>SUM(H35:J35)</f>
        <v>0</v>
      </c>
      <c r="C35" s="167" t="s">
        <v>164</v>
      </c>
      <c r="D35" s="152" t="s">
        <v>158</v>
      </c>
      <c r="E35" s="169">
        <v>19</v>
      </c>
      <c r="F35" s="170">
        <f>+B35*E35</f>
        <v>0</v>
      </c>
      <c r="G35" s="171">
        <f>+F35/365</f>
        <v>0</v>
      </c>
    </row>
    <row r="36" spans="1:10" ht="12.75">
      <c r="A36" s="155"/>
      <c r="B36" s="162">
        <f>SUM(H36:J36)</f>
        <v>22</v>
      </c>
      <c r="C36" s="167" t="s">
        <v>177</v>
      </c>
      <c r="D36" s="152" t="s">
        <v>158</v>
      </c>
      <c r="E36" s="169">
        <v>57</v>
      </c>
      <c r="F36" s="198">
        <f>E36*B36</f>
        <v>1254</v>
      </c>
      <c r="G36" s="199">
        <f>F36/365</f>
        <v>3.4356164383561643</v>
      </c>
      <c r="H36">
        <v>7</v>
      </c>
      <c r="I36">
        <v>15</v>
      </c>
      <c r="J36">
        <v>0</v>
      </c>
    </row>
    <row r="37" spans="1:7" ht="12.75">
      <c r="A37" s="173"/>
      <c r="B37" s="162">
        <f>SUM(H37:J37)</f>
        <v>0</v>
      </c>
      <c r="C37" s="20" t="s">
        <v>163</v>
      </c>
      <c r="D37" s="20" t="s">
        <v>165</v>
      </c>
      <c r="E37" s="162">
        <v>0</v>
      </c>
      <c r="F37" s="163">
        <f>+B37*E37</f>
        <v>0</v>
      </c>
      <c r="G37" s="164">
        <f>+F37/365</f>
        <v>0</v>
      </c>
    </row>
    <row r="38" spans="1:7" ht="39">
      <c r="A38" s="173"/>
      <c r="B38" s="162">
        <v>0</v>
      </c>
      <c r="C38" s="201" t="s">
        <v>164</v>
      </c>
      <c r="D38" s="20" t="s">
        <v>165</v>
      </c>
      <c r="E38" s="162">
        <v>3</v>
      </c>
      <c r="F38" s="163">
        <f>+B38*E38</f>
        <v>0</v>
      </c>
      <c r="G38" s="164">
        <f>+F38/365</f>
        <v>0</v>
      </c>
    </row>
    <row r="39" spans="1:7" ht="12.75">
      <c r="A39" s="173"/>
      <c r="B39" s="21">
        <v>0</v>
      </c>
      <c r="C39" s="201" t="s">
        <v>177</v>
      </c>
      <c r="D39" s="20" t="s">
        <v>165</v>
      </c>
      <c r="E39" s="21">
        <v>4.4</v>
      </c>
      <c r="F39" s="198">
        <f>E39*B39</f>
        <v>0</v>
      </c>
      <c r="G39" s="199">
        <f>F39/365</f>
        <v>0</v>
      </c>
    </row>
    <row r="40" spans="1:7" ht="12.75">
      <c r="A40" s="173"/>
      <c r="B40" s="21"/>
      <c r="C40" s="27"/>
      <c r="D40" s="27"/>
      <c r="E40" s="21"/>
      <c r="F40" s="202"/>
      <c r="G40" s="175"/>
    </row>
    <row r="41" spans="1:7" ht="12.75">
      <c r="A41" s="150" t="s">
        <v>178</v>
      </c>
      <c r="B41" s="21">
        <v>0</v>
      </c>
      <c r="C41" s="152" t="s">
        <v>160</v>
      </c>
      <c r="D41" s="27" t="s">
        <v>166</v>
      </c>
      <c r="E41" s="21">
        <v>0</v>
      </c>
      <c r="F41" s="163">
        <f>+B41*E41</f>
        <v>0</v>
      </c>
      <c r="G41" s="164">
        <f>+F41/365</f>
        <v>0</v>
      </c>
    </row>
    <row r="42" spans="1:7" ht="12.75">
      <c r="A42" s="155"/>
      <c r="B42" s="21"/>
      <c r="C42" s="27"/>
      <c r="D42" s="27"/>
      <c r="E42" s="21"/>
      <c r="F42" s="163"/>
      <c r="G42" s="175"/>
    </row>
    <row r="43" spans="1:11" ht="12.75">
      <c r="A43" s="176" t="s">
        <v>167</v>
      </c>
      <c r="B43" s="162">
        <f>K43+H43</f>
        <v>28</v>
      </c>
      <c r="C43" s="27"/>
      <c r="D43" s="27"/>
      <c r="E43" s="21">
        <v>1.5</v>
      </c>
      <c r="F43" s="163">
        <f>+B43*E43</f>
        <v>42</v>
      </c>
      <c r="G43" s="164">
        <f>+F43/365</f>
        <v>0.11506849315068493</v>
      </c>
      <c r="H43">
        <f>(SUM(H31:H38)+SUM(J31:J38))*2</f>
        <v>28</v>
      </c>
      <c r="K43">
        <v>0</v>
      </c>
    </row>
    <row r="44" spans="1:7" ht="12.75">
      <c r="A44" s="177"/>
      <c r="B44" s="36"/>
      <c r="C44" s="35"/>
      <c r="D44" s="35"/>
      <c r="E44" s="36"/>
      <c r="F44" s="178"/>
      <c r="G44" s="175"/>
    </row>
    <row r="45" spans="1:7" ht="12.75">
      <c r="A45" s="150" t="s">
        <v>168</v>
      </c>
      <c r="B45" s="162">
        <v>0</v>
      </c>
      <c r="C45" s="172" t="s">
        <v>169</v>
      </c>
      <c r="D45" s="20" t="s">
        <v>166</v>
      </c>
      <c r="E45" s="162">
        <v>80</v>
      </c>
      <c r="F45" s="163">
        <f>+B45*E45</f>
        <v>0</v>
      </c>
      <c r="G45" s="164">
        <f>+F45/365</f>
        <v>0</v>
      </c>
    </row>
    <row r="46" spans="1:7" ht="13.5" thickBot="1">
      <c r="A46" s="155"/>
      <c r="B46" s="36"/>
      <c r="C46" s="35"/>
      <c r="D46" s="35"/>
      <c r="E46" s="36"/>
      <c r="F46" s="178"/>
      <c r="G46" s="175"/>
    </row>
    <row r="47" spans="1:7" ht="14.25" thickBot="1" thickTop="1">
      <c r="A47" s="144" t="s">
        <v>179</v>
      </c>
      <c r="B47" s="183"/>
      <c r="C47" s="184"/>
      <c r="D47" s="184"/>
      <c r="E47" s="183"/>
      <c r="F47" s="189">
        <f>SUM(F26:F45)</f>
        <v>1800</v>
      </c>
      <c r="G47" s="186">
        <f>+F47/365</f>
        <v>4.931506849315069</v>
      </c>
    </row>
    <row r="48" spans="1:7" ht="14.25" thickBot="1" thickTop="1">
      <c r="A48" s="203"/>
      <c r="B48" s="96"/>
      <c r="C48" s="52"/>
      <c r="D48" s="52"/>
      <c r="E48" s="96"/>
      <c r="F48" s="52"/>
      <c r="G48" s="204"/>
    </row>
    <row r="49" spans="1:7" ht="14.25" thickBot="1" thickTop="1">
      <c r="A49" s="144" t="s">
        <v>180</v>
      </c>
      <c r="B49" s="205"/>
      <c r="C49" s="145"/>
      <c r="D49" s="145"/>
      <c r="E49" s="205"/>
      <c r="F49" s="145"/>
      <c r="G49" s="206">
        <f>G22-G47</f>
        <v>-4.215068493150685</v>
      </c>
    </row>
    <row r="50" spans="1:7" ht="13.5" thickTop="1">
      <c r="A50" s="188"/>
      <c r="B50" s="96"/>
      <c r="C50" s="52"/>
      <c r="D50" s="52"/>
      <c r="E50" s="96"/>
      <c r="F50" s="52"/>
      <c r="G50" s="207"/>
    </row>
    <row r="51" spans="2:7" ht="12.75">
      <c r="B51" s="52"/>
      <c r="C51" s="52"/>
      <c r="D51" s="52"/>
      <c r="E51" s="52"/>
      <c r="F51" s="52"/>
      <c r="G51" s="207"/>
    </row>
  </sheetData>
  <sheetProtection/>
  <printOptions horizontalCentered="1"/>
  <pageMargins left="0.75" right="0.75" top="1.5" bottom="0.75" header="0.5" footer="0.5"/>
  <pageSetup fitToHeight="1" fitToWidth="1" horizontalDpi="300" verticalDpi="300" orientation="portrait" scale="78" r:id="rId1"/>
  <headerFooter alignWithMargins="0">
    <oddHeader>&amp;L
&amp;C&amp;"Arial,Bold"&amp;12Tosco Refining Company&amp;"Arial,Regular"
&amp;"Arial,Bold"CARB Phase 3 Project
CLEF Section FCC Unit 152
Fugitive ROG Emission Estimates &amp;R
</oddHeader>
    <oddFooter>&amp;L&amp;F&amp;R9/8/00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pane xSplit="4" ySplit="1" topLeftCell="E19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25" sqref="A25"/>
    </sheetView>
  </sheetViews>
  <sheetFormatPr defaultColWidth="9.140625" defaultRowHeight="12.75"/>
  <cols>
    <col min="1" max="1" width="17.28125" style="0" customWidth="1"/>
    <col min="3" max="3" width="22.7109375" style="0" customWidth="1"/>
    <col min="4" max="4" width="12.7109375" style="0" customWidth="1"/>
    <col min="5" max="5" width="13.00390625" style="0" customWidth="1"/>
    <col min="8" max="12" width="0" style="0" hidden="1" customWidth="1"/>
  </cols>
  <sheetData>
    <row r="1" spans="1:12" ht="14.25" thickBot="1" thickTop="1">
      <c r="A1" s="140" t="s">
        <v>1</v>
      </c>
      <c r="B1" s="141" t="s">
        <v>149</v>
      </c>
      <c r="C1" s="141" t="s">
        <v>150</v>
      </c>
      <c r="D1" s="141" t="s">
        <v>151</v>
      </c>
      <c r="E1" s="141" t="s">
        <v>152</v>
      </c>
      <c r="F1" s="141" t="s">
        <v>153</v>
      </c>
      <c r="G1" s="142" t="s">
        <v>154</v>
      </c>
      <c r="H1" s="88" t="s">
        <v>181</v>
      </c>
      <c r="I1" s="88" t="s">
        <v>185</v>
      </c>
      <c r="J1" s="88" t="s">
        <v>186</v>
      </c>
      <c r="K1" s="88" t="s">
        <v>183</v>
      </c>
      <c r="L1" s="88" t="s">
        <v>184</v>
      </c>
    </row>
    <row r="2" spans="1:7" ht="14.25" thickBot="1" thickTop="1">
      <c r="A2" s="143"/>
      <c r="B2" s="141"/>
      <c r="C2" s="141"/>
      <c r="D2" s="141"/>
      <c r="E2" s="141"/>
      <c r="F2" s="141"/>
      <c r="G2" s="142"/>
    </row>
    <row r="3" spans="1:7" ht="14.25" thickBot="1" thickTop="1">
      <c r="A3" s="144" t="s">
        <v>155</v>
      </c>
      <c r="B3" s="145"/>
      <c r="C3" s="145"/>
      <c r="D3" s="145"/>
      <c r="E3" s="145"/>
      <c r="F3" s="145"/>
      <c r="G3" s="146"/>
    </row>
    <row r="4" spans="1:7" ht="13.5" thickTop="1">
      <c r="A4" s="147"/>
      <c r="B4" s="148"/>
      <c r="C4" s="148"/>
      <c r="D4" s="148"/>
      <c r="E4" s="148"/>
      <c r="F4" s="148"/>
      <c r="G4" s="149"/>
    </row>
    <row r="5" spans="1:7" ht="12.75">
      <c r="A5" s="150" t="s">
        <v>156</v>
      </c>
      <c r="B5" s="151">
        <v>0</v>
      </c>
      <c r="C5" s="152" t="s">
        <v>157</v>
      </c>
      <c r="D5" s="152" t="s">
        <v>158</v>
      </c>
      <c r="E5" s="151">
        <v>104</v>
      </c>
      <c r="F5" s="153">
        <f>E5*B5</f>
        <v>0</v>
      </c>
      <c r="G5" s="154">
        <f>F5/365</f>
        <v>0</v>
      </c>
    </row>
    <row r="6" spans="1:7" ht="12.75">
      <c r="A6" s="155"/>
      <c r="B6" s="151"/>
      <c r="C6" s="152"/>
      <c r="D6" s="152"/>
      <c r="E6" s="151"/>
      <c r="F6" s="153"/>
      <c r="G6" s="154"/>
    </row>
    <row r="7" spans="1:7" ht="12.75">
      <c r="A7" s="150" t="s">
        <v>159</v>
      </c>
      <c r="B7" s="151">
        <v>0</v>
      </c>
      <c r="C7" s="152" t="s">
        <v>160</v>
      </c>
      <c r="D7" s="20" t="s">
        <v>161</v>
      </c>
      <c r="E7" s="151">
        <v>514</v>
      </c>
      <c r="F7" s="153">
        <f>E7*B7</f>
        <v>0</v>
      </c>
      <c r="G7" s="154">
        <f>F7/365</f>
        <v>0</v>
      </c>
    </row>
    <row r="8" spans="1:7" ht="12.75">
      <c r="A8" s="156"/>
      <c r="B8" s="157"/>
      <c r="C8" s="158"/>
      <c r="D8" s="158"/>
      <c r="E8" s="157"/>
      <c r="F8" s="159"/>
      <c r="G8" s="160"/>
    </row>
    <row r="9" spans="1:12" ht="12.75">
      <c r="A9" s="161" t="s">
        <v>162</v>
      </c>
      <c r="B9" s="162">
        <f>CEILING(SUM(H9:K9)*(1+$L$9),1)</f>
        <v>5</v>
      </c>
      <c r="C9" s="20" t="s">
        <v>163</v>
      </c>
      <c r="D9" s="20" t="s">
        <v>161</v>
      </c>
      <c r="E9" s="162">
        <v>0</v>
      </c>
      <c r="F9" s="163">
        <f aca="true" t="shared" si="0" ref="F9:F14">+B9*E9</f>
        <v>0</v>
      </c>
      <c r="G9" s="164">
        <f aca="true" t="shared" si="1" ref="G9:G14">+F9/365</f>
        <v>0</v>
      </c>
      <c r="I9">
        <v>4</v>
      </c>
      <c r="K9" s="165"/>
      <c r="L9">
        <v>0.15</v>
      </c>
    </row>
    <row r="10" spans="1:10" ht="27" customHeight="1">
      <c r="A10" s="166"/>
      <c r="B10" s="162">
        <f>CEILING(SUM(H10:K10)*(1+$L$9),1)</f>
        <v>42</v>
      </c>
      <c r="C10" s="167" t="s">
        <v>164</v>
      </c>
      <c r="D10" s="168" t="s">
        <v>161</v>
      </c>
      <c r="E10" s="169">
        <v>23</v>
      </c>
      <c r="F10" s="170">
        <f t="shared" si="0"/>
        <v>966</v>
      </c>
      <c r="G10" s="171">
        <f t="shared" si="1"/>
        <v>2.6465753424657534</v>
      </c>
      <c r="H10">
        <v>10</v>
      </c>
      <c r="I10">
        <v>26</v>
      </c>
      <c r="J10">
        <v>0</v>
      </c>
    </row>
    <row r="11" spans="1:10" ht="12.75">
      <c r="A11" s="155"/>
      <c r="B11" s="162">
        <f>CEILING(SUM(H11:K11)*(1+$L$9),1)</f>
        <v>9</v>
      </c>
      <c r="C11" s="20" t="s">
        <v>163</v>
      </c>
      <c r="D11" s="172" t="s">
        <v>158</v>
      </c>
      <c r="E11" s="162">
        <v>0</v>
      </c>
      <c r="F11" s="163">
        <f t="shared" si="0"/>
        <v>0</v>
      </c>
      <c r="G11" s="164">
        <f t="shared" si="1"/>
        <v>0</v>
      </c>
      <c r="H11">
        <v>0</v>
      </c>
      <c r="I11">
        <v>6</v>
      </c>
      <c r="J11">
        <v>1</v>
      </c>
    </row>
    <row r="12" spans="1:10" ht="28.5" customHeight="1">
      <c r="A12" s="173" t="s">
        <v>5</v>
      </c>
      <c r="B12" s="162">
        <f>CEILING(SUM(H12:K12)*(1+$L$9),1)</f>
        <v>0</v>
      </c>
      <c r="C12" s="167" t="s">
        <v>164</v>
      </c>
      <c r="D12" s="152" t="s">
        <v>158</v>
      </c>
      <c r="E12" s="162">
        <v>19</v>
      </c>
      <c r="F12" s="163">
        <f t="shared" si="0"/>
        <v>0</v>
      </c>
      <c r="G12" s="164">
        <f t="shared" si="1"/>
        <v>0</v>
      </c>
      <c r="H12">
        <v>0</v>
      </c>
      <c r="I12">
        <v>0</v>
      </c>
      <c r="J12">
        <v>0</v>
      </c>
    </row>
    <row r="13" spans="1:7" ht="12.75">
      <c r="A13" s="173"/>
      <c r="B13" s="162">
        <v>0</v>
      </c>
      <c r="C13" s="20" t="s">
        <v>163</v>
      </c>
      <c r="D13" s="20" t="s">
        <v>165</v>
      </c>
      <c r="E13" s="162">
        <v>0</v>
      </c>
      <c r="F13" s="163">
        <f t="shared" si="0"/>
        <v>0</v>
      </c>
      <c r="G13" s="164">
        <f t="shared" si="1"/>
        <v>0</v>
      </c>
    </row>
    <row r="14" spans="1:9" ht="28.5" customHeight="1">
      <c r="A14" s="173"/>
      <c r="B14" s="162">
        <f>CEILING(SUM(H14:K14)*(1+$L$9),1)</f>
        <v>0</v>
      </c>
      <c r="C14" s="167" t="s">
        <v>164</v>
      </c>
      <c r="D14" s="168" t="s">
        <v>165</v>
      </c>
      <c r="E14" s="169">
        <v>3</v>
      </c>
      <c r="F14" s="170">
        <f t="shared" si="0"/>
        <v>0</v>
      </c>
      <c r="G14" s="171">
        <f t="shared" si="1"/>
        <v>0</v>
      </c>
      <c r="I14">
        <v>0</v>
      </c>
    </row>
    <row r="15" spans="1:7" ht="12.75">
      <c r="A15" s="174"/>
      <c r="B15" s="162"/>
      <c r="C15" s="20"/>
      <c r="D15" s="20"/>
      <c r="E15" s="162"/>
      <c r="F15" s="163"/>
      <c r="G15" s="164"/>
    </row>
    <row r="16" spans="1:7" ht="12.75">
      <c r="A16" s="150" t="s">
        <v>187</v>
      </c>
      <c r="B16" s="21">
        <v>0</v>
      </c>
      <c r="C16" s="152" t="s">
        <v>160</v>
      </c>
      <c r="D16" s="27" t="s">
        <v>166</v>
      </c>
      <c r="E16" s="21">
        <v>0</v>
      </c>
      <c r="F16" s="163">
        <f>+B16*E16</f>
        <v>0</v>
      </c>
      <c r="G16" s="164">
        <f>+F16/365</f>
        <v>0</v>
      </c>
    </row>
    <row r="17" spans="1:7" ht="12.75">
      <c r="A17" s="155"/>
      <c r="B17" s="21"/>
      <c r="C17" s="27"/>
      <c r="D17" s="27"/>
      <c r="E17" s="21"/>
      <c r="F17" s="163"/>
      <c r="G17" s="175"/>
    </row>
    <row r="18" spans="1:12" ht="12.75">
      <c r="A18" s="176" t="s">
        <v>167</v>
      </c>
      <c r="B18" s="162">
        <f>CEILING(((K18)*(1+$L$18)+H18),1)</f>
        <v>59</v>
      </c>
      <c r="C18" s="27"/>
      <c r="D18" s="27"/>
      <c r="E18" s="21">
        <v>1.5</v>
      </c>
      <c r="F18" s="163">
        <f>+B18*E18</f>
        <v>88.5</v>
      </c>
      <c r="G18" s="164">
        <f>+F18/365</f>
        <v>0.24246575342465754</v>
      </c>
      <c r="H18">
        <f>(SUM(H9:H14)+SUM(J9:J14))*(1+L9)*2</f>
        <v>25.299999999999997</v>
      </c>
      <c r="K18">
        <v>28</v>
      </c>
      <c r="L18">
        <v>0.2</v>
      </c>
    </row>
    <row r="19" spans="1:7" ht="12.75">
      <c r="A19" s="177"/>
      <c r="B19" s="36"/>
      <c r="C19" s="35"/>
      <c r="D19" s="35"/>
      <c r="E19" s="36"/>
      <c r="F19" s="178"/>
      <c r="G19" s="179"/>
    </row>
    <row r="20" spans="1:7" ht="12.75">
      <c r="A20" s="150" t="s">
        <v>168</v>
      </c>
      <c r="B20" s="162">
        <v>0</v>
      </c>
      <c r="C20" s="172" t="s">
        <v>169</v>
      </c>
      <c r="D20" s="20" t="s">
        <v>166</v>
      </c>
      <c r="E20" s="162">
        <v>80</v>
      </c>
      <c r="F20" s="163">
        <f>+B20*E20</f>
        <v>0</v>
      </c>
      <c r="G20" s="164">
        <f>+F20/365</f>
        <v>0</v>
      </c>
    </row>
    <row r="21" spans="1:7" ht="13.5" thickBot="1">
      <c r="A21" s="155"/>
      <c r="B21" s="36"/>
      <c r="C21" s="35"/>
      <c r="D21" s="35"/>
      <c r="E21" s="36"/>
      <c r="F21" s="178"/>
      <c r="G21" s="175"/>
    </row>
    <row r="22" spans="1:7" ht="14.25" thickBot="1" thickTop="1">
      <c r="A22" s="144" t="s">
        <v>174</v>
      </c>
      <c r="B22" s="183"/>
      <c r="C22" s="184"/>
      <c r="D22" s="184"/>
      <c r="E22" s="183"/>
      <c r="F22" s="189">
        <f>SUM(F5:F20)</f>
        <v>1054.5</v>
      </c>
      <c r="G22" s="186">
        <f>+F22/365</f>
        <v>2.889041095890411</v>
      </c>
    </row>
    <row r="23" spans="1:7" ht="14.25" thickBot="1" thickTop="1">
      <c r="A23" s="188"/>
      <c r="B23" s="184"/>
      <c r="C23" s="184"/>
      <c r="D23" s="184"/>
      <c r="E23" s="184"/>
      <c r="F23" s="189"/>
      <c r="G23" s="190" t="s">
        <v>5</v>
      </c>
    </row>
    <row r="24" spans="1:7" ht="14.25" thickBot="1" thickTop="1">
      <c r="A24" s="191" t="s">
        <v>175</v>
      </c>
      <c r="B24" s="52"/>
      <c r="C24" s="52"/>
      <c r="D24" s="52"/>
      <c r="E24" s="52"/>
      <c r="F24" s="192"/>
      <c r="G24" s="193"/>
    </row>
    <row r="25" spans="1:7" ht="13.5" thickTop="1">
      <c r="A25" s="194"/>
      <c r="B25" s="195"/>
      <c r="C25" s="195"/>
      <c r="D25" s="195"/>
      <c r="E25" s="195"/>
      <c r="F25" s="196"/>
      <c r="G25" s="197"/>
    </row>
    <row r="26" spans="1:7" ht="12.75">
      <c r="A26" s="161" t="s">
        <v>156</v>
      </c>
      <c r="B26" s="180">
        <v>0</v>
      </c>
      <c r="C26" s="172" t="s">
        <v>157</v>
      </c>
      <c r="D26" s="172" t="s">
        <v>158</v>
      </c>
      <c r="E26" s="180">
        <v>104</v>
      </c>
      <c r="F26" s="198">
        <f>E26*B26</f>
        <v>0</v>
      </c>
      <c r="G26" s="199">
        <f>F26/365</f>
        <v>0</v>
      </c>
    </row>
    <row r="27" spans="1:7" ht="12.75">
      <c r="A27" s="161"/>
      <c r="B27" s="151">
        <v>0</v>
      </c>
      <c r="C27" s="152" t="s">
        <v>176</v>
      </c>
      <c r="D27" s="152" t="s">
        <v>158</v>
      </c>
      <c r="E27" s="151">
        <v>520</v>
      </c>
      <c r="F27" s="198">
        <f>E27*B27</f>
        <v>0</v>
      </c>
      <c r="G27" s="199">
        <f>F27/365</f>
        <v>0</v>
      </c>
    </row>
    <row r="28" spans="1:7" ht="12.75">
      <c r="A28" s="200"/>
      <c r="B28" s="151"/>
      <c r="C28" s="152"/>
      <c r="D28" s="152"/>
      <c r="E28" s="151"/>
      <c r="F28" s="153"/>
      <c r="G28" s="154"/>
    </row>
    <row r="29" spans="1:7" ht="12.75">
      <c r="A29" s="150" t="s">
        <v>159</v>
      </c>
      <c r="B29" s="151">
        <v>0</v>
      </c>
      <c r="C29" s="152" t="s">
        <v>160</v>
      </c>
      <c r="D29" s="20" t="s">
        <v>161</v>
      </c>
      <c r="E29" s="151">
        <v>514</v>
      </c>
      <c r="F29" s="153">
        <f>E29*B29</f>
        <v>0</v>
      </c>
      <c r="G29" s="154">
        <f>F29/365</f>
        <v>0</v>
      </c>
    </row>
    <row r="30" spans="1:7" ht="12.75">
      <c r="A30" s="156"/>
      <c r="B30" s="157"/>
      <c r="C30" s="158"/>
      <c r="D30" s="158"/>
      <c r="E30" s="157"/>
      <c r="F30" s="159"/>
      <c r="G30" s="160"/>
    </row>
    <row r="31" spans="1:7" ht="28.5" customHeight="1">
      <c r="A31" s="161" t="s">
        <v>162</v>
      </c>
      <c r="B31" s="162">
        <f>SUM(H31:J31)</f>
        <v>0</v>
      </c>
      <c r="C31" s="20" t="s">
        <v>163</v>
      </c>
      <c r="D31" s="20" t="s">
        <v>161</v>
      </c>
      <c r="E31" s="162">
        <v>0</v>
      </c>
      <c r="F31" s="163">
        <f>+B31*E31</f>
        <v>0</v>
      </c>
      <c r="G31" s="164">
        <f>+F31/365</f>
        <v>0</v>
      </c>
    </row>
    <row r="32" spans="1:7" ht="39">
      <c r="A32" s="155"/>
      <c r="B32" s="162">
        <v>0</v>
      </c>
      <c r="C32" s="167" t="s">
        <v>164</v>
      </c>
      <c r="D32" s="168" t="s">
        <v>161</v>
      </c>
      <c r="E32" s="169">
        <v>23</v>
      </c>
      <c r="F32" s="170">
        <f>+B32*E32</f>
        <v>0</v>
      </c>
      <c r="G32" s="171">
        <f>+F32/365</f>
        <v>0</v>
      </c>
    </row>
    <row r="33" spans="1:10" ht="28.5" customHeight="1">
      <c r="A33" s="155"/>
      <c r="B33" s="162">
        <f>SUM(H33:J33)</f>
        <v>3</v>
      </c>
      <c r="C33" s="167" t="s">
        <v>177</v>
      </c>
      <c r="D33" s="168" t="s">
        <v>161</v>
      </c>
      <c r="E33" s="169">
        <v>72</v>
      </c>
      <c r="F33" s="198">
        <f>E33*B33</f>
        <v>216</v>
      </c>
      <c r="G33" s="199">
        <f>F33/365</f>
        <v>0.5917808219178082</v>
      </c>
      <c r="H33">
        <v>3</v>
      </c>
      <c r="I33">
        <v>0</v>
      </c>
      <c r="J33">
        <v>0</v>
      </c>
    </row>
    <row r="34" spans="1:7" ht="12.75">
      <c r="A34" s="155"/>
      <c r="B34" s="162">
        <f>SUM(H34:J34)</f>
        <v>0</v>
      </c>
      <c r="C34" s="20" t="s">
        <v>163</v>
      </c>
      <c r="D34" s="172" t="s">
        <v>158</v>
      </c>
      <c r="E34" s="162">
        <v>0</v>
      </c>
      <c r="F34" s="163">
        <f>+B34*E34</f>
        <v>0</v>
      </c>
      <c r="G34" s="164">
        <f>+F34/365</f>
        <v>0</v>
      </c>
    </row>
    <row r="35" spans="1:7" ht="28.5" customHeight="1">
      <c r="A35" s="155"/>
      <c r="B35" s="162">
        <f>SUM(H35:J35)</f>
        <v>0</v>
      </c>
      <c r="C35" s="167" t="s">
        <v>164</v>
      </c>
      <c r="D35" s="152" t="s">
        <v>158</v>
      </c>
      <c r="E35" s="169">
        <v>19</v>
      </c>
      <c r="F35" s="170">
        <f>+B35*E35</f>
        <v>0</v>
      </c>
      <c r="G35" s="171">
        <f>+F35/365</f>
        <v>0</v>
      </c>
    </row>
    <row r="36" spans="1:10" ht="12.75">
      <c r="A36" s="155"/>
      <c r="B36" s="162">
        <f>SUM(H36:J36)</f>
        <v>2</v>
      </c>
      <c r="C36" s="167" t="s">
        <v>177</v>
      </c>
      <c r="D36" s="152" t="s">
        <v>158</v>
      </c>
      <c r="E36" s="169">
        <v>57</v>
      </c>
      <c r="F36" s="198">
        <f>E36*B36</f>
        <v>114</v>
      </c>
      <c r="G36" s="199">
        <f>F36/365</f>
        <v>0.31232876712328766</v>
      </c>
      <c r="H36">
        <v>0</v>
      </c>
      <c r="I36">
        <v>2</v>
      </c>
      <c r="J36">
        <v>0</v>
      </c>
    </row>
    <row r="37" spans="1:7" ht="12.75">
      <c r="A37" s="173"/>
      <c r="B37" s="162">
        <f>SUM(H37:J37)</f>
        <v>0</v>
      </c>
      <c r="C37" s="20" t="s">
        <v>163</v>
      </c>
      <c r="D37" s="20" t="s">
        <v>165</v>
      </c>
      <c r="E37" s="162">
        <v>0</v>
      </c>
      <c r="F37" s="163">
        <f>+B37*E37</f>
        <v>0</v>
      </c>
      <c r="G37" s="164">
        <f>+F37/365</f>
        <v>0</v>
      </c>
    </row>
    <row r="38" spans="1:7" ht="39">
      <c r="A38" s="173"/>
      <c r="B38" s="162">
        <v>0</v>
      </c>
      <c r="C38" s="201" t="s">
        <v>164</v>
      </c>
      <c r="D38" s="20" t="s">
        <v>165</v>
      </c>
      <c r="E38" s="162">
        <v>3</v>
      </c>
      <c r="F38" s="163">
        <f>+B38*E38</f>
        <v>0</v>
      </c>
      <c r="G38" s="164">
        <f>+F38/365</f>
        <v>0</v>
      </c>
    </row>
    <row r="39" spans="1:7" ht="12.75">
      <c r="A39" s="173"/>
      <c r="B39" s="21">
        <v>0</v>
      </c>
      <c r="C39" s="201" t="s">
        <v>177</v>
      </c>
      <c r="D39" s="20" t="s">
        <v>165</v>
      </c>
      <c r="E39" s="21">
        <v>4.4</v>
      </c>
      <c r="F39" s="198">
        <f>E39*B39</f>
        <v>0</v>
      </c>
      <c r="G39" s="199">
        <f>F39/365</f>
        <v>0</v>
      </c>
    </row>
    <row r="40" spans="1:7" ht="12.75">
      <c r="A40" s="173"/>
      <c r="B40" s="21"/>
      <c r="C40" s="27"/>
      <c r="D40" s="27"/>
      <c r="E40" s="21"/>
      <c r="F40" s="202"/>
      <c r="G40" s="175"/>
    </row>
    <row r="41" spans="1:7" ht="12.75">
      <c r="A41" s="150" t="s">
        <v>178</v>
      </c>
      <c r="B41" s="21">
        <v>0</v>
      </c>
      <c r="C41" s="152" t="s">
        <v>160</v>
      </c>
      <c r="D41" s="27" t="s">
        <v>166</v>
      </c>
      <c r="E41" s="21">
        <v>0</v>
      </c>
      <c r="F41" s="163">
        <f>+B41*E41</f>
        <v>0</v>
      </c>
      <c r="G41" s="164">
        <f>+F41/365</f>
        <v>0</v>
      </c>
    </row>
    <row r="42" spans="1:7" ht="12.75">
      <c r="A42" s="155"/>
      <c r="B42" s="21"/>
      <c r="C42" s="27"/>
      <c r="D42" s="27"/>
      <c r="E42" s="21"/>
      <c r="F42" s="163"/>
      <c r="G42" s="175"/>
    </row>
    <row r="43" spans="1:11" ht="12.75">
      <c r="A43" s="176" t="s">
        <v>167</v>
      </c>
      <c r="B43" s="162">
        <f>K43+H43</f>
        <v>12</v>
      </c>
      <c r="C43" s="27"/>
      <c r="D43" s="27"/>
      <c r="E43" s="21">
        <v>1.5</v>
      </c>
      <c r="F43" s="163">
        <f>+B43*E43</f>
        <v>18</v>
      </c>
      <c r="G43" s="164">
        <f>+F43/365</f>
        <v>0.049315068493150684</v>
      </c>
      <c r="H43">
        <f>(SUM(H31:H38)+SUM(J31:J38))*2</f>
        <v>6</v>
      </c>
      <c r="K43">
        <v>6</v>
      </c>
    </row>
    <row r="44" spans="1:7" ht="12.75">
      <c r="A44" s="177"/>
      <c r="B44" s="36"/>
      <c r="C44" s="35"/>
      <c r="D44" s="35"/>
      <c r="E44" s="36"/>
      <c r="F44" s="178"/>
      <c r="G44" s="175"/>
    </row>
    <row r="45" spans="1:7" ht="12.75">
      <c r="A45" s="150" t="s">
        <v>168</v>
      </c>
      <c r="B45" s="162">
        <v>0</v>
      </c>
      <c r="C45" s="172" t="s">
        <v>169</v>
      </c>
      <c r="D45" s="20" t="s">
        <v>166</v>
      </c>
      <c r="E45" s="162">
        <v>80</v>
      </c>
      <c r="F45" s="163">
        <f>+B45*E45</f>
        <v>0</v>
      </c>
      <c r="G45" s="164">
        <f>+F45/365</f>
        <v>0</v>
      </c>
    </row>
    <row r="46" spans="1:7" ht="13.5" thickBot="1">
      <c r="A46" s="155"/>
      <c r="B46" s="36"/>
      <c r="C46" s="35"/>
      <c r="D46" s="35"/>
      <c r="E46" s="36"/>
      <c r="F46" s="178"/>
      <c r="G46" s="175"/>
    </row>
    <row r="47" spans="1:7" ht="14.25" thickBot="1" thickTop="1">
      <c r="A47" s="144" t="s">
        <v>179</v>
      </c>
      <c r="B47" s="183"/>
      <c r="C47" s="184"/>
      <c r="D47" s="184"/>
      <c r="E47" s="183"/>
      <c r="F47" s="189">
        <f>SUM(F26:F45)</f>
        <v>348</v>
      </c>
      <c r="G47" s="186">
        <f>+F47/365</f>
        <v>0.9534246575342465</v>
      </c>
    </row>
    <row r="48" spans="1:7" ht="14.25" thickBot="1" thickTop="1">
      <c r="A48" s="203"/>
      <c r="B48" s="96"/>
      <c r="C48" s="52"/>
      <c r="D48" s="52"/>
      <c r="E48" s="96"/>
      <c r="F48" s="52"/>
      <c r="G48" s="204"/>
    </row>
    <row r="49" spans="1:7" ht="14.25" thickBot="1" thickTop="1">
      <c r="A49" s="144" t="s">
        <v>180</v>
      </c>
      <c r="B49" s="205"/>
      <c r="C49" s="145"/>
      <c r="D49" s="145"/>
      <c r="E49" s="205"/>
      <c r="F49" s="145"/>
      <c r="G49" s="206">
        <f>G22-G47</f>
        <v>1.9356164383561643</v>
      </c>
    </row>
    <row r="50" spans="1:7" ht="13.5" thickTop="1">
      <c r="A50" s="188"/>
      <c r="B50" s="96"/>
      <c r="C50" s="52"/>
      <c r="D50" s="52"/>
      <c r="E50" s="96"/>
      <c r="F50" s="52"/>
      <c r="G50" s="207"/>
    </row>
    <row r="51" spans="2:7" ht="12.75">
      <c r="B51" s="52"/>
      <c r="C51" s="52"/>
      <c r="D51" s="52"/>
      <c r="E51" s="52"/>
      <c r="F51" s="52"/>
      <c r="G51" s="207"/>
    </row>
  </sheetData>
  <sheetProtection/>
  <printOptions horizontalCentered="1"/>
  <pageMargins left="0.75" right="0.75" top="1.5" bottom="0.75" header="0.5" footer="0.5"/>
  <pageSetup fitToHeight="1" fitToWidth="1" horizontalDpi="300" verticalDpi="300" orientation="portrait" scale="78" r:id="rId1"/>
  <headerFooter alignWithMargins="0">
    <oddHeader>&amp;L
&amp;C&amp;"Arial,Bold"&amp;12Tosco Refining Company&amp;"Arial,Regular"
&amp;"Arial,Bold"CARB Phase 3 Project
Acid Plant Unit 141
Fugitive ROG Emission Estimate &amp;R
</oddHeader>
    <oddFooter>&amp;L&amp;F&amp;R9/8/00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pane xSplit="4" ySplit="1" topLeftCell="E38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25" sqref="A25"/>
    </sheetView>
  </sheetViews>
  <sheetFormatPr defaultColWidth="9.140625" defaultRowHeight="12.75"/>
  <cols>
    <col min="1" max="1" width="17.28125" style="0" customWidth="1"/>
    <col min="3" max="3" width="22.7109375" style="0" customWidth="1"/>
    <col min="4" max="4" width="12.7109375" style="0" customWidth="1"/>
    <col min="5" max="5" width="13.00390625" style="0" customWidth="1"/>
    <col min="8" max="11" width="9.140625" style="0" hidden="1" customWidth="1"/>
  </cols>
  <sheetData>
    <row r="1" spans="1:11" ht="14.25" thickBot="1" thickTop="1">
      <c r="A1" s="140" t="s">
        <v>1</v>
      </c>
      <c r="B1" s="141" t="s">
        <v>149</v>
      </c>
      <c r="C1" s="141" t="s">
        <v>150</v>
      </c>
      <c r="D1" s="141" t="s">
        <v>151</v>
      </c>
      <c r="E1" s="141" t="s">
        <v>152</v>
      </c>
      <c r="F1" s="141" t="s">
        <v>153</v>
      </c>
      <c r="G1" s="142" t="s">
        <v>154</v>
      </c>
      <c r="H1" s="88" t="s">
        <v>181</v>
      </c>
      <c r="I1" s="88" t="s">
        <v>182</v>
      </c>
      <c r="J1" s="88" t="s">
        <v>183</v>
      </c>
      <c r="K1" s="88" t="s">
        <v>184</v>
      </c>
    </row>
    <row r="2" spans="1:7" ht="14.25" thickBot="1" thickTop="1">
      <c r="A2" s="143"/>
      <c r="B2" s="141"/>
      <c r="C2" s="141"/>
      <c r="D2" s="141"/>
      <c r="E2" s="141"/>
      <c r="F2" s="141"/>
      <c r="G2" s="142"/>
    </row>
    <row r="3" spans="1:7" ht="14.25" thickBot="1" thickTop="1">
      <c r="A3" s="144" t="s">
        <v>155</v>
      </c>
      <c r="B3" s="145"/>
      <c r="C3" s="145"/>
      <c r="D3" s="145"/>
      <c r="E3" s="145"/>
      <c r="F3" s="145"/>
      <c r="G3" s="146"/>
    </row>
    <row r="4" spans="1:7" ht="13.5" thickTop="1">
      <c r="A4" s="147"/>
      <c r="B4" s="148"/>
      <c r="C4" s="148"/>
      <c r="D4" s="148"/>
      <c r="E4" s="148"/>
      <c r="F4" s="148"/>
      <c r="G4" s="149"/>
    </row>
    <row r="5" spans="1:7" ht="12.75">
      <c r="A5" s="150" t="s">
        <v>156</v>
      </c>
      <c r="B5" s="151">
        <v>0</v>
      </c>
      <c r="C5" s="152" t="s">
        <v>157</v>
      </c>
      <c r="D5" s="152" t="s">
        <v>158</v>
      </c>
      <c r="E5" s="151">
        <v>104</v>
      </c>
      <c r="F5" s="153">
        <f>E5*B5</f>
        <v>0</v>
      </c>
      <c r="G5" s="154">
        <f>F5/365</f>
        <v>0</v>
      </c>
    </row>
    <row r="6" spans="1:7" ht="12.75">
      <c r="A6" s="155"/>
      <c r="B6" s="151"/>
      <c r="C6" s="152"/>
      <c r="D6" s="152"/>
      <c r="E6" s="151"/>
      <c r="F6" s="153"/>
      <c r="G6" s="154"/>
    </row>
    <row r="7" spans="1:7" ht="12.75">
      <c r="A7" s="150" t="s">
        <v>159</v>
      </c>
      <c r="B7" s="151">
        <v>0</v>
      </c>
      <c r="C7" s="152" t="s">
        <v>160</v>
      </c>
      <c r="D7" s="20" t="s">
        <v>161</v>
      </c>
      <c r="E7" s="151">
        <v>514</v>
      </c>
      <c r="F7" s="153">
        <f>E7*B7</f>
        <v>0</v>
      </c>
      <c r="G7" s="154">
        <f>F7/365</f>
        <v>0</v>
      </c>
    </row>
    <row r="8" spans="1:7" ht="12.75">
      <c r="A8" s="156"/>
      <c r="B8" s="157"/>
      <c r="C8" s="158"/>
      <c r="D8" s="158"/>
      <c r="E8" s="157"/>
      <c r="F8" s="159"/>
      <c r="G8" s="160"/>
    </row>
    <row r="9" spans="1:11" ht="12.75">
      <c r="A9" s="161" t="s">
        <v>162</v>
      </c>
      <c r="B9" s="162">
        <f>CEILING(SUM(H9:J9)*(1+$K$9),1)</f>
        <v>0</v>
      </c>
      <c r="C9" s="20" t="s">
        <v>163</v>
      </c>
      <c r="D9" s="20" t="s">
        <v>161</v>
      </c>
      <c r="E9" s="162">
        <v>0</v>
      </c>
      <c r="F9" s="163">
        <f aca="true" t="shared" si="0" ref="F9:F14">+B9*E9</f>
        <v>0</v>
      </c>
      <c r="G9" s="164">
        <f aca="true" t="shared" si="1" ref="G9:G14">+F9/365</f>
        <v>0</v>
      </c>
      <c r="I9">
        <v>0</v>
      </c>
      <c r="J9" s="165"/>
      <c r="K9">
        <v>0.15</v>
      </c>
    </row>
    <row r="10" spans="1:9" ht="27" customHeight="1">
      <c r="A10" s="166"/>
      <c r="B10" s="162">
        <f>CEILING(SUM(H10:J10)*(1+$K$9),1)</f>
        <v>0</v>
      </c>
      <c r="C10" s="167" t="s">
        <v>164</v>
      </c>
      <c r="D10" s="168" t="s">
        <v>161</v>
      </c>
      <c r="E10" s="169">
        <v>23</v>
      </c>
      <c r="F10" s="170">
        <f t="shared" si="0"/>
        <v>0</v>
      </c>
      <c r="G10" s="171">
        <f t="shared" si="1"/>
        <v>0</v>
      </c>
      <c r="H10">
        <v>0</v>
      </c>
      <c r="I10">
        <v>0</v>
      </c>
    </row>
    <row r="11" spans="1:9" ht="12.75">
      <c r="A11" s="155"/>
      <c r="B11" s="162">
        <f>CEILING(SUM(H11:J11)*(1+$K$9),1)</f>
        <v>10</v>
      </c>
      <c r="C11" s="20" t="s">
        <v>163</v>
      </c>
      <c r="D11" s="172" t="s">
        <v>158</v>
      </c>
      <c r="E11" s="162">
        <v>0</v>
      </c>
      <c r="F11" s="163">
        <f t="shared" si="0"/>
        <v>0</v>
      </c>
      <c r="G11" s="164">
        <f t="shared" si="1"/>
        <v>0</v>
      </c>
      <c r="I11">
        <v>8</v>
      </c>
    </row>
    <row r="12" spans="1:9" ht="28.5" customHeight="1">
      <c r="A12" s="173" t="s">
        <v>5</v>
      </c>
      <c r="B12" s="162">
        <f>CEILING(SUM(H12:J12)*(1+$K$9),1)</f>
        <v>11</v>
      </c>
      <c r="C12" s="167" t="s">
        <v>164</v>
      </c>
      <c r="D12" s="152" t="s">
        <v>158</v>
      </c>
      <c r="E12" s="162">
        <v>19</v>
      </c>
      <c r="F12" s="163">
        <f t="shared" si="0"/>
        <v>209</v>
      </c>
      <c r="G12" s="164">
        <f t="shared" si="1"/>
        <v>0.5726027397260274</v>
      </c>
      <c r="H12">
        <v>9</v>
      </c>
      <c r="I12">
        <v>0</v>
      </c>
    </row>
    <row r="13" spans="1:7" ht="12.75">
      <c r="A13" s="173"/>
      <c r="B13" s="162">
        <v>0</v>
      </c>
      <c r="C13" s="20" t="s">
        <v>163</v>
      </c>
      <c r="D13" s="20" t="s">
        <v>165</v>
      </c>
      <c r="E13" s="162">
        <v>0</v>
      </c>
      <c r="F13" s="163">
        <f t="shared" si="0"/>
        <v>0</v>
      </c>
      <c r="G13" s="164">
        <f t="shared" si="1"/>
        <v>0</v>
      </c>
    </row>
    <row r="14" spans="1:7" ht="28.5" customHeight="1">
      <c r="A14" s="173"/>
      <c r="B14" s="169">
        <v>0</v>
      </c>
      <c r="C14" s="167" t="s">
        <v>164</v>
      </c>
      <c r="D14" s="168" t="s">
        <v>165</v>
      </c>
      <c r="E14" s="169">
        <v>3</v>
      </c>
      <c r="F14" s="170">
        <f t="shared" si="0"/>
        <v>0</v>
      </c>
      <c r="G14" s="171">
        <f t="shared" si="1"/>
        <v>0</v>
      </c>
    </row>
    <row r="15" spans="1:7" ht="12.75">
      <c r="A15" s="174"/>
      <c r="B15" s="162"/>
      <c r="C15" s="20"/>
      <c r="D15" s="20"/>
      <c r="E15" s="162"/>
      <c r="F15" s="163"/>
      <c r="G15" s="164"/>
    </row>
    <row r="16" spans="1:7" ht="12.75">
      <c r="A16" s="150" t="s">
        <v>187</v>
      </c>
      <c r="B16" s="21">
        <v>0</v>
      </c>
      <c r="C16" s="152" t="s">
        <v>160</v>
      </c>
      <c r="D16" s="27" t="s">
        <v>166</v>
      </c>
      <c r="E16" s="21">
        <v>0</v>
      </c>
      <c r="F16" s="163">
        <f>+B16*E16</f>
        <v>0</v>
      </c>
      <c r="G16" s="164">
        <f>+F16/365</f>
        <v>0</v>
      </c>
    </row>
    <row r="17" spans="1:7" ht="12.75">
      <c r="A17" s="155"/>
      <c r="B17" s="21"/>
      <c r="C17" s="27"/>
      <c r="D17" s="27"/>
      <c r="E17" s="21"/>
      <c r="F17" s="163"/>
      <c r="G17" s="175"/>
    </row>
    <row r="18" spans="1:11" ht="12.75">
      <c r="A18" s="176" t="s">
        <v>167</v>
      </c>
      <c r="B18" s="162">
        <f>CEILING(((J18)*(1+$K$18)+H18),1)</f>
        <v>24</v>
      </c>
      <c r="C18" s="27"/>
      <c r="D18" s="27"/>
      <c r="E18" s="21">
        <v>1.5</v>
      </c>
      <c r="F18" s="163">
        <f>+B18*E18</f>
        <v>36</v>
      </c>
      <c r="G18" s="164">
        <f>+F18/365</f>
        <v>0.09863013698630137</v>
      </c>
      <c r="H18">
        <f>SUM(H9:H14)*(1+K9)*2</f>
        <v>20.7</v>
      </c>
      <c r="J18">
        <v>2</v>
      </c>
      <c r="K18">
        <v>0.2</v>
      </c>
    </row>
    <row r="19" spans="1:7" ht="12.75">
      <c r="A19" s="177"/>
      <c r="B19" s="36"/>
      <c r="C19" s="35"/>
      <c r="D19" s="35"/>
      <c r="E19" s="36"/>
      <c r="F19" s="178"/>
      <c r="G19" s="179"/>
    </row>
    <row r="20" spans="1:7" ht="12.75">
      <c r="A20" s="150" t="s">
        <v>168</v>
      </c>
      <c r="B20" s="162">
        <v>0</v>
      </c>
      <c r="C20" s="172" t="s">
        <v>169</v>
      </c>
      <c r="D20" s="20" t="s">
        <v>166</v>
      </c>
      <c r="E20" s="162">
        <v>80</v>
      </c>
      <c r="F20" s="163">
        <f>+B20*E20</f>
        <v>0</v>
      </c>
      <c r="G20" s="164">
        <f>+F20/365</f>
        <v>0</v>
      </c>
    </row>
    <row r="21" spans="1:7" ht="13.5" thickBot="1">
      <c r="A21" s="155"/>
      <c r="B21" s="36"/>
      <c r="C21" s="35"/>
      <c r="D21" s="35"/>
      <c r="E21" s="36"/>
      <c r="F21" s="178"/>
      <c r="G21" s="175"/>
    </row>
    <row r="22" spans="1:7" ht="14.25" thickBot="1" thickTop="1">
      <c r="A22" s="144" t="s">
        <v>174</v>
      </c>
      <c r="B22" s="183"/>
      <c r="C22" s="184"/>
      <c r="D22" s="184"/>
      <c r="E22" s="183"/>
      <c r="F22" s="189">
        <f>SUM(F5:F20)</f>
        <v>245</v>
      </c>
      <c r="G22" s="186">
        <f>+F22/365</f>
        <v>0.6712328767123288</v>
      </c>
    </row>
    <row r="23" spans="1:7" ht="14.25" thickBot="1" thickTop="1">
      <c r="A23" s="188"/>
      <c r="B23" s="184"/>
      <c r="C23" s="184"/>
      <c r="D23" s="184"/>
      <c r="E23" s="184"/>
      <c r="F23" s="189"/>
      <c r="G23" s="190" t="s">
        <v>5</v>
      </c>
    </row>
    <row r="24" spans="1:7" ht="14.25" thickBot="1" thickTop="1">
      <c r="A24" s="191" t="s">
        <v>175</v>
      </c>
      <c r="B24" s="52"/>
      <c r="C24" s="52"/>
      <c r="D24" s="52"/>
      <c r="E24" s="52"/>
      <c r="F24" s="192"/>
      <c r="G24" s="193"/>
    </row>
    <row r="25" spans="1:7" ht="13.5" thickTop="1">
      <c r="A25" s="194"/>
      <c r="B25" s="195"/>
      <c r="C25" s="195"/>
      <c r="D25" s="195"/>
      <c r="E25" s="195"/>
      <c r="F25" s="196"/>
      <c r="G25" s="197"/>
    </row>
    <row r="26" spans="1:7" ht="12.75">
      <c r="A26" s="161" t="s">
        <v>156</v>
      </c>
      <c r="B26" s="180">
        <v>3</v>
      </c>
      <c r="C26" s="172" t="s">
        <v>157</v>
      </c>
      <c r="D26" s="172" t="s">
        <v>158</v>
      </c>
      <c r="E26" s="180">
        <v>104</v>
      </c>
      <c r="F26" s="198">
        <f>E26*B26</f>
        <v>312</v>
      </c>
      <c r="G26" s="199">
        <f>F26/365</f>
        <v>0.8547945205479452</v>
      </c>
    </row>
    <row r="27" spans="1:7" ht="12.75">
      <c r="A27" s="161"/>
      <c r="B27" s="151">
        <v>4</v>
      </c>
      <c r="C27" s="152" t="s">
        <v>176</v>
      </c>
      <c r="D27" s="152" t="s">
        <v>158</v>
      </c>
      <c r="E27" s="151">
        <v>520</v>
      </c>
      <c r="F27" s="198">
        <f>E27*B27</f>
        <v>2080</v>
      </c>
      <c r="G27" s="199">
        <f>F27/365</f>
        <v>5.698630136986301</v>
      </c>
    </row>
    <row r="28" spans="1:7" ht="12.75">
      <c r="A28" s="200"/>
      <c r="B28" s="151"/>
      <c r="C28" s="152"/>
      <c r="D28" s="152"/>
      <c r="E28" s="151"/>
      <c r="F28" s="153"/>
      <c r="G28" s="154"/>
    </row>
    <row r="29" spans="1:7" ht="12.75">
      <c r="A29" s="150" t="s">
        <v>159</v>
      </c>
      <c r="B29" s="151">
        <v>0</v>
      </c>
      <c r="C29" s="152" t="s">
        <v>160</v>
      </c>
      <c r="D29" s="20" t="s">
        <v>161</v>
      </c>
      <c r="E29" s="151">
        <v>514</v>
      </c>
      <c r="F29" s="153">
        <f>E29*B29</f>
        <v>0</v>
      </c>
      <c r="G29" s="154">
        <f>F29/365</f>
        <v>0</v>
      </c>
    </row>
    <row r="30" spans="1:7" ht="12.75">
      <c r="A30" s="156"/>
      <c r="B30" s="157"/>
      <c r="C30" s="158"/>
      <c r="D30" s="158"/>
      <c r="E30" s="157"/>
      <c r="F30" s="159"/>
      <c r="G30" s="160"/>
    </row>
    <row r="31" spans="1:7" ht="28.5" customHeight="1">
      <c r="A31" s="161" t="s">
        <v>162</v>
      </c>
      <c r="B31" s="162">
        <f>SUM(H31:I31)</f>
        <v>0</v>
      </c>
      <c r="C31" s="20" t="s">
        <v>163</v>
      </c>
      <c r="D31" s="20" t="s">
        <v>161</v>
      </c>
      <c r="E31" s="162">
        <v>0</v>
      </c>
      <c r="F31" s="163">
        <f>+B31*E31</f>
        <v>0</v>
      </c>
      <c r="G31" s="164">
        <f>+F31/365</f>
        <v>0</v>
      </c>
    </row>
    <row r="32" spans="1:7" ht="39">
      <c r="A32" s="155"/>
      <c r="B32" s="162">
        <v>0</v>
      </c>
      <c r="C32" s="167" t="s">
        <v>164</v>
      </c>
      <c r="D32" s="168" t="s">
        <v>161</v>
      </c>
      <c r="E32" s="169">
        <v>23</v>
      </c>
      <c r="F32" s="170">
        <f>+B32*E32</f>
        <v>0</v>
      </c>
      <c r="G32" s="171">
        <f>+F32/365</f>
        <v>0</v>
      </c>
    </row>
    <row r="33" spans="1:9" ht="28.5" customHeight="1">
      <c r="A33" s="155"/>
      <c r="B33" s="162">
        <f>SUM(H33:I33)</f>
        <v>15</v>
      </c>
      <c r="C33" s="167" t="s">
        <v>177</v>
      </c>
      <c r="D33" s="168" t="s">
        <v>161</v>
      </c>
      <c r="E33" s="169">
        <v>72</v>
      </c>
      <c r="F33" s="198">
        <f>E33*B33</f>
        <v>1080</v>
      </c>
      <c r="G33" s="199">
        <f>F33/365</f>
        <v>2.958904109589041</v>
      </c>
      <c r="H33">
        <v>5</v>
      </c>
      <c r="I33">
        <v>10</v>
      </c>
    </row>
    <row r="34" spans="1:7" ht="12.75">
      <c r="A34" s="155"/>
      <c r="B34" s="162">
        <f>SUM(H34:I34)</f>
        <v>0</v>
      </c>
      <c r="C34" s="20" t="s">
        <v>163</v>
      </c>
      <c r="D34" s="172" t="s">
        <v>158</v>
      </c>
      <c r="E34" s="162">
        <v>0</v>
      </c>
      <c r="F34" s="163">
        <f>+B34*E34</f>
        <v>0</v>
      </c>
      <c r="G34" s="164">
        <f>+F34/365</f>
        <v>0</v>
      </c>
    </row>
    <row r="35" spans="1:7" ht="28.5" customHeight="1">
      <c r="A35" s="155"/>
      <c r="B35" s="162">
        <f>SUM(H35:I35)</f>
        <v>0</v>
      </c>
      <c r="C35" s="167" t="s">
        <v>164</v>
      </c>
      <c r="D35" s="152" t="s">
        <v>158</v>
      </c>
      <c r="E35" s="169">
        <v>19</v>
      </c>
      <c r="F35" s="170">
        <f>+B35*E35</f>
        <v>0</v>
      </c>
      <c r="G35" s="171">
        <f>+F35/365</f>
        <v>0</v>
      </c>
    </row>
    <row r="36" spans="1:9" ht="12.75">
      <c r="A36" s="155"/>
      <c r="B36" s="162">
        <f>SUM(H36:I36)</f>
        <v>9</v>
      </c>
      <c r="C36" s="167" t="s">
        <v>177</v>
      </c>
      <c r="D36" s="152" t="s">
        <v>158</v>
      </c>
      <c r="E36" s="169">
        <v>57</v>
      </c>
      <c r="F36" s="198">
        <f>E36*B36</f>
        <v>513</v>
      </c>
      <c r="G36" s="199">
        <f>F36/365</f>
        <v>1.4054794520547946</v>
      </c>
      <c r="H36">
        <v>2</v>
      </c>
      <c r="I36">
        <v>7</v>
      </c>
    </row>
    <row r="37" spans="1:7" ht="12.75">
      <c r="A37" s="173"/>
      <c r="B37" s="162">
        <f>SUM(H37:I37)</f>
        <v>0</v>
      </c>
      <c r="C37" s="20" t="s">
        <v>163</v>
      </c>
      <c r="D37" s="20" t="s">
        <v>165</v>
      </c>
      <c r="E37" s="162">
        <v>0</v>
      </c>
      <c r="F37" s="163">
        <f>+B37*E37</f>
        <v>0</v>
      </c>
      <c r="G37" s="164">
        <f>+F37/365</f>
        <v>0</v>
      </c>
    </row>
    <row r="38" spans="1:7" ht="39">
      <c r="A38" s="173"/>
      <c r="B38" s="162">
        <v>0</v>
      </c>
      <c r="C38" s="201" t="s">
        <v>164</v>
      </c>
      <c r="D38" s="20" t="s">
        <v>165</v>
      </c>
      <c r="E38" s="162">
        <v>3</v>
      </c>
      <c r="F38" s="163">
        <f>+B38*E38</f>
        <v>0</v>
      </c>
      <c r="G38" s="164">
        <f>+F38/365</f>
        <v>0</v>
      </c>
    </row>
    <row r="39" spans="1:7" ht="12.75">
      <c r="A39" s="173"/>
      <c r="B39" s="21">
        <v>0</v>
      </c>
      <c r="C39" s="201" t="s">
        <v>177</v>
      </c>
      <c r="D39" s="20" t="s">
        <v>165</v>
      </c>
      <c r="E39" s="21">
        <v>4.4</v>
      </c>
      <c r="F39" s="198">
        <f>E39*B39</f>
        <v>0</v>
      </c>
      <c r="G39" s="199">
        <f>F39/365</f>
        <v>0</v>
      </c>
    </row>
    <row r="40" spans="1:7" ht="12.75">
      <c r="A40" s="173"/>
      <c r="B40" s="21"/>
      <c r="C40" s="27"/>
      <c r="D40" s="27"/>
      <c r="E40" s="21"/>
      <c r="F40" s="202"/>
      <c r="G40" s="175"/>
    </row>
    <row r="41" spans="1:7" ht="12.75">
      <c r="A41" s="150" t="s">
        <v>178</v>
      </c>
      <c r="B41" s="21">
        <v>1</v>
      </c>
      <c r="C41" s="152" t="s">
        <v>160</v>
      </c>
      <c r="D41" s="27" t="s">
        <v>166</v>
      </c>
      <c r="E41" s="21">
        <v>0</v>
      </c>
      <c r="F41" s="163">
        <f>+B41*E41</f>
        <v>0</v>
      </c>
      <c r="G41" s="164">
        <f>+F41/365</f>
        <v>0</v>
      </c>
    </row>
    <row r="42" spans="1:7" ht="12.75">
      <c r="A42" s="155"/>
      <c r="B42" s="21"/>
      <c r="C42" s="27"/>
      <c r="D42" s="27"/>
      <c r="E42" s="21"/>
      <c r="F42" s="163"/>
      <c r="G42" s="175"/>
    </row>
    <row r="43" spans="1:10" ht="12.75">
      <c r="A43" s="176" t="s">
        <v>167</v>
      </c>
      <c r="B43" s="162">
        <f>J43+H43</f>
        <v>14</v>
      </c>
      <c r="C43" s="27"/>
      <c r="D43" s="27"/>
      <c r="E43" s="21">
        <v>1.5</v>
      </c>
      <c r="F43" s="163">
        <f>+B43*E43</f>
        <v>21</v>
      </c>
      <c r="G43" s="164">
        <f>+F43/365</f>
        <v>0.057534246575342465</v>
      </c>
      <c r="H43">
        <f>SUM(H31:H38)*2</f>
        <v>14</v>
      </c>
      <c r="J43">
        <v>0</v>
      </c>
    </row>
    <row r="44" spans="1:7" ht="12.75">
      <c r="A44" s="177"/>
      <c r="B44" s="36"/>
      <c r="C44" s="35"/>
      <c r="D44" s="35"/>
      <c r="E44" s="36"/>
      <c r="F44" s="178"/>
      <c r="G44" s="175"/>
    </row>
    <row r="45" spans="1:7" ht="12.75">
      <c r="A45" s="150" t="s">
        <v>168</v>
      </c>
      <c r="B45" s="162">
        <v>0</v>
      </c>
      <c r="C45" s="172" t="s">
        <v>169</v>
      </c>
      <c r="D45" s="20" t="s">
        <v>166</v>
      </c>
      <c r="E45" s="162">
        <v>80</v>
      </c>
      <c r="F45" s="163">
        <f>+B45*E45</f>
        <v>0</v>
      </c>
      <c r="G45" s="164">
        <f>+F45/365</f>
        <v>0</v>
      </c>
    </row>
    <row r="46" spans="1:7" ht="13.5" thickBot="1">
      <c r="A46" s="155"/>
      <c r="B46" s="36"/>
      <c r="C46" s="35"/>
      <c r="D46" s="35"/>
      <c r="E46" s="36"/>
      <c r="F46" s="178"/>
      <c r="G46" s="175"/>
    </row>
    <row r="47" spans="1:7" ht="14.25" thickBot="1" thickTop="1">
      <c r="A47" s="144" t="s">
        <v>179</v>
      </c>
      <c r="B47" s="183"/>
      <c r="C47" s="184"/>
      <c r="D47" s="184"/>
      <c r="E47" s="183"/>
      <c r="F47" s="189">
        <f>SUM(F26:F45)</f>
        <v>4006</v>
      </c>
      <c r="G47" s="186">
        <f>+F47/365</f>
        <v>10.975342465753425</v>
      </c>
    </row>
    <row r="48" spans="1:7" ht="14.25" thickBot="1" thickTop="1">
      <c r="A48" s="203"/>
      <c r="B48" s="96"/>
      <c r="C48" s="52"/>
      <c r="D48" s="52"/>
      <c r="E48" s="96"/>
      <c r="F48" s="52"/>
      <c r="G48" s="204"/>
    </row>
    <row r="49" spans="1:7" ht="14.25" thickBot="1" thickTop="1">
      <c r="A49" s="144" t="s">
        <v>180</v>
      </c>
      <c r="B49" s="205"/>
      <c r="C49" s="145"/>
      <c r="D49" s="145"/>
      <c r="E49" s="205"/>
      <c r="F49" s="145"/>
      <c r="G49" s="206">
        <f>G22-G47</f>
        <v>-10.304109589041095</v>
      </c>
    </row>
    <row r="50" spans="1:7" ht="13.5" thickTop="1">
      <c r="A50" s="188"/>
      <c r="B50" s="96"/>
      <c r="C50" s="52"/>
      <c r="D50" s="52"/>
      <c r="E50" s="96"/>
      <c r="F50" s="52"/>
      <c r="G50" s="207"/>
    </row>
    <row r="51" spans="2:7" ht="12.75">
      <c r="B51" s="52"/>
      <c r="C51" s="52"/>
      <c r="D51" s="52"/>
      <c r="E51" s="52"/>
      <c r="F51" s="52"/>
      <c r="G51" s="207"/>
    </row>
  </sheetData>
  <sheetProtection/>
  <printOptions horizontalCentered="1"/>
  <pageMargins left="0.75" right="0.75" top="1.31" bottom="0.75" header="0.5" footer="0.5"/>
  <pageSetup fitToHeight="1" fitToWidth="1" horizontalDpi="300" verticalDpi="300" orientation="portrait" scale="80" r:id="rId1"/>
  <headerFooter alignWithMargins="0">
    <oddHeader>&amp;L
&amp;C&amp;"Arial,Bold"&amp;12Tosco Refining Company&amp;"Arial,Regular"
&amp;"Arial,Bold"CARB Phase 3 Project
 Storage Tank Piping
Fugitive ROG Emission Estimate &amp;R
</oddHeader>
    <oddFooter>&amp;L&amp;F&amp;R9/8/00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pane xSplit="4" ySplit="1" topLeftCell="E1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25" sqref="A25"/>
    </sheetView>
  </sheetViews>
  <sheetFormatPr defaultColWidth="9.140625" defaultRowHeight="12.75"/>
  <cols>
    <col min="1" max="1" width="17.28125" style="0" customWidth="1"/>
    <col min="3" max="3" width="22.7109375" style="0" customWidth="1"/>
    <col min="4" max="4" width="12.7109375" style="0" customWidth="1"/>
    <col min="5" max="5" width="13.00390625" style="0" customWidth="1"/>
    <col min="8" max="11" width="0" style="0" hidden="1" customWidth="1"/>
  </cols>
  <sheetData>
    <row r="1" spans="1:11" ht="14.25" thickBot="1" thickTop="1">
      <c r="A1" s="140" t="s">
        <v>1</v>
      </c>
      <c r="B1" s="141" t="s">
        <v>149</v>
      </c>
      <c r="C1" s="141" t="s">
        <v>150</v>
      </c>
      <c r="D1" s="141" t="s">
        <v>151</v>
      </c>
      <c r="E1" s="141" t="s">
        <v>152</v>
      </c>
      <c r="F1" s="141" t="s">
        <v>153</v>
      </c>
      <c r="G1" s="142" t="s">
        <v>154</v>
      </c>
      <c r="H1" s="88" t="s">
        <v>181</v>
      </c>
      <c r="I1" s="88" t="s">
        <v>182</v>
      </c>
      <c r="J1" s="88" t="s">
        <v>183</v>
      </c>
      <c r="K1" s="88" t="s">
        <v>184</v>
      </c>
    </row>
    <row r="2" spans="1:7" ht="14.25" thickBot="1" thickTop="1">
      <c r="A2" s="143"/>
      <c r="B2" s="141"/>
      <c r="C2" s="141"/>
      <c r="D2" s="141"/>
      <c r="E2" s="141"/>
      <c r="F2" s="141"/>
      <c r="G2" s="142"/>
    </row>
    <row r="3" spans="1:7" ht="14.25" thickBot="1" thickTop="1">
      <c r="A3" s="144" t="s">
        <v>155</v>
      </c>
      <c r="B3" s="145"/>
      <c r="C3" s="145"/>
      <c r="D3" s="145"/>
      <c r="E3" s="145"/>
      <c r="F3" s="145"/>
      <c r="G3" s="146"/>
    </row>
    <row r="4" spans="1:7" ht="13.5" thickTop="1">
      <c r="A4" s="147"/>
      <c r="B4" s="148"/>
      <c r="C4" s="148"/>
      <c r="D4" s="148"/>
      <c r="E4" s="148"/>
      <c r="F4" s="148"/>
      <c r="G4" s="149"/>
    </row>
    <row r="5" spans="1:7" ht="12.75">
      <c r="A5" s="150" t="s">
        <v>156</v>
      </c>
      <c r="B5" s="151">
        <v>3</v>
      </c>
      <c r="C5" s="152" t="s">
        <v>157</v>
      </c>
      <c r="D5" s="152" t="s">
        <v>158</v>
      </c>
      <c r="E5" s="151">
        <v>104</v>
      </c>
      <c r="F5" s="153">
        <f>E5*B5</f>
        <v>312</v>
      </c>
      <c r="G5" s="154">
        <f>F5/365</f>
        <v>0.8547945205479452</v>
      </c>
    </row>
    <row r="6" spans="1:7" ht="12.75">
      <c r="A6" s="155"/>
      <c r="B6" s="151"/>
      <c r="C6" s="152"/>
      <c r="D6" s="152"/>
      <c r="E6" s="151"/>
      <c r="F6" s="153"/>
      <c r="G6" s="154"/>
    </row>
    <row r="7" spans="1:7" ht="12.75">
      <c r="A7" s="150" t="s">
        <v>159</v>
      </c>
      <c r="B7" s="151">
        <v>0</v>
      </c>
      <c r="C7" s="152" t="s">
        <v>160</v>
      </c>
      <c r="D7" s="20" t="s">
        <v>161</v>
      </c>
      <c r="E7" s="151">
        <v>514</v>
      </c>
      <c r="F7" s="153">
        <f>E7*B7</f>
        <v>0</v>
      </c>
      <c r="G7" s="154">
        <f>F7/365</f>
        <v>0</v>
      </c>
    </row>
    <row r="8" spans="1:7" ht="12.75">
      <c r="A8" s="156"/>
      <c r="B8" s="157"/>
      <c r="C8" s="158"/>
      <c r="D8" s="158"/>
      <c r="E8" s="157"/>
      <c r="F8" s="159"/>
      <c r="G8" s="160"/>
    </row>
    <row r="9" spans="1:11" ht="12.75">
      <c r="A9" s="161" t="s">
        <v>162</v>
      </c>
      <c r="B9" s="162">
        <f>CEILING(SUM(H9:J9)*(1+$K$9),1)</f>
        <v>4</v>
      </c>
      <c r="C9" s="20" t="s">
        <v>163</v>
      </c>
      <c r="D9" s="20" t="s">
        <v>161</v>
      </c>
      <c r="E9" s="162">
        <v>0</v>
      </c>
      <c r="F9" s="163">
        <f aca="true" t="shared" si="0" ref="F9:F14">+B9*E9</f>
        <v>0</v>
      </c>
      <c r="G9" s="164">
        <f aca="true" t="shared" si="1" ref="G9:G14">+F9/365</f>
        <v>0</v>
      </c>
      <c r="I9">
        <v>3</v>
      </c>
      <c r="J9" s="165"/>
      <c r="K9">
        <v>0.15</v>
      </c>
    </row>
    <row r="10" spans="1:9" ht="27" customHeight="1">
      <c r="A10" s="166"/>
      <c r="B10" s="162">
        <f>CEILING(SUM(H10:J10)*(1+$K$9),1)</f>
        <v>7</v>
      </c>
      <c r="C10" s="167" t="s">
        <v>164</v>
      </c>
      <c r="D10" s="168" t="s">
        <v>161</v>
      </c>
      <c r="E10" s="169">
        <v>23</v>
      </c>
      <c r="F10" s="170">
        <f t="shared" si="0"/>
        <v>161</v>
      </c>
      <c r="G10" s="171">
        <f t="shared" si="1"/>
        <v>0.4410958904109589</v>
      </c>
      <c r="H10">
        <v>4</v>
      </c>
      <c r="I10">
        <v>2</v>
      </c>
    </row>
    <row r="11" spans="1:9" ht="12.75">
      <c r="A11" s="155"/>
      <c r="B11" s="162">
        <f>CEILING(SUM(H11:J11)*(1+$K$9),1)</f>
        <v>10</v>
      </c>
      <c r="C11" s="20" t="s">
        <v>163</v>
      </c>
      <c r="D11" s="172" t="s">
        <v>158</v>
      </c>
      <c r="E11" s="162">
        <v>0</v>
      </c>
      <c r="F11" s="163">
        <f t="shared" si="0"/>
        <v>0</v>
      </c>
      <c r="G11" s="164">
        <f t="shared" si="1"/>
        <v>0</v>
      </c>
      <c r="I11">
        <v>8</v>
      </c>
    </row>
    <row r="12" spans="1:9" ht="28.5" customHeight="1">
      <c r="A12" s="173" t="s">
        <v>5</v>
      </c>
      <c r="B12" s="162">
        <f>CEILING(SUM(H12:J12)*(1+$K$9),1)</f>
        <v>3</v>
      </c>
      <c r="C12" s="167" t="s">
        <v>164</v>
      </c>
      <c r="D12" s="152" t="s">
        <v>158</v>
      </c>
      <c r="E12" s="162">
        <v>19</v>
      </c>
      <c r="F12" s="163">
        <f t="shared" si="0"/>
        <v>57</v>
      </c>
      <c r="G12" s="164">
        <f t="shared" si="1"/>
        <v>0.15616438356164383</v>
      </c>
      <c r="H12">
        <v>0</v>
      </c>
      <c r="I12">
        <v>2</v>
      </c>
    </row>
    <row r="13" spans="1:7" ht="12.75">
      <c r="A13" s="173"/>
      <c r="B13" s="162">
        <v>0</v>
      </c>
      <c r="C13" s="20" t="s">
        <v>163</v>
      </c>
      <c r="D13" s="20" t="s">
        <v>165</v>
      </c>
      <c r="E13" s="162">
        <v>0</v>
      </c>
      <c r="F13" s="163">
        <f t="shared" si="0"/>
        <v>0</v>
      </c>
      <c r="G13" s="164">
        <f t="shared" si="1"/>
        <v>0</v>
      </c>
    </row>
    <row r="14" spans="1:7" ht="28.5" customHeight="1">
      <c r="A14" s="173"/>
      <c r="B14" s="169">
        <v>0</v>
      </c>
      <c r="C14" s="167" t="s">
        <v>164</v>
      </c>
      <c r="D14" s="168" t="s">
        <v>165</v>
      </c>
      <c r="E14" s="169">
        <v>3</v>
      </c>
      <c r="F14" s="170">
        <f t="shared" si="0"/>
        <v>0</v>
      </c>
      <c r="G14" s="171">
        <f t="shared" si="1"/>
        <v>0</v>
      </c>
    </row>
    <row r="15" spans="1:7" ht="12.75">
      <c r="A15" s="174"/>
      <c r="B15" s="162"/>
      <c r="C15" s="20"/>
      <c r="D15" s="20"/>
      <c r="E15" s="162"/>
      <c r="F15" s="163"/>
      <c r="G15" s="164"/>
    </row>
    <row r="16" spans="1:7" ht="12.75">
      <c r="A16" s="150" t="s">
        <v>187</v>
      </c>
      <c r="B16" s="21">
        <v>0</v>
      </c>
      <c r="C16" s="152" t="s">
        <v>160</v>
      </c>
      <c r="D16" s="27" t="s">
        <v>166</v>
      </c>
      <c r="E16" s="21">
        <v>0</v>
      </c>
      <c r="F16" s="163">
        <f>+B16*E16</f>
        <v>0</v>
      </c>
      <c r="G16" s="164">
        <f>+F16/365</f>
        <v>0</v>
      </c>
    </row>
    <row r="17" spans="1:7" ht="12.75">
      <c r="A17" s="155"/>
      <c r="B17" s="21"/>
      <c r="C17" s="27"/>
      <c r="D17" s="27"/>
      <c r="E17" s="21"/>
      <c r="F17" s="163"/>
      <c r="G17" s="175"/>
    </row>
    <row r="18" spans="1:11" ht="12.75">
      <c r="A18" s="176" t="s">
        <v>167</v>
      </c>
      <c r="B18" s="162">
        <f>CEILING(((J18)*(1+$K$18)+H18),1)</f>
        <v>11</v>
      </c>
      <c r="C18" s="27"/>
      <c r="D18" s="27"/>
      <c r="E18" s="21">
        <v>1.5</v>
      </c>
      <c r="F18" s="163">
        <f>+B18*E18</f>
        <v>16.5</v>
      </c>
      <c r="G18" s="164">
        <f>+F18/365</f>
        <v>0.045205479452054796</v>
      </c>
      <c r="H18">
        <f>SUM(H9:H14)*(1+K9)*2</f>
        <v>9.2</v>
      </c>
      <c r="J18">
        <v>1</v>
      </c>
      <c r="K18">
        <v>0.2</v>
      </c>
    </row>
    <row r="19" spans="1:7" ht="12.75">
      <c r="A19" s="177"/>
      <c r="B19" s="36"/>
      <c r="C19" s="35"/>
      <c r="D19" s="35"/>
      <c r="E19" s="36"/>
      <c r="F19" s="178"/>
      <c r="G19" s="179"/>
    </row>
    <row r="20" spans="1:7" ht="12.75">
      <c r="A20" s="150" t="s">
        <v>168</v>
      </c>
      <c r="B20" s="162">
        <v>0</v>
      </c>
      <c r="C20" s="172" t="s">
        <v>169</v>
      </c>
      <c r="D20" s="20" t="s">
        <v>166</v>
      </c>
      <c r="E20" s="162">
        <v>80</v>
      </c>
      <c r="F20" s="163">
        <f>+B20*E20</f>
        <v>0</v>
      </c>
      <c r="G20" s="164">
        <f>+F20/365</f>
        <v>0</v>
      </c>
    </row>
    <row r="21" spans="1:7" ht="12.75">
      <c r="A21" s="155"/>
      <c r="B21" s="36"/>
      <c r="C21" s="182"/>
      <c r="D21" s="35"/>
      <c r="E21" s="36"/>
      <c r="F21" s="178"/>
      <c r="G21" s="175"/>
    </row>
    <row r="22" spans="1:7" ht="12.75">
      <c r="A22" s="150" t="s">
        <v>170</v>
      </c>
      <c r="B22" s="162"/>
      <c r="C22" s="172" t="s">
        <v>171</v>
      </c>
      <c r="D22" s="20" t="s">
        <v>172</v>
      </c>
      <c r="E22" s="162" t="s">
        <v>173</v>
      </c>
      <c r="F22" s="163">
        <v>3756</v>
      </c>
      <c r="G22" s="164">
        <v>10.3</v>
      </c>
    </row>
    <row r="23" spans="1:7" ht="13.5" thickBot="1">
      <c r="A23" s="155"/>
      <c r="B23" s="36"/>
      <c r="C23" s="35"/>
      <c r="D23" s="35"/>
      <c r="E23" s="36"/>
      <c r="F23" s="178"/>
      <c r="G23" s="175"/>
    </row>
    <row r="24" spans="1:7" ht="14.25" thickBot="1" thickTop="1">
      <c r="A24" s="144" t="s">
        <v>174</v>
      </c>
      <c r="B24" s="183"/>
      <c r="C24" s="184"/>
      <c r="D24" s="184"/>
      <c r="E24" s="183"/>
      <c r="F24" s="189">
        <f>SUM(F5:F22)</f>
        <v>4302.5</v>
      </c>
      <c r="G24" s="186">
        <f>+F24/365</f>
        <v>11.787671232876713</v>
      </c>
    </row>
    <row r="25" spans="1:7" ht="14.25" thickBot="1" thickTop="1">
      <c r="A25" s="188"/>
      <c r="B25" s="184"/>
      <c r="C25" s="184"/>
      <c r="D25" s="184"/>
      <c r="E25" s="184"/>
      <c r="F25" s="189"/>
      <c r="G25" s="190" t="s">
        <v>5</v>
      </c>
    </row>
    <row r="26" spans="1:7" ht="14.25" thickBot="1" thickTop="1">
      <c r="A26" s="191" t="s">
        <v>175</v>
      </c>
      <c r="B26" s="52"/>
      <c r="C26" s="52"/>
      <c r="D26" s="52"/>
      <c r="E26" s="52"/>
      <c r="F26" s="192"/>
      <c r="G26" s="193"/>
    </row>
    <row r="27" spans="1:7" ht="13.5" thickTop="1">
      <c r="A27" s="194"/>
      <c r="B27" s="195"/>
      <c r="C27" s="195"/>
      <c r="D27" s="195"/>
      <c r="E27" s="195"/>
      <c r="F27" s="196"/>
      <c r="G27" s="197"/>
    </row>
    <row r="28" spans="1:7" ht="12.75">
      <c r="A28" s="161" t="s">
        <v>156</v>
      </c>
      <c r="B28" s="180">
        <v>3</v>
      </c>
      <c r="C28" s="172" t="s">
        <v>157</v>
      </c>
      <c r="D28" s="172" t="s">
        <v>158</v>
      </c>
      <c r="E28" s="180">
        <v>104</v>
      </c>
      <c r="F28" s="198">
        <f>E28*B28</f>
        <v>312</v>
      </c>
      <c r="G28" s="199">
        <f>F28/365</f>
        <v>0.8547945205479452</v>
      </c>
    </row>
    <row r="29" spans="1:7" ht="12.75">
      <c r="A29" s="161"/>
      <c r="B29" s="151">
        <v>0</v>
      </c>
      <c r="C29" s="152" t="s">
        <v>176</v>
      </c>
      <c r="D29" s="152" t="s">
        <v>158</v>
      </c>
      <c r="E29" s="151">
        <v>520</v>
      </c>
      <c r="F29" s="198">
        <f>E29*B29</f>
        <v>0</v>
      </c>
      <c r="G29" s="199">
        <f>F29/365</f>
        <v>0</v>
      </c>
    </row>
    <row r="30" spans="1:7" ht="12.75">
      <c r="A30" s="200"/>
      <c r="B30" s="151"/>
      <c r="C30" s="152"/>
      <c r="D30" s="152"/>
      <c r="E30" s="151"/>
      <c r="F30" s="153"/>
      <c r="G30" s="154"/>
    </row>
    <row r="31" spans="1:7" ht="12.75">
      <c r="A31" s="150" t="s">
        <v>159</v>
      </c>
      <c r="B31" s="151">
        <v>0</v>
      </c>
      <c r="C31" s="152" t="s">
        <v>160</v>
      </c>
      <c r="D31" s="20" t="s">
        <v>161</v>
      </c>
      <c r="E31" s="151">
        <v>514</v>
      </c>
      <c r="F31" s="153">
        <f>E31*B31</f>
        <v>0</v>
      </c>
      <c r="G31" s="154">
        <f>F31/365</f>
        <v>0</v>
      </c>
    </row>
    <row r="32" spans="1:7" ht="12.75">
      <c r="A32" s="156"/>
      <c r="B32" s="157"/>
      <c r="C32" s="158"/>
      <c r="D32" s="158"/>
      <c r="E32" s="157"/>
      <c r="F32" s="159"/>
      <c r="G32" s="160"/>
    </row>
    <row r="33" spans="1:7" ht="28.5" customHeight="1">
      <c r="A33" s="161" t="s">
        <v>162</v>
      </c>
      <c r="B33" s="162">
        <f>SUM(H33:I33)</f>
        <v>0</v>
      </c>
      <c r="C33" s="20" t="s">
        <v>163</v>
      </c>
      <c r="D33" s="20" t="s">
        <v>161</v>
      </c>
      <c r="E33" s="162">
        <v>0</v>
      </c>
      <c r="F33" s="163">
        <f>+B33*E33</f>
        <v>0</v>
      </c>
      <c r="G33" s="164">
        <f>+F33/365</f>
        <v>0</v>
      </c>
    </row>
    <row r="34" spans="1:7" ht="39">
      <c r="A34" s="155"/>
      <c r="B34" s="162">
        <v>0</v>
      </c>
      <c r="C34" s="167" t="s">
        <v>164</v>
      </c>
      <c r="D34" s="168" t="s">
        <v>161</v>
      </c>
      <c r="E34" s="169">
        <v>23</v>
      </c>
      <c r="F34" s="170">
        <f>+B34*E34</f>
        <v>0</v>
      </c>
      <c r="G34" s="171">
        <f>+F34/365</f>
        <v>0</v>
      </c>
    </row>
    <row r="35" spans="1:9" ht="28.5" customHeight="1">
      <c r="A35" s="155"/>
      <c r="B35" s="162">
        <f>SUM(H35:I35)</f>
        <v>10</v>
      </c>
      <c r="C35" s="167" t="s">
        <v>177</v>
      </c>
      <c r="D35" s="168" t="s">
        <v>161</v>
      </c>
      <c r="E35" s="169">
        <v>72</v>
      </c>
      <c r="F35" s="198">
        <f>E35*B35</f>
        <v>720</v>
      </c>
      <c r="G35" s="199">
        <f>F35/365</f>
        <v>1.9726027397260273</v>
      </c>
      <c r="H35">
        <v>0</v>
      </c>
      <c r="I35">
        <v>10</v>
      </c>
    </row>
    <row r="36" spans="1:7" ht="12.75">
      <c r="A36" s="155"/>
      <c r="B36" s="162">
        <f>SUM(H36:I36)</f>
        <v>0</v>
      </c>
      <c r="C36" s="20" t="s">
        <v>163</v>
      </c>
      <c r="D36" s="172" t="s">
        <v>158</v>
      </c>
      <c r="E36" s="162">
        <v>0</v>
      </c>
      <c r="F36" s="163">
        <f>+B36*E36</f>
        <v>0</v>
      </c>
      <c r="G36" s="164">
        <f>+F36/365</f>
        <v>0</v>
      </c>
    </row>
    <row r="37" spans="1:7" ht="28.5" customHeight="1">
      <c r="A37" s="155"/>
      <c r="B37" s="162">
        <f>SUM(H37:I37)</f>
        <v>0</v>
      </c>
      <c r="C37" s="167" t="s">
        <v>164</v>
      </c>
      <c r="D37" s="152" t="s">
        <v>158</v>
      </c>
      <c r="E37" s="169">
        <v>19</v>
      </c>
      <c r="F37" s="170">
        <f>+B37*E37</f>
        <v>0</v>
      </c>
      <c r="G37" s="171">
        <f>+F37/365</f>
        <v>0</v>
      </c>
    </row>
    <row r="38" spans="1:9" ht="12.75">
      <c r="A38" s="155"/>
      <c r="B38" s="162">
        <f>SUM(H38:I38)</f>
        <v>1</v>
      </c>
      <c r="C38" s="167" t="s">
        <v>177</v>
      </c>
      <c r="D38" s="152" t="s">
        <v>158</v>
      </c>
      <c r="E38" s="169">
        <v>57</v>
      </c>
      <c r="F38" s="198">
        <f>E38*B38</f>
        <v>57</v>
      </c>
      <c r="G38" s="199">
        <f>F38/365</f>
        <v>0.15616438356164383</v>
      </c>
      <c r="H38">
        <v>1</v>
      </c>
      <c r="I38">
        <v>0</v>
      </c>
    </row>
    <row r="39" spans="1:7" ht="12.75">
      <c r="A39" s="173"/>
      <c r="B39" s="162">
        <f>SUM(H39:I39)</f>
        <v>0</v>
      </c>
      <c r="C39" s="20" t="s">
        <v>163</v>
      </c>
      <c r="D39" s="20" t="s">
        <v>165</v>
      </c>
      <c r="E39" s="162">
        <v>0</v>
      </c>
      <c r="F39" s="163">
        <f>+B39*E39</f>
        <v>0</v>
      </c>
      <c r="G39" s="164">
        <f>+F39/365</f>
        <v>0</v>
      </c>
    </row>
    <row r="40" spans="1:7" ht="39">
      <c r="A40" s="173"/>
      <c r="B40" s="162">
        <v>0</v>
      </c>
      <c r="C40" s="201" t="s">
        <v>164</v>
      </c>
      <c r="D40" s="20" t="s">
        <v>165</v>
      </c>
      <c r="E40" s="162">
        <v>3</v>
      </c>
      <c r="F40" s="163">
        <f>+B40*E40</f>
        <v>0</v>
      </c>
      <c r="G40" s="164">
        <f>+F40/365</f>
        <v>0</v>
      </c>
    </row>
    <row r="41" spans="1:7" ht="12.75">
      <c r="A41" s="173"/>
      <c r="B41" s="21">
        <v>0</v>
      </c>
      <c r="C41" s="201" t="s">
        <v>177</v>
      </c>
      <c r="D41" s="20" t="s">
        <v>165</v>
      </c>
      <c r="E41" s="21">
        <v>4.4</v>
      </c>
      <c r="F41" s="198">
        <f>E41*B41</f>
        <v>0</v>
      </c>
      <c r="G41" s="199">
        <f>F41/365</f>
        <v>0</v>
      </c>
    </row>
    <row r="42" spans="1:7" ht="12.75">
      <c r="A42" s="173"/>
      <c r="B42" s="21"/>
      <c r="C42" s="27"/>
      <c r="D42" s="27"/>
      <c r="E42" s="21"/>
      <c r="F42" s="202"/>
      <c r="G42" s="175"/>
    </row>
    <row r="43" spans="1:7" ht="12.75">
      <c r="A43" s="150" t="s">
        <v>178</v>
      </c>
      <c r="B43" s="21">
        <v>0</v>
      </c>
      <c r="C43" s="152" t="s">
        <v>160</v>
      </c>
      <c r="D43" s="27" t="s">
        <v>166</v>
      </c>
      <c r="E43" s="21">
        <v>0</v>
      </c>
      <c r="F43" s="163">
        <f>+B43*E43</f>
        <v>0</v>
      </c>
      <c r="G43" s="164">
        <f>+F43/365</f>
        <v>0</v>
      </c>
    </row>
    <row r="44" spans="1:7" ht="12.75">
      <c r="A44" s="155"/>
      <c r="B44" s="21"/>
      <c r="C44" s="27"/>
      <c r="D44" s="27"/>
      <c r="E44" s="21"/>
      <c r="F44" s="163"/>
      <c r="G44" s="175"/>
    </row>
    <row r="45" spans="1:10" ht="12.75">
      <c r="A45" s="176" t="s">
        <v>167</v>
      </c>
      <c r="B45" s="162">
        <f>J45+H45</f>
        <v>2</v>
      </c>
      <c r="C45" s="27"/>
      <c r="D45" s="27"/>
      <c r="E45" s="21">
        <v>1.5</v>
      </c>
      <c r="F45" s="163">
        <f>+B45*E45</f>
        <v>3</v>
      </c>
      <c r="G45" s="164">
        <f>+F45/365</f>
        <v>0.00821917808219178</v>
      </c>
      <c r="H45">
        <f>SUM(H33:H40)*2</f>
        <v>2</v>
      </c>
      <c r="J45">
        <v>0</v>
      </c>
    </row>
    <row r="46" spans="1:7" ht="12.75">
      <c r="A46" s="177"/>
      <c r="B46" s="36"/>
      <c r="C46" s="35"/>
      <c r="D46" s="35"/>
      <c r="E46" s="36"/>
      <c r="F46" s="178"/>
      <c r="G46" s="175"/>
    </row>
    <row r="47" spans="1:7" ht="12.75">
      <c r="A47" s="150" t="s">
        <v>168</v>
      </c>
      <c r="B47" s="162">
        <v>0</v>
      </c>
      <c r="C47" s="172" t="s">
        <v>169</v>
      </c>
      <c r="D47" s="20" t="s">
        <v>166</v>
      </c>
      <c r="E47" s="162">
        <v>80</v>
      </c>
      <c r="F47" s="163">
        <f>+B47*E47</f>
        <v>0</v>
      </c>
      <c r="G47" s="164">
        <f>+F47/365</f>
        <v>0</v>
      </c>
    </row>
    <row r="48" spans="1:7" ht="13.5" thickBot="1">
      <c r="A48" s="155"/>
      <c r="B48" s="36"/>
      <c r="C48" s="35"/>
      <c r="D48" s="35"/>
      <c r="E48" s="36"/>
      <c r="F48" s="178"/>
      <c r="G48" s="175"/>
    </row>
    <row r="49" spans="1:7" ht="14.25" thickBot="1" thickTop="1">
      <c r="A49" s="144" t="s">
        <v>179</v>
      </c>
      <c r="B49" s="183"/>
      <c r="C49" s="184"/>
      <c r="D49" s="184"/>
      <c r="E49" s="183"/>
      <c r="F49" s="189">
        <f>SUM(F28:F47)</f>
        <v>1092</v>
      </c>
      <c r="G49" s="186">
        <f>+F49/365</f>
        <v>2.9917808219178084</v>
      </c>
    </row>
    <row r="50" spans="1:7" ht="14.25" thickBot="1" thickTop="1">
      <c r="A50" s="203"/>
      <c r="B50" s="96"/>
      <c r="C50" s="52"/>
      <c r="D50" s="52"/>
      <c r="E50" s="96"/>
      <c r="F50" s="52"/>
      <c r="G50" s="204"/>
    </row>
    <row r="51" spans="1:7" ht="14.25" thickBot="1" thickTop="1">
      <c r="A51" s="144" t="s">
        <v>180</v>
      </c>
      <c r="B51" s="205"/>
      <c r="C51" s="145"/>
      <c r="D51" s="145"/>
      <c r="E51" s="205"/>
      <c r="F51" s="145"/>
      <c r="G51" s="206">
        <f>G24-G49</f>
        <v>8.795890410958904</v>
      </c>
    </row>
    <row r="52" spans="1:7" ht="13.5" thickTop="1">
      <c r="A52" s="188"/>
      <c r="B52" s="96"/>
      <c r="C52" s="52"/>
      <c r="D52" s="52"/>
      <c r="E52" s="96"/>
      <c r="F52" s="52"/>
      <c r="G52" s="207"/>
    </row>
    <row r="53" spans="2:7" ht="12.75">
      <c r="B53" s="52"/>
      <c r="C53" s="52"/>
      <c r="D53" s="52"/>
      <c r="E53" s="52"/>
      <c r="F53" s="52"/>
      <c r="G53" s="207"/>
    </row>
  </sheetData>
  <sheetProtection/>
  <printOptions horizontalCentered="1"/>
  <pageMargins left="0.75" right="0.75" top="1.31" bottom="0.75" header="0.5" footer="0.5"/>
  <pageSetup fitToHeight="1" fitToWidth="1" horizontalDpi="300" verticalDpi="300" orientation="portrait" scale="78" r:id="rId1"/>
  <headerFooter alignWithMargins="0">
    <oddHeader>&amp;L
&amp;C&amp;"Arial,Bold"&amp;12Tosco Refining Company&amp;"Arial,Regular"
&amp;"Arial,Bold"CARB Phase 3 Project
 Butane Unloading
Fugitive ROG Emission Estimate &amp;R
</oddHeader>
    <oddFooter>&amp;L&amp;F&amp;R9/8/00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E84"/>
  <sheetViews>
    <sheetView zoomScalePageLayoutView="0" workbookViewId="0" topLeftCell="A57">
      <selection activeCell="A25" sqref="A25"/>
    </sheetView>
  </sheetViews>
  <sheetFormatPr defaultColWidth="9.140625" defaultRowHeight="12.75"/>
  <cols>
    <col min="1" max="3" width="15.7109375" style="0" customWidth="1"/>
  </cols>
  <sheetData>
    <row r="3" spans="1:5" ht="12.75">
      <c r="A3" s="340" t="s">
        <v>188</v>
      </c>
      <c r="B3" s="340"/>
      <c r="C3" s="340"/>
      <c r="D3" s="340"/>
      <c r="E3" s="340"/>
    </row>
    <row r="4" spans="1:5" ht="12.75">
      <c r="A4" s="85"/>
      <c r="B4" s="85"/>
      <c r="C4" s="85"/>
      <c r="D4" s="85"/>
      <c r="E4" s="85"/>
    </row>
    <row r="5" spans="1:5" ht="12.75">
      <c r="A5" s="208" t="s">
        <v>189</v>
      </c>
      <c r="B5" s="85">
        <v>5</v>
      </c>
      <c r="C5" s="85"/>
      <c r="D5" s="85"/>
      <c r="E5" s="85"/>
    </row>
    <row r="6" spans="1:5" ht="12.75">
      <c r="A6" s="208" t="s">
        <v>190</v>
      </c>
      <c r="B6" s="85">
        <v>24</v>
      </c>
      <c r="C6" s="85"/>
      <c r="D6" s="85"/>
      <c r="E6" s="85"/>
    </row>
    <row r="7" spans="1:5" ht="15">
      <c r="A7" s="208" t="s">
        <v>240</v>
      </c>
      <c r="B7" s="85">
        <v>1454</v>
      </c>
      <c r="C7" s="85"/>
      <c r="D7" s="85"/>
      <c r="E7" s="85"/>
    </row>
    <row r="8" spans="1:5" ht="15">
      <c r="A8" s="208" t="s">
        <v>241</v>
      </c>
      <c r="B8" s="209">
        <f>+B5*B6/B7</f>
        <v>0.08253094910591471</v>
      </c>
      <c r="C8" s="85"/>
      <c r="D8" s="85"/>
      <c r="E8" s="85"/>
    </row>
    <row r="9" ht="13.5" thickBot="1"/>
    <row r="10" spans="1:3" ht="27" thickBot="1" thickTop="1">
      <c r="A10" s="210" t="s">
        <v>191</v>
      </c>
      <c r="B10" s="211" t="s">
        <v>192</v>
      </c>
      <c r="C10" s="211" t="s">
        <v>193</v>
      </c>
    </row>
    <row r="11" spans="1:3" ht="13.5" thickTop="1">
      <c r="A11" s="212" t="s">
        <v>8</v>
      </c>
      <c r="B11" s="212">
        <v>84</v>
      </c>
      <c r="C11" s="213">
        <f>+B8*B11</f>
        <v>6.932599724896836</v>
      </c>
    </row>
    <row r="12" spans="1:3" ht="12.75">
      <c r="A12" s="35" t="s">
        <v>9</v>
      </c>
      <c r="B12" s="35">
        <v>11</v>
      </c>
      <c r="C12" s="214">
        <f>+B8*B12</f>
        <v>0.9078404401650618</v>
      </c>
    </row>
    <row r="13" spans="1:3" ht="12.75">
      <c r="A13" s="35" t="s">
        <v>194</v>
      </c>
      <c r="B13" s="35">
        <v>0.103</v>
      </c>
      <c r="C13" s="214">
        <f>+B5*B13*B6</f>
        <v>12.36</v>
      </c>
    </row>
    <row r="14" spans="1:3" ht="12.75">
      <c r="A14" s="35" t="s">
        <v>195</v>
      </c>
      <c r="B14" s="35">
        <v>0.008</v>
      </c>
      <c r="C14" s="214">
        <f>+B5*B14*B6</f>
        <v>0.96</v>
      </c>
    </row>
    <row r="15" spans="1:3" ht="12.75">
      <c r="A15" s="27" t="s">
        <v>12</v>
      </c>
      <c r="B15" s="27">
        <v>7.5</v>
      </c>
      <c r="C15" s="132">
        <f>+B8*B15</f>
        <v>0.6189821182943603</v>
      </c>
    </row>
    <row r="16" ht="12.75">
      <c r="A16" t="s">
        <v>242</v>
      </c>
    </row>
    <row r="19" spans="1:5" ht="12.75">
      <c r="A19" s="340" t="s">
        <v>196</v>
      </c>
      <c r="B19" s="340"/>
      <c r="C19" s="340"/>
      <c r="D19" s="340"/>
      <c r="E19" s="340"/>
    </row>
    <row r="20" spans="1:5" ht="12.75">
      <c r="A20" s="85"/>
      <c r="B20" s="85"/>
      <c r="C20" s="85"/>
      <c r="D20" s="85"/>
      <c r="E20" s="85"/>
    </row>
    <row r="21" spans="1:5" ht="12.75">
      <c r="A21" s="208" t="s">
        <v>189</v>
      </c>
      <c r="B21" s="85">
        <v>10</v>
      </c>
      <c r="C21" s="85"/>
      <c r="D21" s="85"/>
      <c r="E21" s="85"/>
    </row>
    <row r="22" spans="1:5" ht="12.75">
      <c r="A22" s="208" t="s">
        <v>190</v>
      </c>
      <c r="B22" s="85">
        <v>24</v>
      </c>
      <c r="C22" s="85"/>
      <c r="D22" s="85"/>
      <c r="E22" s="85"/>
    </row>
    <row r="23" spans="1:5" ht="15">
      <c r="A23" s="208" t="s">
        <v>240</v>
      </c>
      <c r="B23" s="85">
        <v>1454</v>
      </c>
      <c r="C23" s="85"/>
      <c r="D23" s="85"/>
      <c r="E23" s="85"/>
    </row>
    <row r="24" spans="1:5" ht="15">
      <c r="A24" s="208" t="s">
        <v>241</v>
      </c>
      <c r="B24" s="209">
        <f>+B21*B22/B23</f>
        <v>0.16506189821182943</v>
      </c>
      <c r="C24" s="85"/>
      <c r="D24" s="85"/>
      <c r="E24" s="85"/>
    </row>
    <row r="25" ht="13.5" thickBot="1"/>
    <row r="26" spans="1:3" ht="27" thickBot="1" thickTop="1">
      <c r="A26" s="210" t="s">
        <v>191</v>
      </c>
      <c r="B26" s="211" t="s">
        <v>192</v>
      </c>
      <c r="C26" s="211" t="s">
        <v>193</v>
      </c>
    </row>
    <row r="27" spans="1:3" ht="13.5" thickTop="1">
      <c r="A27" s="212" t="s">
        <v>8</v>
      </c>
      <c r="B27" s="212">
        <v>84</v>
      </c>
      <c r="C27" s="213">
        <f>+B24*B27</f>
        <v>13.865199449793671</v>
      </c>
    </row>
    <row r="28" spans="1:3" ht="12.75">
      <c r="A28" s="35" t="s">
        <v>9</v>
      </c>
      <c r="B28" s="35">
        <v>11</v>
      </c>
      <c r="C28" s="214">
        <f>+B24*B28</f>
        <v>1.8156808803301236</v>
      </c>
    </row>
    <row r="29" spans="1:3" ht="12.75">
      <c r="A29" s="35" t="s">
        <v>194</v>
      </c>
      <c r="B29" s="35">
        <v>0.103</v>
      </c>
      <c r="C29" s="214">
        <f>+B21*B29*B22</f>
        <v>24.72</v>
      </c>
    </row>
    <row r="30" spans="1:3" ht="12.75">
      <c r="A30" s="35" t="s">
        <v>195</v>
      </c>
      <c r="B30" s="35">
        <v>0.008</v>
      </c>
      <c r="C30" s="214">
        <f>+B21*B30*B22</f>
        <v>1.92</v>
      </c>
    </row>
    <row r="31" spans="1:3" ht="12.75">
      <c r="A31" s="27" t="s">
        <v>12</v>
      </c>
      <c r="B31" s="27">
        <v>7.5</v>
      </c>
      <c r="C31" s="132">
        <f>+B24*B31</f>
        <v>1.2379642365887207</v>
      </c>
    </row>
    <row r="32" spans="1:3" ht="12.75">
      <c r="A32" t="s">
        <v>242</v>
      </c>
      <c r="B32" s="52"/>
      <c r="C32" s="207"/>
    </row>
    <row r="34" spans="1:5" ht="12.75">
      <c r="A34" s="340" t="s">
        <v>197</v>
      </c>
      <c r="B34" s="340"/>
      <c r="C34" s="340"/>
      <c r="D34" s="340"/>
      <c r="E34" s="340"/>
    </row>
    <row r="35" spans="1:5" ht="12.75">
      <c r="A35" s="85"/>
      <c r="B35" s="85"/>
      <c r="C35" s="85"/>
      <c r="D35" s="85"/>
      <c r="E35" s="85"/>
    </row>
    <row r="36" spans="1:5" ht="12.75">
      <c r="A36" s="208" t="s">
        <v>189</v>
      </c>
      <c r="B36" s="85">
        <v>1</v>
      </c>
      <c r="C36" s="85"/>
      <c r="D36" s="85"/>
      <c r="E36" s="85"/>
    </row>
    <row r="37" spans="1:5" ht="12.75">
      <c r="A37" s="208" t="s">
        <v>190</v>
      </c>
      <c r="B37" s="85">
        <v>24</v>
      </c>
      <c r="C37" s="85"/>
      <c r="D37" s="85"/>
      <c r="E37" s="85"/>
    </row>
    <row r="38" spans="1:5" ht="15">
      <c r="A38" s="208" t="s">
        <v>240</v>
      </c>
      <c r="B38" s="85">
        <v>1454</v>
      </c>
      <c r="C38" s="85"/>
      <c r="D38" s="85"/>
      <c r="E38" s="85"/>
    </row>
    <row r="39" spans="1:5" ht="15">
      <c r="A39" s="208" t="s">
        <v>241</v>
      </c>
      <c r="B39" s="209">
        <f>+B36*B37/B38</f>
        <v>0.016506189821182942</v>
      </c>
      <c r="C39" s="85"/>
      <c r="D39" s="85"/>
      <c r="E39" s="85"/>
    </row>
    <row r="40" ht="13.5" thickBot="1"/>
    <row r="41" spans="1:3" ht="27" thickBot="1" thickTop="1">
      <c r="A41" s="210" t="s">
        <v>191</v>
      </c>
      <c r="B41" s="211" t="s">
        <v>192</v>
      </c>
      <c r="C41" s="211" t="s">
        <v>193</v>
      </c>
    </row>
    <row r="42" spans="1:3" ht="13.5" thickTop="1">
      <c r="A42" s="212" t="s">
        <v>8</v>
      </c>
      <c r="B42" s="212">
        <v>84</v>
      </c>
      <c r="C42" s="213">
        <f>+B39*B42</f>
        <v>1.386519944979367</v>
      </c>
    </row>
    <row r="43" spans="1:3" ht="12.75">
      <c r="A43" s="35" t="s">
        <v>9</v>
      </c>
      <c r="B43" s="35">
        <v>11</v>
      </c>
      <c r="C43" s="214">
        <f>+B39*B43</f>
        <v>0.18156808803301236</v>
      </c>
    </row>
    <row r="44" spans="1:3" ht="12.75">
      <c r="A44" s="35" t="s">
        <v>194</v>
      </c>
      <c r="B44" s="35">
        <v>0.074</v>
      </c>
      <c r="C44" s="214">
        <f>+B36*B44*B37</f>
        <v>1.7759999999999998</v>
      </c>
    </row>
    <row r="45" spans="1:3" ht="12.75">
      <c r="A45" s="35" t="s">
        <v>195</v>
      </c>
      <c r="B45" s="35">
        <v>0.025</v>
      </c>
      <c r="C45" s="214">
        <f>+B36*B45*B37</f>
        <v>0.6000000000000001</v>
      </c>
    </row>
    <row r="46" spans="1:3" ht="12.75">
      <c r="A46" s="35" t="s">
        <v>198</v>
      </c>
      <c r="B46" s="35"/>
      <c r="C46" s="214">
        <v>1.29</v>
      </c>
    </row>
    <row r="47" spans="1:3" ht="12.75">
      <c r="A47" s="27" t="s">
        <v>12</v>
      </c>
      <c r="B47" s="27">
        <v>7.5</v>
      </c>
      <c r="C47" s="132">
        <f>+B39*B47</f>
        <v>0.12379642365887207</v>
      </c>
    </row>
    <row r="48" spans="1:3" ht="12.75">
      <c r="A48" t="s">
        <v>242</v>
      </c>
      <c r="B48" s="52"/>
      <c r="C48" s="207"/>
    </row>
    <row r="49" spans="1:3" ht="12.75">
      <c r="A49" t="s">
        <v>243</v>
      </c>
      <c r="B49" s="52"/>
      <c r="C49" s="207"/>
    </row>
    <row r="52" spans="1:5" ht="12.75">
      <c r="A52" s="340" t="s">
        <v>199</v>
      </c>
      <c r="B52" s="340"/>
      <c r="C52" s="340"/>
      <c r="D52" s="340"/>
      <c r="E52" s="340"/>
    </row>
    <row r="53" spans="1:5" ht="12.75">
      <c r="A53" s="85"/>
      <c r="B53" s="85"/>
      <c r="C53" s="85"/>
      <c r="D53" s="85"/>
      <c r="E53" s="85"/>
    </row>
    <row r="54" spans="1:5" ht="12.75">
      <c r="A54" s="208" t="s">
        <v>189</v>
      </c>
      <c r="B54" s="85">
        <v>64</v>
      </c>
      <c r="C54" s="85"/>
      <c r="D54" s="85"/>
      <c r="E54" s="85"/>
    </row>
    <row r="55" spans="1:5" ht="12.75">
      <c r="A55" s="208" t="s">
        <v>190</v>
      </c>
      <c r="B55" s="85">
        <v>24</v>
      </c>
      <c r="C55" s="85"/>
      <c r="D55" s="85"/>
      <c r="E55" s="85"/>
    </row>
    <row r="56" spans="1:5" ht="15">
      <c r="A56" s="208" t="s">
        <v>240</v>
      </c>
      <c r="B56" s="85">
        <v>1454</v>
      </c>
      <c r="C56" s="85"/>
      <c r="D56" s="85"/>
      <c r="E56" s="85"/>
    </row>
    <row r="57" spans="1:5" ht="15">
      <c r="A57" s="208" t="s">
        <v>241</v>
      </c>
      <c r="B57" s="209">
        <f>+B54*B55/B56</f>
        <v>1.0563961485557083</v>
      </c>
      <c r="C57" s="85"/>
      <c r="D57" s="85"/>
      <c r="E57" s="85"/>
    </row>
    <row r="58" ht="13.5" thickBot="1"/>
    <row r="59" spans="1:3" ht="27" thickBot="1" thickTop="1">
      <c r="A59" s="210" t="s">
        <v>191</v>
      </c>
      <c r="B59" s="211" t="s">
        <v>192</v>
      </c>
      <c r="C59" s="211" t="s">
        <v>193</v>
      </c>
    </row>
    <row r="60" spans="1:3" ht="13.5" thickTop="1">
      <c r="A60" s="212" t="s">
        <v>8</v>
      </c>
      <c r="B60" s="212">
        <v>84</v>
      </c>
      <c r="C60" s="213">
        <f>+B57*B60</f>
        <v>88.73727647867949</v>
      </c>
    </row>
    <row r="61" spans="1:3" ht="12.75">
      <c r="A61" s="35" t="s">
        <v>9</v>
      </c>
      <c r="B61" s="35">
        <v>11</v>
      </c>
      <c r="C61" s="214">
        <f>+B57*B61</f>
        <v>11.620357634112791</v>
      </c>
    </row>
    <row r="62" spans="1:3" ht="12.75">
      <c r="A62" s="35" t="s">
        <v>10</v>
      </c>
      <c r="B62" s="35">
        <v>0.203</v>
      </c>
      <c r="C62" s="214">
        <f>+B54*B62*B55</f>
        <v>311.808</v>
      </c>
    </row>
    <row r="63" spans="1:3" ht="12.75">
      <c r="A63" s="35" t="s">
        <v>11</v>
      </c>
      <c r="B63" s="35">
        <v>0.01</v>
      </c>
      <c r="C63" s="214">
        <f>+B54*B63*B55</f>
        <v>15.36</v>
      </c>
    </row>
    <row r="64" spans="1:3" ht="12.75">
      <c r="A64" s="27" t="s">
        <v>12</v>
      </c>
      <c r="B64" s="27">
        <v>7.5</v>
      </c>
      <c r="C64" s="132">
        <f>+B57*B64</f>
        <v>7.9229711141678125</v>
      </c>
    </row>
    <row r="65" ht="12.75">
      <c r="A65" t="s">
        <v>242</v>
      </c>
    </row>
    <row r="67" spans="1:5" ht="12.75">
      <c r="A67" s="340" t="s">
        <v>200</v>
      </c>
      <c r="B67" s="340"/>
      <c r="C67" s="340"/>
      <c r="D67" s="340"/>
      <c r="E67" s="340"/>
    </row>
    <row r="68" spans="1:5" ht="12.75">
      <c r="A68" s="85"/>
      <c r="B68" s="85"/>
      <c r="C68" s="85"/>
      <c r="D68" s="85"/>
      <c r="E68" s="85"/>
    </row>
    <row r="69" ht="13.5" thickBot="1"/>
    <row r="70" spans="1:3" ht="27" thickBot="1" thickTop="1">
      <c r="A70" s="210" t="s">
        <v>191</v>
      </c>
      <c r="B70" s="211" t="s">
        <v>201</v>
      </c>
      <c r="C70" s="215" t="s">
        <v>5</v>
      </c>
    </row>
    <row r="71" spans="1:3" ht="13.5" thickTop="1">
      <c r="A71" s="212" t="s">
        <v>8</v>
      </c>
      <c r="B71" s="213">
        <f>+C11+C27+C42+C60</f>
        <v>110.92159559834937</v>
      </c>
      <c r="C71" s="207" t="s">
        <v>5</v>
      </c>
    </row>
    <row r="72" spans="1:3" ht="12.75">
      <c r="A72" s="35" t="s">
        <v>9</v>
      </c>
      <c r="B72" s="214">
        <f>+C12+C28+C43+C61</f>
        <v>14.52544704264099</v>
      </c>
      <c r="C72" s="207" t="s">
        <v>5</v>
      </c>
    </row>
    <row r="73" spans="1:3" ht="12.75">
      <c r="A73" s="35" t="s">
        <v>10</v>
      </c>
      <c r="B73" s="214">
        <f>+C13+C29+C44+C62</f>
        <v>350.664</v>
      </c>
      <c r="C73" s="207" t="s">
        <v>5</v>
      </c>
    </row>
    <row r="74" spans="1:3" ht="12.75">
      <c r="A74" s="35" t="s">
        <v>11</v>
      </c>
      <c r="B74" s="214">
        <f>+C14+C30+C45+C46+C63</f>
        <v>20.13</v>
      </c>
      <c r="C74" s="207" t="s">
        <v>5</v>
      </c>
    </row>
    <row r="75" spans="1:3" ht="12.75">
      <c r="A75" s="27" t="s">
        <v>12</v>
      </c>
      <c r="B75" s="132">
        <f>+C15+C31+C47+C64</f>
        <v>9.903713892709765</v>
      </c>
      <c r="C75" s="207" t="s">
        <v>5</v>
      </c>
    </row>
    <row r="76" spans="1:3" ht="12.75">
      <c r="A76" s="52"/>
      <c r="B76" s="207"/>
      <c r="C76" s="207"/>
    </row>
    <row r="77" spans="1:3" ht="12.75">
      <c r="A77" s="216" t="s">
        <v>202</v>
      </c>
      <c r="B77" s="207"/>
      <c r="C77" s="207"/>
    </row>
    <row r="78" spans="1:3" ht="12.75">
      <c r="A78" s="216" t="s">
        <v>203</v>
      </c>
      <c r="B78" s="207"/>
      <c r="C78" s="207"/>
    </row>
    <row r="79" spans="1:3" ht="12.75">
      <c r="A79" s="216" t="s">
        <v>204</v>
      </c>
      <c r="B79" s="207"/>
      <c r="C79" s="207"/>
    </row>
    <row r="80" ht="12.75">
      <c r="A80" s="50" t="s">
        <v>205</v>
      </c>
    </row>
    <row r="81" ht="12.75">
      <c r="A81" s="50" t="s">
        <v>206</v>
      </c>
    </row>
    <row r="82" ht="12.75">
      <c r="A82" s="50"/>
    </row>
    <row r="83" ht="12.75">
      <c r="A83" s="50"/>
    </row>
    <row r="84" ht="12.75">
      <c r="A84" s="50" t="s">
        <v>207</v>
      </c>
    </row>
  </sheetData>
  <sheetProtection/>
  <mergeCells count="5">
    <mergeCell ref="A19:E19"/>
    <mergeCell ref="A67:E67"/>
    <mergeCell ref="A3:E3"/>
    <mergeCell ref="A34:E34"/>
    <mergeCell ref="A52:E52"/>
  </mergeCells>
  <printOptions/>
  <pageMargins left="1.78" right="0.75" top="1" bottom="1" header="0.5" footer="0.5"/>
  <pageSetup horizontalDpi="600" verticalDpi="600" orientation="portrait" scale="92" r:id="rId1"/>
  <headerFooter alignWithMargins="0">
    <oddHeader>&amp;C&amp;"Arial,Bold"&amp;12COMBUSTION EMISSIONS ASSOCIATED WITH INCREMENTAL INCREASES 
IN HEATER/BOILER FIRING RATES
</oddHeader>
  </headerFooter>
  <rowBreaks count="1" manualBreakCount="1">
    <brk id="4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3:I28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5.7109375" style="0" customWidth="1"/>
    <col min="2" max="7" width="14.7109375" style="0" customWidth="1"/>
  </cols>
  <sheetData>
    <row r="2" ht="13.5" thickBot="1"/>
    <row r="3" spans="1:9" ht="15.75" thickBot="1">
      <c r="A3" s="342" t="s">
        <v>208</v>
      </c>
      <c r="B3" s="341" t="s">
        <v>244</v>
      </c>
      <c r="C3" s="341"/>
      <c r="D3" s="341" t="s">
        <v>245</v>
      </c>
      <c r="E3" s="341"/>
      <c r="F3" s="341" t="s">
        <v>246</v>
      </c>
      <c r="G3" s="341"/>
      <c r="I3" t="s">
        <v>5</v>
      </c>
    </row>
    <row r="4" spans="1:9" ht="15" customHeight="1" thickBot="1">
      <c r="A4" s="321"/>
      <c r="B4" s="217" t="s">
        <v>209</v>
      </c>
      <c r="C4" s="217" t="s">
        <v>210</v>
      </c>
      <c r="D4" s="217" t="s">
        <v>209</v>
      </c>
      <c r="E4" s="217" t="s">
        <v>210</v>
      </c>
      <c r="F4" s="217" t="s">
        <v>209</v>
      </c>
      <c r="G4" s="217" t="s">
        <v>210</v>
      </c>
      <c r="H4" s="218"/>
      <c r="I4" s="52" t="s">
        <v>5</v>
      </c>
    </row>
    <row r="5" spans="1:9" ht="12.75">
      <c r="A5" s="219" t="s">
        <v>211</v>
      </c>
      <c r="B5" s="220">
        <v>5.4</v>
      </c>
      <c r="C5" s="221">
        <f>+B5*2000/365</f>
        <v>29.589041095890412</v>
      </c>
      <c r="D5" s="220">
        <f>+F5-B5</f>
        <v>1.7999999999999998</v>
      </c>
      <c r="E5" s="221">
        <f>+G5-C5</f>
        <v>9.863013698630137</v>
      </c>
      <c r="F5" s="220">
        <v>7.2</v>
      </c>
      <c r="G5" s="221">
        <f>+F5*2000/365</f>
        <v>39.45205479452055</v>
      </c>
      <c r="I5" s="52" t="s">
        <v>5</v>
      </c>
    </row>
    <row r="6" spans="1:7" ht="12.75">
      <c r="A6" s="222" t="s">
        <v>212</v>
      </c>
      <c r="B6" s="20">
        <v>319.6</v>
      </c>
      <c r="C6" s="223">
        <f>+B6*2000/365</f>
        <v>1751.2328767123288</v>
      </c>
      <c r="D6" s="20">
        <f>+F6-B6</f>
        <v>66.69999999999999</v>
      </c>
      <c r="E6" s="223">
        <f>+G6-C6</f>
        <v>365.4794520547946</v>
      </c>
      <c r="F6" s="20">
        <v>386.3</v>
      </c>
      <c r="G6" s="223">
        <f>+F6*2000/365</f>
        <v>2116.7123287671234</v>
      </c>
    </row>
    <row r="7" spans="1:7" ht="13.5" thickBot="1">
      <c r="A7" s="224" t="s">
        <v>213</v>
      </c>
      <c r="B7" s="31">
        <f aca="true" t="shared" si="0" ref="B7:G7">+B5+B6</f>
        <v>325</v>
      </c>
      <c r="C7" s="225">
        <f t="shared" si="0"/>
        <v>1780.8219178082193</v>
      </c>
      <c r="D7" s="31">
        <f t="shared" si="0"/>
        <v>68.49999999999999</v>
      </c>
      <c r="E7" s="225">
        <f t="shared" si="0"/>
        <v>375.34246575342473</v>
      </c>
      <c r="F7" s="31">
        <f t="shared" si="0"/>
        <v>393.5</v>
      </c>
      <c r="G7" s="225">
        <f t="shared" si="0"/>
        <v>2156.1643835616437</v>
      </c>
    </row>
    <row r="8" spans="1:4" ht="13.5" thickBot="1">
      <c r="A8" s="226"/>
      <c r="B8" s="52"/>
      <c r="C8" s="52"/>
      <c r="D8" s="52"/>
    </row>
    <row r="9" spans="1:7" ht="13.5" thickBot="1">
      <c r="A9" s="342" t="s">
        <v>208</v>
      </c>
      <c r="B9" s="341" t="s">
        <v>214</v>
      </c>
      <c r="C9" s="341"/>
      <c r="D9" s="341" t="s">
        <v>215</v>
      </c>
      <c r="E9" s="341"/>
      <c r="F9" s="341" t="s">
        <v>216</v>
      </c>
      <c r="G9" s="341"/>
    </row>
    <row r="10" spans="1:7" ht="13.5" thickBot="1">
      <c r="A10" s="321"/>
      <c r="B10" s="217" t="s">
        <v>209</v>
      </c>
      <c r="C10" s="217" t="s">
        <v>210</v>
      </c>
      <c r="D10" s="217" t="s">
        <v>209</v>
      </c>
      <c r="E10" s="217" t="s">
        <v>210</v>
      </c>
      <c r="F10" s="217" t="s">
        <v>209</v>
      </c>
      <c r="G10" s="217" t="s">
        <v>210</v>
      </c>
    </row>
    <row r="11" spans="1:7" ht="12.75">
      <c r="A11" s="219" t="s">
        <v>211</v>
      </c>
      <c r="B11" s="220">
        <v>3.6</v>
      </c>
      <c r="C11" s="221">
        <f>+B11*2000/365</f>
        <v>19.726027397260275</v>
      </c>
      <c r="D11" s="220">
        <f aca="true" t="shared" si="1" ref="D11:E13">+F11-B11</f>
        <v>1.4999999999999996</v>
      </c>
      <c r="E11" s="221">
        <f t="shared" si="1"/>
        <v>8.219178082191782</v>
      </c>
      <c r="F11" s="220">
        <v>5.1</v>
      </c>
      <c r="G11" s="221">
        <f>+F11*2000/365</f>
        <v>27.945205479452056</v>
      </c>
    </row>
    <row r="12" spans="1:7" ht="12.75">
      <c r="A12" s="222" t="s">
        <v>212</v>
      </c>
      <c r="B12" s="20">
        <v>11.3</v>
      </c>
      <c r="C12" s="223">
        <f>+B12*2000/365</f>
        <v>61.917808219178085</v>
      </c>
      <c r="D12" s="20">
        <f t="shared" si="1"/>
        <v>7</v>
      </c>
      <c r="E12" s="223">
        <f t="shared" si="1"/>
        <v>38.35616438356165</v>
      </c>
      <c r="F12" s="20">
        <v>18.3</v>
      </c>
      <c r="G12" s="223">
        <f>+F12*2000/365</f>
        <v>100.27397260273973</v>
      </c>
    </row>
    <row r="13" spans="1:7" ht="13.5" thickBot="1">
      <c r="A13" s="227" t="s">
        <v>213</v>
      </c>
      <c r="B13" s="31">
        <f aca="true" t="shared" si="2" ref="B13:G13">+B11+B12</f>
        <v>14.9</v>
      </c>
      <c r="C13" s="225">
        <f t="shared" si="2"/>
        <v>81.64383561643837</v>
      </c>
      <c r="D13" s="31">
        <f t="shared" si="1"/>
        <v>8.499999999999998</v>
      </c>
      <c r="E13" s="225">
        <f t="shared" si="1"/>
        <v>46.57534246575341</v>
      </c>
      <c r="F13" s="225">
        <f t="shared" si="2"/>
        <v>23.4</v>
      </c>
      <c r="G13" s="225">
        <f t="shared" si="2"/>
        <v>128.21917808219177</v>
      </c>
    </row>
    <row r="14" ht="13.5" thickBot="1"/>
    <row r="15" spans="1:5" ht="29.25" thickTop="1">
      <c r="A15" s="228" t="s">
        <v>217</v>
      </c>
      <c r="B15" s="229" t="s">
        <v>218</v>
      </c>
      <c r="C15" s="229" t="s">
        <v>247</v>
      </c>
      <c r="D15" s="229" t="s">
        <v>219</v>
      </c>
      <c r="E15" s="230" t="s">
        <v>220</v>
      </c>
    </row>
    <row r="16" spans="1:5" ht="12.75">
      <c r="A16" s="231" t="s">
        <v>221</v>
      </c>
      <c r="B16" s="223">
        <v>129575</v>
      </c>
      <c r="C16" s="232">
        <v>0.25</v>
      </c>
      <c r="D16" s="232">
        <f>+B16*C16</f>
        <v>32393.75</v>
      </c>
      <c r="E16" s="233">
        <f>+D16/365</f>
        <v>88.75</v>
      </c>
    </row>
    <row r="17" spans="1:5" ht="12.75">
      <c r="A17" s="231"/>
      <c r="B17" s="223" t="s">
        <v>222</v>
      </c>
      <c r="C17" s="132"/>
      <c r="D17" s="132"/>
      <c r="E17" s="234"/>
    </row>
    <row r="18" spans="1:5" ht="42">
      <c r="A18" s="235" t="s">
        <v>248</v>
      </c>
      <c r="B18" s="223"/>
      <c r="C18" s="214"/>
      <c r="D18" s="214"/>
      <c r="E18" s="236"/>
    </row>
    <row r="19" spans="1:5" ht="12.75">
      <c r="A19" s="231" t="s">
        <v>223</v>
      </c>
      <c r="B19" s="223">
        <v>16425</v>
      </c>
      <c r="C19" s="214">
        <v>0.25</v>
      </c>
      <c r="D19" s="214">
        <f>+B19*C19</f>
        <v>4106.25</v>
      </c>
      <c r="E19" s="236">
        <f>+D19/365</f>
        <v>11.25</v>
      </c>
    </row>
    <row r="20" spans="1:5" ht="13.5" thickBot="1">
      <c r="A20" s="237" t="s">
        <v>5</v>
      </c>
      <c r="B20" s="238" t="s">
        <v>224</v>
      </c>
      <c r="C20" s="239" t="s">
        <v>5</v>
      </c>
      <c r="D20" s="239" t="s">
        <v>5</v>
      </c>
      <c r="E20" s="240" t="s">
        <v>5</v>
      </c>
    </row>
    <row r="21" ht="13.5" thickTop="1"/>
    <row r="22" ht="12.75">
      <c r="A22" s="50" t="s">
        <v>225</v>
      </c>
    </row>
    <row r="23" ht="12.75">
      <c r="A23" s="50" t="s">
        <v>226</v>
      </c>
    </row>
    <row r="24" ht="12.75">
      <c r="A24" s="50" t="s">
        <v>227</v>
      </c>
    </row>
    <row r="28" ht="12.75">
      <c r="A28" s="50" t="s">
        <v>228</v>
      </c>
    </row>
  </sheetData>
  <sheetProtection/>
  <mergeCells count="8">
    <mergeCell ref="F3:G3"/>
    <mergeCell ref="B9:C9"/>
    <mergeCell ref="D9:E9"/>
    <mergeCell ref="F9:G9"/>
    <mergeCell ref="A3:A4"/>
    <mergeCell ref="A9:A10"/>
    <mergeCell ref="B3:C3"/>
    <mergeCell ref="D3:E3"/>
  </mergeCells>
  <printOptions/>
  <pageMargins left="0.75" right="0.75" top="1" bottom="1" header="0.5" footer="0.5"/>
  <pageSetup horizontalDpi="600" verticalDpi="600" orientation="landscape" r:id="rId1"/>
  <headerFooter alignWithMargins="0">
    <oddHeader>&amp;C&amp;"Arial,Bold"
&amp;12EMISSION CALCULATIONS
ACID PLANT (UNIT 141) MODIFICATIONS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4:E16"/>
  <sheetViews>
    <sheetView zoomScalePageLayoutView="0" workbookViewId="0" topLeftCell="A1">
      <selection activeCell="A25" sqref="A25"/>
    </sheetView>
  </sheetViews>
  <sheetFormatPr defaultColWidth="9.140625" defaultRowHeight="12.75"/>
  <cols>
    <col min="2" max="2" width="11.7109375" style="0" customWidth="1"/>
    <col min="4" max="4" width="11.7109375" style="0" customWidth="1"/>
    <col min="5" max="5" width="15.421875" style="0" customWidth="1"/>
  </cols>
  <sheetData>
    <row r="3" ht="13.5" thickBot="1"/>
    <row r="4" spans="1:5" ht="54.75" customHeight="1" thickBot="1" thickTop="1">
      <c r="A4" s="241" t="s">
        <v>229</v>
      </c>
      <c r="B4" s="211" t="s">
        <v>230</v>
      </c>
      <c r="C4" s="241" t="s">
        <v>191</v>
      </c>
      <c r="D4" s="211" t="s">
        <v>231</v>
      </c>
      <c r="E4" s="211" t="s">
        <v>232</v>
      </c>
    </row>
    <row r="5" spans="1:5" ht="13.5" thickTop="1">
      <c r="A5" s="212" t="s">
        <v>233</v>
      </c>
      <c r="B5" s="212">
        <v>0.004167</v>
      </c>
      <c r="C5" s="212" t="s">
        <v>9</v>
      </c>
      <c r="D5" s="212">
        <v>0.003</v>
      </c>
      <c r="E5" s="212">
        <v>0.04</v>
      </c>
    </row>
    <row r="6" spans="1:5" ht="12.75">
      <c r="A6" s="35" t="s">
        <v>234</v>
      </c>
      <c r="B6" s="35"/>
      <c r="C6" s="35" t="s">
        <v>10</v>
      </c>
      <c r="D6" s="35">
        <v>0.13</v>
      </c>
      <c r="E6" s="35">
        <v>1.77</v>
      </c>
    </row>
    <row r="7" spans="1:5" ht="12.75">
      <c r="A7" s="35" t="s">
        <v>235</v>
      </c>
      <c r="B7" s="35"/>
      <c r="C7" s="35" t="s">
        <v>8</v>
      </c>
      <c r="D7" s="35">
        <v>0.032</v>
      </c>
      <c r="E7" s="35">
        <v>0.43</v>
      </c>
    </row>
    <row r="8" spans="1:5" ht="12.75">
      <c r="A8" s="35"/>
      <c r="B8" s="35"/>
      <c r="C8" s="35" t="s">
        <v>12</v>
      </c>
      <c r="D8" s="35">
        <v>0.0014</v>
      </c>
      <c r="E8" s="35">
        <v>0.02</v>
      </c>
    </row>
    <row r="9" spans="1:5" ht="12.75">
      <c r="A9" s="27"/>
      <c r="B9" s="27"/>
      <c r="C9" s="27" t="s">
        <v>11</v>
      </c>
      <c r="D9" s="27">
        <v>0.047</v>
      </c>
      <c r="E9" s="27">
        <v>0.64</v>
      </c>
    </row>
    <row r="16" spans="1:2" ht="12.75">
      <c r="A16" s="50" t="s">
        <v>207</v>
      </c>
      <c r="B16" s="50"/>
    </row>
  </sheetData>
  <sheetProtection/>
  <printOptions/>
  <pageMargins left="1.88" right="0.75" top="1" bottom="1" header="0.5" footer="0.5"/>
  <pageSetup horizontalDpi="600" verticalDpi="600" orientation="portrait" r:id="rId1"/>
  <headerFooter alignWithMargins="0">
    <oddHeader>&amp;C&amp;"Arial,Bold"&amp;12TOSCO REFINING COMPANY
CARB PHASE 3 PROJECT 
FLARE EMISSIONS ESTIMATE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B8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33.7109375" style="0" customWidth="1"/>
  </cols>
  <sheetData>
    <row r="3" spans="1:2" ht="12.75">
      <c r="A3" s="20" t="s">
        <v>236</v>
      </c>
      <c r="B3" s="242">
        <v>17200</v>
      </c>
    </row>
    <row r="4" spans="1:2" ht="12.75">
      <c r="A4" s="20" t="s">
        <v>237</v>
      </c>
      <c r="B4" s="20">
        <f>+B3*60*24</f>
        <v>24768000</v>
      </c>
    </row>
    <row r="5" spans="1:2" ht="12.75">
      <c r="A5" s="20" t="s">
        <v>238</v>
      </c>
      <c r="B5" s="20">
        <v>0.7</v>
      </c>
    </row>
    <row r="6" spans="1:2" ht="12.75">
      <c r="A6" s="20" t="s">
        <v>4</v>
      </c>
      <c r="B6" s="20">
        <f>+(B4/1000000)*B5</f>
        <v>17.3376</v>
      </c>
    </row>
    <row r="8" ht="12.75">
      <c r="A8" t="s">
        <v>239</v>
      </c>
    </row>
  </sheetData>
  <sheetProtection/>
  <printOptions/>
  <pageMargins left="2.41" right="0.75" top="1" bottom="1" header="0.5" footer="0.5"/>
  <pageSetup horizontalDpi="400" verticalDpi="400" orientation="portrait" r:id="rId1"/>
  <headerFooter alignWithMargins="0">
    <oddHeader>&amp;C&amp;"Arial,Bold"
COOLING TOWER EMISSIONS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0.28125" style="0" customWidth="1"/>
    <col min="2" max="2" width="11.8515625" style="0" customWidth="1"/>
    <col min="3" max="3" width="12.28125" style="0" customWidth="1"/>
    <col min="4" max="4" width="12.57421875" style="0" customWidth="1"/>
    <col min="5" max="5" width="15.421875" style="0" customWidth="1"/>
    <col min="6" max="6" width="14.57421875" style="0" customWidth="1"/>
    <col min="7" max="7" width="11.28125" style="0" customWidth="1"/>
    <col min="8" max="8" width="10.7109375" style="0" customWidth="1"/>
    <col min="9" max="10" width="9.8515625" style="0" customWidth="1"/>
  </cols>
  <sheetData>
    <row r="1" spans="1:10" ht="15">
      <c r="A1" s="243"/>
      <c r="B1" s="343" t="s">
        <v>283</v>
      </c>
      <c r="C1" s="343"/>
      <c r="D1" s="343"/>
      <c r="E1" s="343"/>
      <c r="F1" s="344" t="s">
        <v>249</v>
      </c>
      <c r="G1" s="345"/>
      <c r="H1" s="345"/>
      <c r="I1" s="345"/>
      <c r="J1" s="346"/>
    </row>
    <row r="2" spans="1:10" ht="54.75" customHeight="1">
      <c r="A2" s="244" t="s">
        <v>250</v>
      </c>
      <c r="B2" s="244" t="s">
        <v>151</v>
      </c>
      <c r="C2" s="244" t="s">
        <v>251</v>
      </c>
      <c r="D2" s="244" t="s">
        <v>281</v>
      </c>
      <c r="E2" s="244" t="s">
        <v>286</v>
      </c>
      <c r="F2" s="244" t="s">
        <v>151</v>
      </c>
      <c r="G2" s="244" t="s">
        <v>251</v>
      </c>
      <c r="H2" s="244" t="s">
        <v>252</v>
      </c>
      <c r="I2" s="244" t="s">
        <v>281</v>
      </c>
      <c r="J2" s="244" t="s">
        <v>280</v>
      </c>
    </row>
    <row r="3" spans="1:10" ht="27" customHeight="1">
      <c r="A3" s="245" t="s">
        <v>253</v>
      </c>
      <c r="B3" s="245" t="s">
        <v>254</v>
      </c>
      <c r="C3" s="245" t="s">
        <v>255</v>
      </c>
      <c r="D3" s="245"/>
      <c r="E3" s="245" t="s">
        <v>256</v>
      </c>
      <c r="F3" s="245" t="s">
        <v>257</v>
      </c>
      <c r="G3" s="245" t="s">
        <v>258</v>
      </c>
      <c r="H3" s="246" t="s">
        <v>16</v>
      </c>
      <c r="I3" s="246" t="s">
        <v>16</v>
      </c>
      <c r="J3" s="246" t="s">
        <v>284</v>
      </c>
    </row>
    <row r="4" spans="1:10" ht="27" customHeight="1">
      <c r="A4" s="247" t="s">
        <v>259</v>
      </c>
      <c r="B4" s="247" t="s">
        <v>260</v>
      </c>
      <c r="C4" s="247">
        <v>560</v>
      </c>
      <c r="D4" s="247" t="s">
        <v>261</v>
      </c>
      <c r="E4" s="247" t="s">
        <v>260</v>
      </c>
      <c r="F4" s="248" t="s">
        <v>262</v>
      </c>
      <c r="G4" s="247">
        <v>920</v>
      </c>
      <c r="H4" s="247" t="s">
        <v>263</v>
      </c>
      <c r="I4" s="247" t="s">
        <v>263</v>
      </c>
      <c r="J4" s="245" t="s">
        <v>285</v>
      </c>
    </row>
    <row r="5" spans="1:10" ht="26.25">
      <c r="A5" s="247" t="s">
        <v>264</v>
      </c>
      <c r="B5" s="247" t="s">
        <v>265</v>
      </c>
      <c r="C5" s="249">
        <v>3477</v>
      </c>
      <c r="D5" s="247">
        <v>833</v>
      </c>
      <c r="E5" s="248" t="s">
        <v>266</v>
      </c>
      <c r="F5" s="247" t="s">
        <v>267</v>
      </c>
      <c r="G5" s="247">
        <v>2200</v>
      </c>
      <c r="H5" s="247" t="s">
        <v>268</v>
      </c>
      <c r="I5" s="249">
        <v>6300</v>
      </c>
      <c r="J5" s="249">
        <v>5467</v>
      </c>
    </row>
    <row r="6" spans="1:10" ht="12.75">
      <c r="A6" s="247" t="s">
        <v>269</v>
      </c>
      <c r="B6" s="247" t="s">
        <v>265</v>
      </c>
      <c r="C6" s="249">
        <v>3442</v>
      </c>
      <c r="D6" s="249">
        <v>2453</v>
      </c>
      <c r="E6" s="247" t="s">
        <v>270</v>
      </c>
      <c r="F6" s="247" t="s">
        <v>265</v>
      </c>
      <c r="G6" s="249">
        <v>3600</v>
      </c>
      <c r="H6" s="247" t="s">
        <v>271</v>
      </c>
      <c r="I6" s="249">
        <v>12205</v>
      </c>
      <c r="J6" s="249">
        <v>9752</v>
      </c>
    </row>
    <row r="7" spans="1:10" ht="39">
      <c r="A7" s="247" t="s">
        <v>272</v>
      </c>
      <c r="B7" s="247" t="s">
        <v>265</v>
      </c>
      <c r="C7" s="249">
        <v>4021</v>
      </c>
      <c r="D7" s="247">
        <v>877</v>
      </c>
      <c r="E7" s="247" t="s">
        <v>270</v>
      </c>
      <c r="F7" s="247" t="s">
        <v>91</v>
      </c>
      <c r="G7" s="249">
        <v>10900</v>
      </c>
      <c r="H7" s="248" t="s">
        <v>282</v>
      </c>
      <c r="I7" s="249">
        <v>15615</v>
      </c>
      <c r="J7" s="249">
        <v>14738</v>
      </c>
    </row>
    <row r="8" spans="1:10" ht="12.75">
      <c r="A8" s="247" t="s">
        <v>273</v>
      </c>
      <c r="B8" s="247" t="s">
        <v>91</v>
      </c>
      <c r="C8" s="247">
        <v>921</v>
      </c>
      <c r="D8" s="247">
        <v>748</v>
      </c>
      <c r="E8" s="247" t="s">
        <v>274</v>
      </c>
      <c r="F8" s="247" t="s">
        <v>275</v>
      </c>
      <c r="G8" s="249">
        <v>2200</v>
      </c>
      <c r="H8" s="247" t="s">
        <v>268</v>
      </c>
      <c r="I8" s="249">
        <v>6300</v>
      </c>
      <c r="J8" s="249">
        <v>5552</v>
      </c>
    </row>
    <row r="9" spans="1:10" ht="12.75">
      <c r="A9" s="247" t="s">
        <v>276</v>
      </c>
      <c r="B9" s="247" t="s">
        <v>275</v>
      </c>
      <c r="C9" s="249">
        <v>1317</v>
      </c>
      <c r="D9" s="247">
        <v>930</v>
      </c>
      <c r="E9" s="247" t="s">
        <v>277</v>
      </c>
      <c r="F9" s="247" t="s">
        <v>275</v>
      </c>
      <c r="G9" s="249">
        <v>13400</v>
      </c>
      <c r="H9" s="247" t="s">
        <v>268</v>
      </c>
      <c r="I9" s="249">
        <v>7185</v>
      </c>
      <c r="J9" s="249">
        <v>6255</v>
      </c>
    </row>
    <row r="10" spans="1:10" ht="12.75">
      <c r="A10" s="250" t="s">
        <v>278</v>
      </c>
      <c r="B10" s="251"/>
      <c r="C10" s="252"/>
      <c r="D10" s="252"/>
      <c r="E10" s="252"/>
      <c r="F10" s="252"/>
      <c r="G10" s="252"/>
      <c r="H10" s="252"/>
      <c r="I10" s="253"/>
      <c r="J10" s="254">
        <v>41764</v>
      </c>
    </row>
    <row r="11" spans="1:10" ht="12.75">
      <c r="A11" s="250" t="s">
        <v>279</v>
      </c>
      <c r="B11" s="251"/>
      <c r="C11" s="252"/>
      <c r="D11" s="252"/>
      <c r="E11" s="252"/>
      <c r="F11" s="252"/>
      <c r="G11" s="252"/>
      <c r="H11" s="252"/>
      <c r="I11" s="253"/>
      <c r="J11" s="255">
        <v>114.4</v>
      </c>
    </row>
    <row r="12" ht="12.75">
      <c r="A12" s="138" t="s">
        <v>287</v>
      </c>
    </row>
    <row r="13" ht="12.75">
      <c r="A13" s="138" t="s">
        <v>288</v>
      </c>
    </row>
    <row r="14" ht="12.75">
      <c r="A14" s="138" t="s">
        <v>289</v>
      </c>
    </row>
    <row r="15" ht="12.75">
      <c r="A15" s="138" t="s">
        <v>290</v>
      </c>
    </row>
    <row r="16" ht="12.75">
      <c r="A16" s="138" t="s">
        <v>291</v>
      </c>
    </row>
    <row r="21" ht="12.75">
      <c r="A21" s="256" t="s">
        <v>292</v>
      </c>
    </row>
  </sheetData>
  <sheetProtection/>
  <mergeCells count="2">
    <mergeCell ref="B1:E1"/>
    <mergeCell ref="F1:J1"/>
  </mergeCells>
  <printOptions/>
  <pageMargins left="0.5" right="0.25" top="1.5" bottom="1" header="0.5" footer="0.5"/>
  <pageSetup horizontalDpi="400" verticalDpi="400" orientation="landscape" r:id="rId1"/>
  <headerFooter alignWithMargins="0">
    <oddHeader>&amp;C&amp;"Times New Roman,Bold"TOSCO LOS ANGELES REFINERY
CARB PHASE 3 PROJECT
TANK EMISSIONS SUMMARY</oddHeader>
    <oddFooter>&amp;L&amp;"Times New Roman,Regular"CARB III Tank Summary Table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4:A14"/>
  <sheetViews>
    <sheetView tabSelected="1" zoomScalePageLayoutView="0" workbookViewId="0" topLeftCell="A1">
      <selection activeCell="A25" sqref="A25"/>
    </sheetView>
  </sheetViews>
  <sheetFormatPr defaultColWidth="9.140625" defaultRowHeight="12.75"/>
  <sheetData>
    <row r="14" ht="15">
      <c r="A14" s="139" t="s">
        <v>293</v>
      </c>
    </row>
  </sheetData>
  <sheetProtection/>
  <printOptions/>
  <pageMargins left="0.75" right="0.75" top="1" bottom="1" header="0.5" footer="0.5"/>
  <pageSetup horizontalDpi="400" verticalDpi="4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6.7109375" style="0" customWidth="1"/>
    <col min="2" max="2" width="9.7109375" style="0" customWidth="1"/>
    <col min="6" max="6" width="9.00390625" style="0" customWidth="1"/>
  </cols>
  <sheetData>
    <row r="1" ht="12" customHeight="1"/>
    <row r="2" ht="17.25">
      <c r="E2" s="1" t="s">
        <v>0</v>
      </c>
    </row>
    <row r="3" ht="13.5" thickBot="1"/>
    <row r="4" spans="1:13" ht="13.5" thickTop="1">
      <c r="A4" s="2" t="s">
        <v>1</v>
      </c>
      <c r="B4" s="3"/>
      <c r="C4" s="3" t="s">
        <v>2</v>
      </c>
      <c r="D4" s="4"/>
      <c r="E4" s="5" t="s">
        <v>3</v>
      </c>
      <c r="F4" s="5"/>
      <c r="G4" s="6"/>
      <c r="H4" s="7"/>
      <c r="I4" s="8"/>
      <c r="J4" s="5" t="s">
        <v>4</v>
      </c>
      <c r="K4" s="9"/>
      <c r="L4" s="10"/>
      <c r="M4" s="11"/>
    </row>
    <row r="5" spans="1:13" ht="13.5" thickBot="1">
      <c r="A5" s="12" t="s">
        <v>5</v>
      </c>
      <c r="B5" s="13" t="s">
        <v>6</v>
      </c>
      <c r="C5" s="14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6" t="s">
        <v>12</v>
      </c>
      <c r="I5" s="17" t="s">
        <v>8</v>
      </c>
      <c r="J5" s="15" t="s">
        <v>9</v>
      </c>
      <c r="K5" s="15" t="s">
        <v>10</v>
      </c>
      <c r="L5" s="15" t="s">
        <v>11</v>
      </c>
      <c r="M5" s="18" t="s">
        <v>12</v>
      </c>
    </row>
    <row r="6" spans="1:13" ht="13.5" thickTop="1">
      <c r="A6" s="19" t="s">
        <v>13</v>
      </c>
      <c r="B6" s="20">
        <v>3</v>
      </c>
      <c r="C6" s="21">
        <v>8</v>
      </c>
      <c r="D6" s="22">
        <f>0.011*37*0.48</f>
        <v>0.19535999999999998</v>
      </c>
      <c r="E6" s="22">
        <f>0.002*37*0.48</f>
        <v>0.035519999999999996</v>
      </c>
      <c r="F6" s="22">
        <f>0.018*37*0.48</f>
        <v>0.31967999999999996</v>
      </c>
      <c r="G6" s="22">
        <f>0.002*37*0.48</f>
        <v>0.035519999999999996</v>
      </c>
      <c r="H6" s="22">
        <f>0.001*37*0.48</f>
        <v>0.017759999999999998</v>
      </c>
      <c r="I6" s="23">
        <f>B6*C6*D6</f>
        <v>4.6886399999999995</v>
      </c>
      <c r="J6" s="24">
        <f>B6*C6*E6</f>
        <v>0.8524799999999999</v>
      </c>
      <c r="K6" s="24">
        <f>B6*C6*F6</f>
        <v>7.672319999999999</v>
      </c>
      <c r="L6" s="24">
        <f aca="true" t="shared" si="0" ref="L6:L15">B6*C6*G6</f>
        <v>0.8524799999999999</v>
      </c>
      <c r="M6" s="25">
        <f aca="true" t="shared" si="1" ref="M6:M15">B6*C6*H6</f>
        <v>0.42623999999999995</v>
      </c>
    </row>
    <row r="7" spans="1:13" ht="12.75">
      <c r="A7" s="26" t="s">
        <v>14</v>
      </c>
      <c r="B7" s="27">
        <v>3</v>
      </c>
      <c r="C7" s="21">
        <v>8</v>
      </c>
      <c r="D7" s="24">
        <f>0.015*119*0.465</f>
        <v>0.830025</v>
      </c>
      <c r="E7" s="24">
        <f>0.003*119*0.465</f>
        <v>0.166005</v>
      </c>
      <c r="F7" s="24">
        <f>0.022*119*0.465</f>
        <v>1.21737</v>
      </c>
      <c r="G7" s="24">
        <f>0.002*119*0.465</f>
        <v>0.11067000000000002</v>
      </c>
      <c r="H7" s="24">
        <f>0.001*119*0.465</f>
        <v>0.05533500000000001</v>
      </c>
      <c r="I7" s="23">
        <f>B7*C7*D7</f>
        <v>19.9206</v>
      </c>
      <c r="J7" s="24">
        <f>B7*C7*E7</f>
        <v>3.9841200000000003</v>
      </c>
      <c r="K7" s="24">
        <f>B7*C7*F7</f>
        <v>29.216880000000003</v>
      </c>
      <c r="L7" s="24">
        <f t="shared" si="0"/>
        <v>2.65608</v>
      </c>
      <c r="M7" s="25">
        <f t="shared" si="1"/>
        <v>1.32804</v>
      </c>
    </row>
    <row r="8" spans="1:13" ht="12.75">
      <c r="A8" s="19" t="s">
        <v>15</v>
      </c>
      <c r="B8" s="20">
        <v>3</v>
      </c>
      <c r="C8" s="21">
        <v>8</v>
      </c>
      <c r="D8" s="28" t="s">
        <v>16</v>
      </c>
      <c r="E8" s="28" t="s">
        <v>16</v>
      </c>
      <c r="F8" s="28" t="s">
        <v>16</v>
      </c>
      <c r="G8" s="22">
        <v>0.35</v>
      </c>
      <c r="H8" s="29">
        <v>0.165</v>
      </c>
      <c r="I8" s="23">
        <v>0</v>
      </c>
      <c r="J8" s="24">
        <v>0</v>
      </c>
      <c r="K8" s="24">
        <v>0</v>
      </c>
      <c r="L8" s="24">
        <f t="shared" si="0"/>
        <v>8.399999999999999</v>
      </c>
      <c r="M8" s="25">
        <f t="shared" si="1"/>
        <v>3.96</v>
      </c>
    </row>
    <row r="9" spans="1:13" ht="12.75">
      <c r="A9" s="19" t="s">
        <v>17</v>
      </c>
      <c r="B9" s="20">
        <v>2</v>
      </c>
      <c r="C9" s="21">
        <v>8</v>
      </c>
      <c r="D9" s="22">
        <f>0.83*4*0.55</f>
        <v>1.826</v>
      </c>
      <c r="E9" s="22">
        <f>0.043*4*0.55</f>
        <v>0.0946</v>
      </c>
      <c r="F9" s="22">
        <f>0.004*4*0.55</f>
        <v>0.0088</v>
      </c>
      <c r="G9" s="22">
        <f>0.005*4*0.55</f>
        <v>0.011000000000000001</v>
      </c>
      <c r="H9" s="29">
        <f>0.00025*4*0.55</f>
        <v>0.00055</v>
      </c>
      <c r="I9" s="23">
        <f aca="true" t="shared" si="2" ref="I9:I15">B9*C9*D9</f>
        <v>29.216</v>
      </c>
      <c r="J9" s="24">
        <f aca="true" t="shared" si="3" ref="J9:J15">B9*C9*E9</f>
        <v>1.5136</v>
      </c>
      <c r="K9" s="24">
        <f aca="true" t="shared" si="4" ref="K9:K15">B9*C9*F9</f>
        <v>0.1408</v>
      </c>
      <c r="L9" s="24">
        <f t="shared" si="0"/>
        <v>0.17600000000000002</v>
      </c>
      <c r="M9" s="25">
        <f t="shared" si="1"/>
        <v>0.0088</v>
      </c>
    </row>
    <row r="10" spans="1:13" ht="12.75">
      <c r="A10" s="19" t="s">
        <v>18</v>
      </c>
      <c r="B10" s="20">
        <v>2</v>
      </c>
      <c r="C10" s="21">
        <v>8</v>
      </c>
      <c r="D10" s="22">
        <v>0.675</v>
      </c>
      <c r="E10" s="22">
        <v>0.15</v>
      </c>
      <c r="F10" s="22">
        <v>1.7</v>
      </c>
      <c r="G10" s="22">
        <v>0.143</v>
      </c>
      <c r="H10" s="29">
        <v>0.14</v>
      </c>
      <c r="I10" s="23">
        <f t="shared" si="2"/>
        <v>10.8</v>
      </c>
      <c r="J10" s="24">
        <f t="shared" si="3"/>
        <v>2.4</v>
      </c>
      <c r="K10" s="24">
        <f t="shared" si="4"/>
        <v>27.2</v>
      </c>
      <c r="L10" s="24">
        <f t="shared" si="0"/>
        <v>2.288</v>
      </c>
      <c r="M10" s="25">
        <f t="shared" si="1"/>
        <v>2.24</v>
      </c>
    </row>
    <row r="11" spans="1:13" ht="12.75">
      <c r="A11" s="19" t="s">
        <v>19</v>
      </c>
      <c r="B11" s="20">
        <v>5</v>
      </c>
      <c r="C11" s="21">
        <v>8</v>
      </c>
      <c r="D11" s="22">
        <f>0.009*194*0.43</f>
        <v>0.7507799999999999</v>
      </c>
      <c r="E11" s="22">
        <f>0.003*194*0.43</f>
        <v>0.25026</v>
      </c>
      <c r="F11" s="22">
        <f>0.023*194*0.43</f>
        <v>1.9186599999999998</v>
      </c>
      <c r="G11" s="22">
        <f>0.002*194*0.43</f>
        <v>0.16684000000000002</v>
      </c>
      <c r="H11" s="29">
        <f>0.0015*194*0.43</f>
        <v>0.12513</v>
      </c>
      <c r="I11" s="23">
        <f t="shared" si="2"/>
        <v>30.031199999999995</v>
      </c>
      <c r="J11" s="24">
        <f t="shared" si="3"/>
        <v>10.010399999999999</v>
      </c>
      <c r="K11" s="24">
        <f t="shared" si="4"/>
        <v>76.7464</v>
      </c>
      <c r="L11" s="24">
        <f t="shared" si="0"/>
        <v>6.6736</v>
      </c>
      <c r="M11" s="25">
        <f t="shared" si="1"/>
        <v>5.005199999999999</v>
      </c>
    </row>
    <row r="12" spans="1:13" ht="12.75">
      <c r="A12" s="19" t="s">
        <v>20</v>
      </c>
      <c r="B12" s="20">
        <v>8</v>
      </c>
      <c r="C12" s="21">
        <v>8</v>
      </c>
      <c r="D12" s="22">
        <v>1.8</v>
      </c>
      <c r="E12" s="22">
        <v>0.19</v>
      </c>
      <c r="F12" s="22">
        <v>4.17</v>
      </c>
      <c r="G12" s="22">
        <v>0.45</v>
      </c>
      <c r="H12" s="29">
        <v>0.26</v>
      </c>
      <c r="I12" s="23">
        <f t="shared" si="2"/>
        <v>115.2</v>
      </c>
      <c r="J12" s="24">
        <f t="shared" si="3"/>
        <v>12.16</v>
      </c>
      <c r="K12" s="24">
        <f t="shared" si="4"/>
        <v>266.88</v>
      </c>
      <c r="L12" s="24">
        <f t="shared" si="0"/>
        <v>28.8</v>
      </c>
      <c r="M12" s="25">
        <f t="shared" si="1"/>
        <v>16.64</v>
      </c>
    </row>
    <row r="13" spans="1:13" ht="12.75">
      <c r="A13" s="19" t="s">
        <v>21</v>
      </c>
      <c r="B13" s="20">
        <v>3</v>
      </c>
      <c r="C13" s="21">
        <v>8</v>
      </c>
      <c r="D13" s="22">
        <v>1.8</v>
      </c>
      <c r="E13" s="22">
        <v>0.19</v>
      </c>
      <c r="F13" s="22">
        <v>4.17</v>
      </c>
      <c r="G13" s="22">
        <v>0.45</v>
      </c>
      <c r="H13" s="29">
        <v>0.26</v>
      </c>
      <c r="I13" s="23">
        <f t="shared" si="2"/>
        <v>43.2</v>
      </c>
      <c r="J13" s="24">
        <f t="shared" si="3"/>
        <v>4.5600000000000005</v>
      </c>
      <c r="K13" s="24">
        <f t="shared" si="4"/>
        <v>100.08</v>
      </c>
      <c r="L13" s="24">
        <f t="shared" si="0"/>
        <v>10.8</v>
      </c>
      <c r="M13" s="25">
        <f t="shared" si="1"/>
        <v>6.24</v>
      </c>
    </row>
    <row r="14" spans="1:13" ht="12.75">
      <c r="A14" s="19" t="s">
        <v>22</v>
      </c>
      <c r="B14" s="20">
        <v>2</v>
      </c>
      <c r="C14" s="21">
        <v>8</v>
      </c>
      <c r="D14" s="22">
        <v>0.572</v>
      </c>
      <c r="E14" s="22">
        <v>0.23</v>
      </c>
      <c r="F14" s="22">
        <v>1.9</v>
      </c>
      <c r="G14" s="22">
        <v>0.182</v>
      </c>
      <c r="H14" s="29">
        <v>0.17</v>
      </c>
      <c r="I14" s="23">
        <f t="shared" si="2"/>
        <v>9.152</v>
      </c>
      <c r="J14" s="24">
        <f t="shared" si="3"/>
        <v>3.68</v>
      </c>
      <c r="K14" s="24">
        <f t="shared" si="4"/>
        <v>30.4</v>
      </c>
      <c r="L14" s="24">
        <f t="shared" si="0"/>
        <v>2.912</v>
      </c>
      <c r="M14" s="25">
        <f t="shared" si="1"/>
        <v>2.72</v>
      </c>
    </row>
    <row r="15" spans="1:13" ht="12.75">
      <c r="A15" s="19" t="s">
        <v>23</v>
      </c>
      <c r="B15" s="20">
        <v>4</v>
      </c>
      <c r="C15" s="21">
        <v>8</v>
      </c>
      <c r="D15" s="22">
        <f>0.013*43*0.505</f>
        <v>0.28229499999999996</v>
      </c>
      <c r="E15" s="22">
        <f>0.003*43*0.505</f>
        <v>0.06514500000000001</v>
      </c>
      <c r="F15" s="22">
        <f>0.031*43*0.505</f>
        <v>0.673165</v>
      </c>
      <c r="G15" s="22">
        <f>0.002*43*0.505</f>
        <v>0.04343</v>
      </c>
      <c r="H15" s="22">
        <f>0.0015*43*0.505</f>
        <v>0.032572500000000004</v>
      </c>
      <c r="I15" s="23">
        <f t="shared" si="2"/>
        <v>9.033439999999999</v>
      </c>
      <c r="J15" s="24">
        <f t="shared" si="3"/>
        <v>2.0846400000000003</v>
      </c>
      <c r="K15" s="24">
        <f t="shared" si="4"/>
        <v>21.54128</v>
      </c>
      <c r="L15" s="24">
        <f t="shared" si="0"/>
        <v>1.38976</v>
      </c>
      <c r="M15" s="25">
        <f t="shared" si="1"/>
        <v>1.0423200000000001</v>
      </c>
    </row>
    <row r="16" spans="1:13" ht="12.75">
      <c r="A16" s="19" t="s">
        <v>24</v>
      </c>
      <c r="B16" s="20">
        <v>3</v>
      </c>
      <c r="C16" s="21">
        <v>8</v>
      </c>
      <c r="D16" s="22">
        <v>0</v>
      </c>
      <c r="E16" s="22">
        <v>0</v>
      </c>
      <c r="F16" s="22">
        <v>0</v>
      </c>
      <c r="G16" s="22">
        <v>0</v>
      </c>
      <c r="H16" s="29">
        <v>0</v>
      </c>
      <c r="I16" s="23">
        <v>0</v>
      </c>
      <c r="J16" s="24">
        <v>0</v>
      </c>
      <c r="K16" s="24">
        <v>0</v>
      </c>
      <c r="L16" s="24">
        <v>0</v>
      </c>
      <c r="M16" s="25">
        <v>0</v>
      </c>
    </row>
    <row r="17" spans="1:13" ht="12.75">
      <c r="A17" s="19" t="s">
        <v>25</v>
      </c>
      <c r="B17" s="20">
        <v>2</v>
      </c>
      <c r="C17" s="21">
        <v>8</v>
      </c>
      <c r="D17" s="22">
        <v>0.52</v>
      </c>
      <c r="E17" s="22">
        <v>0.17</v>
      </c>
      <c r="F17" s="22">
        <v>1.54</v>
      </c>
      <c r="G17" s="22">
        <v>0.143</v>
      </c>
      <c r="H17" s="29">
        <v>0.093</v>
      </c>
      <c r="I17" s="23">
        <f>B17*C17*D17</f>
        <v>8.32</v>
      </c>
      <c r="J17" s="24">
        <f>B17*C17*E17</f>
        <v>2.72</v>
      </c>
      <c r="K17" s="24">
        <f>B17*C17*F17</f>
        <v>24.64</v>
      </c>
      <c r="L17" s="24">
        <f>B17*C17*G17</f>
        <v>2.288</v>
      </c>
      <c r="M17" s="25">
        <f>B17*C17*H17</f>
        <v>1.488</v>
      </c>
    </row>
    <row r="18" spans="1:13" ht="12.75">
      <c r="A18" s="19" t="s">
        <v>26</v>
      </c>
      <c r="B18" s="20">
        <v>3</v>
      </c>
      <c r="C18" s="21">
        <v>8</v>
      </c>
      <c r="D18" s="22">
        <f>1.479*10*0.74</f>
        <v>10.944600000000001</v>
      </c>
      <c r="E18" s="22">
        <f>0.054*10*0.74</f>
        <v>0.3996</v>
      </c>
      <c r="F18" s="22">
        <f>0.002*10*0.74</f>
        <v>0.0148</v>
      </c>
      <c r="G18" s="22">
        <f>0.0006*10*0.74</f>
        <v>0.0044399999999999995</v>
      </c>
      <c r="H18" s="22">
        <f>0.00025*10*0.74</f>
        <v>0.00185</v>
      </c>
      <c r="I18" s="23">
        <f>B18*C18*D18</f>
        <v>262.67040000000003</v>
      </c>
      <c r="J18" s="24">
        <f>B18*C18*E18</f>
        <v>9.5904</v>
      </c>
      <c r="K18" s="24">
        <f>B18*C18*F18</f>
        <v>0.3552</v>
      </c>
      <c r="L18" s="24">
        <f>B18*C18*G18</f>
        <v>0.10655999999999999</v>
      </c>
      <c r="M18" s="25">
        <f>B18*C18*H18</f>
        <v>0.0444</v>
      </c>
    </row>
    <row r="19" spans="1:13" ht="12.75">
      <c r="A19" s="19" t="s">
        <v>27</v>
      </c>
      <c r="B19" s="20">
        <v>10</v>
      </c>
      <c r="C19" s="21">
        <v>8</v>
      </c>
      <c r="D19" s="22">
        <f>0.011*35*0.45</f>
        <v>0.17325</v>
      </c>
      <c r="E19" s="22">
        <f>0.002*35*0.45</f>
        <v>0.03150000000000001</v>
      </c>
      <c r="F19" s="22">
        <f>0.018*35*0.45</f>
        <v>0.28350000000000003</v>
      </c>
      <c r="G19" s="22">
        <f>0.002*35*0.45</f>
        <v>0.03150000000000001</v>
      </c>
      <c r="H19" s="22">
        <f>0.001*35*0.45</f>
        <v>0.015750000000000004</v>
      </c>
      <c r="I19" s="23">
        <f>B19*C19*D19</f>
        <v>13.86</v>
      </c>
      <c r="J19" s="24">
        <f>B19*C19*E19</f>
        <v>2.5200000000000005</v>
      </c>
      <c r="K19" s="24">
        <f>B19*C19*F19</f>
        <v>22.680000000000003</v>
      </c>
      <c r="L19" s="24">
        <f>B19*C19*G19</f>
        <v>2.5200000000000005</v>
      </c>
      <c r="M19" s="25">
        <f>B19*C19*H19</f>
        <v>1.2600000000000002</v>
      </c>
    </row>
    <row r="20" spans="1:13" ht="12.75">
      <c r="A20" s="19" t="s">
        <v>28</v>
      </c>
      <c r="B20" s="20">
        <v>2</v>
      </c>
      <c r="C20" s="21">
        <v>8</v>
      </c>
      <c r="D20" s="22">
        <v>0.675</v>
      </c>
      <c r="E20" s="22">
        <v>0.15</v>
      </c>
      <c r="F20" s="22">
        <v>1.7</v>
      </c>
      <c r="G20" s="22">
        <v>0.143</v>
      </c>
      <c r="H20" s="29">
        <v>0.14</v>
      </c>
      <c r="I20" s="23">
        <f>B20*C20*D20</f>
        <v>10.8</v>
      </c>
      <c r="J20" s="24">
        <f>B20*C20*E20</f>
        <v>2.4</v>
      </c>
      <c r="K20" s="24">
        <f>B20*C20*F20</f>
        <v>27.2</v>
      </c>
      <c r="L20" s="24">
        <f>B20*C20*G20</f>
        <v>2.288</v>
      </c>
      <c r="M20" s="25">
        <f>B20*C20*H20</f>
        <v>2.24</v>
      </c>
    </row>
    <row r="21" spans="1:13" ht="13.5" thickBot="1">
      <c r="A21" s="30" t="s">
        <v>29</v>
      </c>
      <c r="B21" s="31">
        <v>2</v>
      </c>
      <c r="C21" s="32">
        <v>8</v>
      </c>
      <c r="D21" s="33">
        <v>0.675</v>
      </c>
      <c r="E21" s="33">
        <v>0.15</v>
      </c>
      <c r="F21" s="33">
        <v>1.7</v>
      </c>
      <c r="G21" s="22">
        <v>0.143</v>
      </c>
      <c r="H21" s="34">
        <v>0.14</v>
      </c>
      <c r="I21" s="23">
        <f>B21*C21*D21</f>
        <v>10.8</v>
      </c>
      <c r="J21" s="24">
        <f>B21*C21*E21</f>
        <v>2.4</v>
      </c>
      <c r="K21" s="24">
        <f>B21*C21*F21</f>
        <v>27.2</v>
      </c>
      <c r="L21" s="24">
        <f>B21*C21*G21</f>
        <v>2.288</v>
      </c>
      <c r="M21" s="25">
        <f>B21*C21*H21</f>
        <v>2.24</v>
      </c>
    </row>
    <row r="22" spans="1:13" ht="13.5" thickBot="1">
      <c r="A22" s="26"/>
      <c r="B22" s="35"/>
      <c r="C22" s="36"/>
      <c r="D22" s="37"/>
      <c r="E22" s="37"/>
      <c r="F22" s="37"/>
      <c r="G22" s="37"/>
      <c r="H22" s="37"/>
      <c r="I22" s="38"/>
      <c r="J22" s="37"/>
      <c r="K22" s="37"/>
      <c r="L22" s="37"/>
      <c r="M22" s="39"/>
    </row>
    <row r="23" spans="1:13" ht="13.5" thickBot="1">
      <c r="A23" s="40" t="s">
        <v>30</v>
      </c>
      <c r="B23" s="41"/>
      <c r="C23" s="42"/>
      <c r="D23" s="43"/>
      <c r="E23" s="44"/>
      <c r="F23" s="44"/>
      <c r="G23" s="44"/>
      <c r="H23" s="44"/>
      <c r="I23" s="44">
        <f>SUM(I6:I21)</f>
        <v>577.6922799999999</v>
      </c>
      <c r="J23" s="44">
        <f>SUM(J6:J21)</f>
        <v>60.875640000000004</v>
      </c>
      <c r="K23" s="44">
        <f>SUM(K6:K21)</f>
        <v>661.95288</v>
      </c>
      <c r="L23" s="44">
        <f>SUM(L6:L21)</f>
        <v>74.43847999999998</v>
      </c>
      <c r="M23" s="44">
        <f>SUM(M6:M21)</f>
        <v>46.88300000000001</v>
      </c>
    </row>
    <row r="24" spans="1:13" ht="14.25" thickBot="1" thickTop="1">
      <c r="A24" s="45" t="s">
        <v>5</v>
      </c>
      <c r="B24" s="46"/>
      <c r="C24" s="47"/>
      <c r="D24" s="47"/>
      <c r="E24" s="48"/>
      <c r="F24" s="48"/>
      <c r="G24" s="48"/>
      <c r="H24" s="48"/>
      <c r="I24" s="48" t="s">
        <v>5</v>
      </c>
      <c r="J24" s="48" t="s">
        <v>5</v>
      </c>
      <c r="K24" s="48" t="s">
        <v>5</v>
      </c>
      <c r="L24" s="48" t="s">
        <v>5</v>
      </c>
      <c r="M24" s="49" t="s">
        <v>5</v>
      </c>
    </row>
    <row r="25" ht="13.5" thickTop="1"/>
    <row r="26" ht="12.75">
      <c r="A26" s="50" t="s">
        <v>31</v>
      </c>
    </row>
    <row r="27" spans="1:4" ht="12.75">
      <c r="A27" s="50" t="s">
        <v>32</v>
      </c>
      <c r="D27" s="50" t="s">
        <v>33</v>
      </c>
    </row>
    <row r="28" ht="12.75">
      <c r="A28" s="50" t="s">
        <v>34</v>
      </c>
    </row>
    <row r="29" spans="1:5" ht="12.75">
      <c r="A29" s="50" t="s">
        <v>35</v>
      </c>
      <c r="B29" s="50"/>
      <c r="C29" s="50"/>
      <c r="D29" s="50"/>
      <c r="E29" s="51"/>
    </row>
    <row r="32" ht="12.75">
      <c r="A32" s="50" t="s">
        <v>36</v>
      </c>
    </row>
    <row r="34" ht="12.75">
      <c r="C34" t="s">
        <v>5</v>
      </c>
    </row>
  </sheetData>
  <sheetProtection/>
  <printOptions/>
  <pageMargins left="1" right="0.75" top="1" bottom="1" header="0.5" footer="0.5"/>
  <pageSetup horizontalDpi="300" verticalDpi="300" orientation="landscape" scale="75" r:id="rId1"/>
  <headerFooter alignWithMargins="0">
    <oddHeader>&amp;C&amp;"Arial,Bold"&amp;12Construction Equipment Emissions for the Tosco CARB Phase 3 Project 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3">
      <selection activeCell="A25" sqref="A25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3.5" thickBot="1">
      <c r="A2" s="320" t="s">
        <v>38</v>
      </c>
      <c r="B2" s="307" t="s">
        <v>8</v>
      </c>
      <c r="C2" s="308"/>
      <c r="D2" s="307" t="s">
        <v>9</v>
      </c>
      <c r="E2" s="311"/>
      <c r="F2" s="311"/>
      <c r="G2" s="311"/>
      <c r="H2" s="311"/>
      <c r="I2" s="55" t="s">
        <v>10</v>
      </c>
      <c r="J2" s="54"/>
      <c r="K2" s="56" t="s">
        <v>12</v>
      </c>
    </row>
    <row r="3" spans="1:11" ht="53.25" thickBot="1">
      <c r="A3" s="347"/>
      <c r="B3" s="58" t="s">
        <v>39</v>
      </c>
      <c r="C3" s="59" t="s">
        <v>40</v>
      </c>
      <c r="D3" s="58" t="s">
        <v>41</v>
      </c>
      <c r="E3" s="60" t="s">
        <v>40</v>
      </c>
      <c r="F3" s="61" t="s">
        <v>42</v>
      </c>
      <c r="G3" s="61" t="s">
        <v>43</v>
      </c>
      <c r="H3" s="59" t="s">
        <v>44</v>
      </c>
      <c r="I3" s="58" t="s">
        <v>39</v>
      </c>
      <c r="J3" s="59" t="s">
        <v>40</v>
      </c>
      <c r="K3" s="62" t="s">
        <v>45</v>
      </c>
    </row>
    <row r="4" spans="1:11" ht="13.5" thickBot="1">
      <c r="A4" s="63" t="s">
        <v>294</v>
      </c>
      <c r="B4" s="64">
        <v>10.39</v>
      </c>
      <c r="C4" s="64">
        <v>10.68</v>
      </c>
      <c r="D4" s="64">
        <v>2.23</v>
      </c>
      <c r="E4" s="64">
        <v>3.15</v>
      </c>
      <c r="F4" s="65">
        <v>0.53</v>
      </c>
      <c r="G4" s="64">
        <v>0.41</v>
      </c>
      <c r="H4" s="56">
        <v>0.44</v>
      </c>
      <c r="I4" s="64">
        <v>0.79</v>
      </c>
      <c r="J4" s="56">
        <v>0.64</v>
      </c>
      <c r="K4" s="56">
        <v>0.04</v>
      </c>
    </row>
    <row r="5" spans="1:11" ht="13.5" thickBot="1">
      <c r="A5" s="66" t="s">
        <v>47</v>
      </c>
      <c r="B5" s="67">
        <v>40.66</v>
      </c>
      <c r="C5" s="67">
        <v>7.03</v>
      </c>
      <c r="D5" s="67">
        <v>5.33</v>
      </c>
      <c r="E5" s="67">
        <v>5.71</v>
      </c>
      <c r="F5" s="55">
        <v>5.5</v>
      </c>
      <c r="G5" s="67">
        <v>4.55</v>
      </c>
      <c r="H5" s="67">
        <v>0.357</v>
      </c>
      <c r="I5" s="67">
        <v>1.8</v>
      </c>
      <c r="J5" s="54">
        <v>1.27</v>
      </c>
      <c r="K5" s="54">
        <v>0.03</v>
      </c>
    </row>
    <row r="6" spans="1:11" ht="13.5" thickBot="1">
      <c r="A6" s="66" t="s">
        <v>48</v>
      </c>
      <c r="B6" s="67">
        <v>10.15</v>
      </c>
      <c r="C6" s="67" t="s">
        <v>49</v>
      </c>
      <c r="D6" s="67">
        <v>1.74</v>
      </c>
      <c r="E6" s="67" t="s">
        <v>49</v>
      </c>
      <c r="F6" s="67" t="s">
        <v>49</v>
      </c>
      <c r="G6" s="67" t="s">
        <v>49</v>
      </c>
      <c r="H6" s="67">
        <v>0.364</v>
      </c>
      <c r="I6" s="67">
        <v>10.22</v>
      </c>
      <c r="J6" s="67" t="s">
        <v>49</v>
      </c>
      <c r="K6" s="54">
        <v>0.75</v>
      </c>
    </row>
    <row r="8" ht="13.5" thickBot="1">
      <c r="A8" s="257" t="s">
        <v>295</v>
      </c>
    </row>
    <row r="9" spans="1:12" ht="13.5" thickBot="1">
      <c r="A9" s="68"/>
      <c r="B9" s="307" t="s">
        <v>50</v>
      </c>
      <c r="C9" s="311"/>
      <c r="D9" s="308"/>
      <c r="E9" s="307" t="s">
        <v>51</v>
      </c>
      <c r="F9" s="311"/>
      <c r="G9" s="311"/>
      <c r="H9" s="311"/>
      <c r="I9" s="311"/>
      <c r="J9" s="311"/>
      <c r="K9" s="311"/>
      <c r="L9" s="308"/>
    </row>
    <row r="10" spans="1:12" ht="13.5" thickBot="1">
      <c r="A10" s="69"/>
      <c r="B10" s="322" t="s">
        <v>296</v>
      </c>
      <c r="C10" s="324" t="s">
        <v>53</v>
      </c>
      <c r="D10" s="326" t="s">
        <v>54</v>
      </c>
      <c r="E10" s="307" t="s">
        <v>8</v>
      </c>
      <c r="F10" s="308"/>
      <c r="G10" s="307" t="s">
        <v>9</v>
      </c>
      <c r="H10" s="311"/>
      <c r="I10" s="308"/>
      <c r="J10" s="307" t="s">
        <v>10</v>
      </c>
      <c r="K10" s="308"/>
      <c r="L10" s="70" t="s">
        <v>12</v>
      </c>
    </row>
    <row r="11" spans="1:12" ht="66" thickBot="1">
      <c r="A11" s="71" t="s">
        <v>55</v>
      </c>
      <c r="B11" s="323"/>
      <c r="C11" s="325"/>
      <c r="D11" s="327"/>
      <c r="E11" s="72" t="s">
        <v>56</v>
      </c>
      <c r="F11" s="62" t="s">
        <v>57</v>
      </c>
      <c r="G11" s="72" t="s">
        <v>58</v>
      </c>
      <c r="H11" s="72" t="s">
        <v>59</v>
      </c>
      <c r="I11" s="73" t="s">
        <v>60</v>
      </c>
      <c r="J11" s="74" t="s">
        <v>61</v>
      </c>
      <c r="K11" s="72" t="s">
        <v>57</v>
      </c>
      <c r="L11" s="72" t="s">
        <v>62</v>
      </c>
    </row>
    <row r="12" spans="1:12" ht="13.5" thickBot="1">
      <c r="A12" s="81" t="s">
        <v>297</v>
      </c>
      <c r="B12" s="64">
        <v>6</v>
      </c>
      <c r="C12" s="67">
        <f>B12*2</f>
        <v>12</v>
      </c>
      <c r="D12" s="67">
        <v>50</v>
      </c>
      <c r="E12" s="79">
        <f>C12*D12*B$6/453.6</f>
        <v>13.425925925925926</v>
      </c>
      <c r="F12" s="79" t="s">
        <v>49</v>
      </c>
      <c r="G12" s="79">
        <f>C12*D12*(D$6+H$6)/453.6</f>
        <v>2.7830687830687832</v>
      </c>
      <c r="H12" s="79" t="s">
        <v>49</v>
      </c>
      <c r="I12" s="79" t="s">
        <v>49</v>
      </c>
      <c r="J12" s="79">
        <f>C12*D12*I$6/453.6</f>
        <v>13.518518518518517</v>
      </c>
      <c r="K12" s="79" t="s">
        <v>49</v>
      </c>
      <c r="L12" s="80">
        <f>K$6*C12*D12/453.6</f>
        <v>0.992063492063492</v>
      </c>
    </row>
    <row r="13" spans="1:12" ht="13.5" thickBot="1">
      <c r="A13" s="82"/>
      <c r="B13" s="55"/>
      <c r="C13" s="55"/>
      <c r="D13" s="55"/>
      <c r="E13" s="83"/>
      <c r="F13" s="83"/>
      <c r="G13" s="83"/>
      <c r="H13" s="83"/>
      <c r="I13" s="83"/>
      <c r="J13" s="83"/>
      <c r="K13" s="83"/>
      <c r="L13" s="83"/>
    </row>
    <row r="14" spans="1:12" ht="13.5" thickBot="1">
      <c r="A14" s="69" t="s">
        <v>55</v>
      </c>
      <c r="B14" s="331" t="s">
        <v>50</v>
      </c>
      <c r="C14" s="311"/>
      <c r="D14" s="308"/>
      <c r="E14" s="310" t="s">
        <v>8</v>
      </c>
      <c r="F14" s="332"/>
      <c r="G14" s="310" t="s">
        <v>9</v>
      </c>
      <c r="H14" s="333"/>
      <c r="I14" s="332"/>
      <c r="J14" s="310" t="s">
        <v>10</v>
      </c>
      <c r="K14" s="332"/>
      <c r="L14" s="84" t="s">
        <v>12</v>
      </c>
    </row>
    <row r="15" spans="1:12" ht="26.25" customHeight="1" thickBot="1">
      <c r="A15" s="78" t="s">
        <v>72</v>
      </c>
      <c r="B15" s="67">
        <f>B12</f>
        <v>6</v>
      </c>
      <c r="C15" s="67">
        <f>+C12</f>
        <v>12</v>
      </c>
      <c r="D15" s="67"/>
      <c r="E15" s="310">
        <f>+E12</f>
        <v>13.425925925925926</v>
      </c>
      <c r="F15" s="332"/>
      <c r="G15" s="310">
        <f>G12</f>
        <v>2.7830687830687832</v>
      </c>
      <c r="H15" s="333"/>
      <c r="I15" s="332"/>
      <c r="J15" s="310">
        <f>J12</f>
        <v>13.518518518518517</v>
      </c>
      <c r="K15" s="332"/>
      <c r="L15" s="80">
        <f>L12</f>
        <v>0.992063492063492</v>
      </c>
    </row>
    <row r="16" spans="1:12" ht="13.5" thickBot="1">
      <c r="A16" s="70" t="s">
        <v>73</v>
      </c>
      <c r="B16" s="66"/>
      <c r="C16" s="82"/>
      <c r="D16" s="86"/>
      <c r="E16" s="310">
        <f>SUM(E15:F15)</f>
        <v>13.425925925925926</v>
      </c>
      <c r="F16" s="308"/>
      <c r="G16" s="310">
        <f>SUM(G15:I15)</f>
        <v>2.7830687830687832</v>
      </c>
      <c r="H16" s="311"/>
      <c r="I16" s="308"/>
      <c r="J16" s="310">
        <f>SUM(J15:K15)</f>
        <v>13.518518518518517</v>
      </c>
      <c r="K16" s="308"/>
      <c r="L16" s="79">
        <f>SUM(L15:L15)</f>
        <v>0.992063492063492</v>
      </c>
    </row>
    <row r="17" spans="1:12" ht="12.75">
      <c r="A17" s="52"/>
      <c r="B17" s="52"/>
      <c r="C17" s="52"/>
      <c r="D17" s="52"/>
      <c r="E17" s="258"/>
      <c r="F17" s="96"/>
      <c r="G17" s="258"/>
      <c r="H17" s="96"/>
      <c r="I17" s="96"/>
      <c r="J17" s="258"/>
      <c r="K17" s="96"/>
      <c r="L17" s="258"/>
    </row>
    <row r="18" ht="13.5" thickBot="1">
      <c r="A18" s="257" t="s">
        <v>298</v>
      </c>
    </row>
    <row r="19" spans="1:12" ht="13.5" thickBot="1">
      <c r="A19" s="68"/>
      <c r="B19" s="307" t="s">
        <v>50</v>
      </c>
      <c r="C19" s="311"/>
      <c r="D19" s="308"/>
      <c r="E19" s="307" t="s">
        <v>299</v>
      </c>
      <c r="F19" s="311"/>
      <c r="G19" s="311"/>
      <c r="H19" s="311"/>
      <c r="I19" s="311"/>
      <c r="J19" s="311"/>
      <c r="K19" s="311"/>
      <c r="L19" s="308"/>
    </row>
    <row r="20" spans="1:12" ht="13.5" thickBot="1">
      <c r="A20" s="69"/>
      <c r="B20" s="322" t="s">
        <v>300</v>
      </c>
      <c r="C20" s="324" t="s">
        <v>53</v>
      </c>
      <c r="D20" s="326" t="s">
        <v>54</v>
      </c>
      <c r="E20" s="307" t="s">
        <v>8</v>
      </c>
      <c r="F20" s="308"/>
      <c r="G20" s="307" t="s">
        <v>9</v>
      </c>
      <c r="H20" s="311"/>
      <c r="I20" s="308"/>
      <c r="J20" s="307" t="s">
        <v>10</v>
      </c>
      <c r="K20" s="308"/>
      <c r="L20" s="70" t="s">
        <v>12</v>
      </c>
    </row>
    <row r="21" spans="1:12" ht="66" thickBot="1">
      <c r="A21" s="71" t="s">
        <v>55</v>
      </c>
      <c r="B21" s="323"/>
      <c r="C21" s="325"/>
      <c r="D21" s="327"/>
      <c r="E21" s="72" t="s">
        <v>56</v>
      </c>
      <c r="F21" s="62" t="s">
        <v>57</v>
      </c>
      <c r="G21" s="72" t="s">
        <v>58</v>
      </c>
      <c r="H21" s="72" t="s">
        <v>59</v>
      </c>
      <c r="I21" s="73" t="s">
        <v>60</v>
      </c>
      <c r="J21" s="74" t="s">
        <v>61</v>
      </c>
      <c r="K21" s="72" t="s">
        <v>57</v>
      </c>
      <c r="L21" s="72" t="s">
        <v>62</v>
      </c>
    </row>
    <row r="22" spans="1:12" ht="13.5" thickBot="1">
      <c r="A22" s="81" t="s">
        <v>297</v>
      </c>
      <c r="B22" s="64">
        <v>36</v>
      </c>
      <c r="C22" s="67">
        <f>B22*2</f>
        <v>72</v>
      </c>
      <c r="D22" s="67">
        <v>350</v>
      </c>
      <c r="E22" s="79">
        <f>C22*D22*B$6/453.6</f>
        <v>563.8888888888889</v>
      </c>
      <c r="F22" s="79" t="s">
        <v>49</v>
      </c>
      <c r="G22" s="79">
        <f>C22*D22*(D$6+H$6)/453.6</f>
        <v>116.88888888888889</v>
      </c>
      <c r="H22" s="79" t="s">
        <v>49</v>
      </c>
      <c r="I22" s="79" t="s">
        <v>49</v>
      </c>
      <c r="J22" s="79">
        <f>C22*D22*I$6/453.6</f>
        <v>567.7777777777778</v>
      </c>
      <c r="K22" s="79" t="s">
        <v>49</v>
      </c>
      <c r="L22" s="80">
        <f>K$6*C22*D22/453.6</f>
        <v>41.666666666666664</v>
      </c>
    </row>
    <row r="23" spans="1:12" ht="13.5" thickBot="1">
      <c r="A23" s="82"/>
      <c r="B23" s="55"/>
      <c r="C23" s="55"/>
      <c r="D23" s="55"/>
      <c r="E23" s="83"/>
      <c r="F23" s="83"/>
      <c r="G23" s="83"/>
      <c r="H23" s="83"/>
      <c r="I23" s="83"/>
      <c r="J23" s="83"/>
      <c r="K23" s="83"/>
      <c r="L23" s="83"/>
    </row>
    <row r="24" spans="1:12" ht="13.5" thickBot="1">
      <c r="A24" s="69" t="s">
        <v>55</v>
      </c>
      <c r="B24" s="331" t="s">
        <v>50</v>
      </c>
      <c r="C24" s="311"/>
      <c r="D24" s="308"/>
      <c r="E24" s="310" t="s">
        <v>8</v>
      </c>
      <c r="F24" s="332"/>
      <c r="G24" s="310" t="s">
        <v>9</v>
      </c>
      <c r="H24" s="333"/>
      <c r="I24" s="332"/>
      <c r="J24" s="310" t="s">
        <v>10</v>
      </c>
      <c r="K24" s="332"/>
      <c r="L24" s="84" t="s">
        <v>12</v>
      </c>
    </row>
    <row r="25" spans="1:12" ht="27" thickBot="1">
      <c r="A25" s="78" t="s">
        <v>72</v>
      </c>
      <c r="B25" s="67">
        <f>B22</f>
        <v>36</v>
      </c>
      <c r="C25" s="67">
        <f>+C22</f>
        <v>72</v>
      </c>
      <c r="D25" s="67"/>
      <c r="E25" s="310">
        <f>+E22</f>
        <v>563.8888888888889</v>
      </c>
      <c r="F25" s="332"/>
      <c r="G25" s="310">
        <f>G22</f>
        <v>116.88888888888889</v>
      </c>
      <c r="H25" s="333"/>
      <c r="I25" s="332"/>
      <c r="J25" s="310">
        <f>J22</f>
        <v>567.7777777777778</v>
      </c>
      <c r="K25" s="332"/>
      <c r="L25" s="80">
        <f>L22</f>
        <v>41.666666666666664</v>
      </c>
    </row>
    <row r="26" spans="1:12" ht="13.5" thickBot="1">
      <c r="A26" s="70" t="s">
        <v>73</v>
      </c>
      <c r="B26" s="66"/>
      <c r="C26" s="82"/>
      <c r="D26" s="86"/>
      <c r="E26" s="310">
        <f>SUM(E25:F25)</f>
        <v>563.8888888888889</v>
      </c>
      <c r="F26" s="308"/>
      <c r="G26" s="310">
        <f>SUM(G25:I25)</f>
        <v>116.88888888888889</v>
      </c>
      <c r="H26" s="311"/>
      <c r="I26" s="308"/>
      <c r="J26" s="310">
        <f>SUM(J25:K25)</f>
        <v>567.7777777777778</v>
      </c>
      <c r="K26" s="308"/>
      <c r="L26" s="79">
        <f>SUM(L25:L25)</f>
        <v>41.666666666666664</v>
      </c>
    </row>
    <row r="27" spans="1:12" ht="12.75">
      <c r="A27" s="52"/>
      <c r="B27" s="52"/>
      <c r="C27" s="52"/>
      <c r="D27" s="52"/>
      <c r="E27" s="258"/>
      <c r="F27" s="96"/>
      <c r="G27" s="258"/>
      <c r="H27" s="96"/>
      <c r="I27" s="96"/>
      <c r="J27" s="258"/>
      <c r="K27" s="96"/>
      <c r="L27" s="258"/>
    </row>
    <row r="28" ht="12.75">
      <c r="A28" s="50" t="s">
        <v>75</v>
      </c>
    </row>
    <row r="29" ht="12.75">
      <c r="A29" s="50" t="s">
        <v>76</v>
      </c>
    </row>
    <row r="30" ht="12.75">
      <c r="A30" s="50" t="s">
        <v>77</v>
      </c>
    </row>
    <row r="31" ht="12.75">
      <c r="A31" s="50" t="s">
        <v>78</v>
      </c>
    </row>
    <row r="32" ht="12.75">
      <c r="A32" s="50" t="s">
        <v>301</v>
      </c>
    </row>
    <row r="33" ht="12.75">
      <c r="A33" s="50"/>
    </row>
    <row r="34" ht="12.75">
      <c r="A34" s="50" t="s">
        <v>302</v>
      </c>
    </row>
    <row r="36" ht="12.75">
      <c r="A36" s="50" t="s">
        <v>303</v>
      </c>
    </row>
  </sheetData>
  <sheetProtection/>
  <mergeCells count="39">
    <mergeCell ref="B14:D14"/>
    <mergeCell ref="E14:F14"/>
    <mergeCell ref="G14:I14"/>
    <mergeCell ref="J14:K14"/>
    <mergeCell ref="B2:C2"/>
    <mergeCell ref="D2:H2"/>
    <mergeCell ref="B9:D9"/>
    <mergeCell ref="B10:B11"/>
    <mergeCell ref="C10:C11"/>
    <mergeCell ref="J20:K20"/>
    <mergeCell ref="G10:I10"/>
    <mergeCell ref="J10:K10"/>
    <mergeCell ref="E16:F16"/>
    <mergeCell ref="G16:I16"/>
    <mergeCell ref="J16:K16"/>
    <mergeCell ref="J15:K15"/>
    <mergeCell ref="E26:F26"/>
    <mergeCell ref="G26:I26"/>
    <mergeCell ref="J26:K26"/>
    <mergeCell ref="B24:D24"/>
    <mergeCell ref="E24:F24"/>
    <mergeCell ref="G24:I24"/>
    <mergeCell ref="J24:K24"/>
    <mergeCell ref="A2:A3"/>
    <mergeCell ref="E25:F25"/>
    <mergeCell ref="G25:I25"/>
    <mergeCell ref="J25:K25"/>
    <mergeCell ref="E10:F10"/>
    <mergeCell ref="B19:D19"/>
    <mergeCell ref="E19:L19"/>
    <mergeCell ref="B20:B21"/>
    <mergeCell ref="C20:C21"/>
    <mergeCell ref="D20:D21"/>
    <mergeCell ref="E15:F15"/>
    <mergeCell ref="G15:I15"/>
    <mergeCell ref="D10:D11"/>
    <mergeCell ref="E9:L9"/>
    <mergeCell ref="E20:F20"/>
    <mergeCell ref="G20:I20"/>
  </mergeCells>
  <printOptions horizontalCentered="1"/>
  <pageMargins left="1" right="0.75" top="1" bottom="1" header="0.5" footer="0.5"/>
  <pageSetup fitToHeight="1" fitToWidth="1" horizontalDpi="600" verticalDpi="600" orientation="landscape" scale="74" r:id="rId1"/>
  <headerFooter alignWithMargins="0">
    <oddHeader xml:space="preserve">&amp;C&amp;"Arial,Bold"&amp;12Mobile Source Emissions for the Operational Phase of the Tosco CARB 
Phase 3 Project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25" sqref="A25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spans="1:4" ht="17.25">
      <c r="A1" s="1"/>
      <c r="C1" s="1" t="s">
        <v>304</v>
      </c>
      <c r="D1" s="1"/>
    </row>
    <row r="2" spans="3:9" ht="17.25">
      <c r="C2" s="1" t="s">
        <v>305</v>
      </c>
      <c r="F2" s="87"/>
      <c r="G2" s="88"/>
      <c r="H2" s="88"/>
      <c r="I2" s="88"/>
    </row>
    <row r="3" ht="13.5" thickBot="1"/>
    <row r="4" spans="1:10" ht="39.75" thickBot="1">
      <c r="A4" s="307" t="s">
        <v>82</v>
      </c>
      <c r="B4" s="311"/>
      <c r="C4" s="82"/>
      <c r="D4" s="54" t="s">
        <v>83</v>
      </c>
      <c r="E4" s="55"/>
      <c r="F4" s="55" t="s">
        <v>84</v>
      </c>
      <c r="G4" s="89" t="s">
        <v>85</v>
      </c>
      <c r="H4" s="89" t="s">
        <v>86</v>
      </c>
      <c r="I4" s="90" t="s">
        <v>87</v>
      </c>
      <c r="J4" s="91" t="s">
        <v>88</v>
      </c>
    </row>
    <row r="5" spans="1:10" ht="12.75">
      <c r="A5" s="81"/>
      <c r="B5" s="52"/>
      <c r="C5" s="52"/>
      <c r="D5" s="92"/>
      <c r="E5" s="52"/>
      <c r="F5" s="52"/>
      <c r="G5" s="52"/>
      <c r="H5" s="52"/>
      <c r="I5" s="52"/>
      <c r="J5" s="93"/>
    </row>
    <row r="6" spans="1:10" ht="12.75">
      <c r="A6" s="69" t="s">
        <v>89</v>
      </c>
      <c r="B6" s="52"/>
      <c r="C6" s="52"/>
      <c r="D6" s="92"/>
      <c r="E6" s="52"/>
      <c r="F6" s="52"/>
      <c r="G6" s="52"/>
      <c r="H6" s="52"/>
      <c r="I6" s="52"/>
      <c r="J6" s="94"/>
    </row>
    <row r="7" spans="1:10" ht="12.75">
      <c r="A7" s="69" t="s">
        <v>90</v>
      </c>
      <c r="B7" s="52"/>
      <c r="D7" s="95">
        <v>0</v>
      </c>
      <c r="E7" s="96"/>
      <c r="F7" s="96" t="s">
        <v>91</v>
      </c>
      <c r="G7" s="96">
        <v>2</v>
      </c>
      <c r="H7" s="96">
        <v>27</v>
      </c>
      <c r="I7" s="52">
        <v>0.0012</v>
      </c>
      <c r="J7" s="97">
        <f>D7*G7*H7*I7</f>
        <v>0</v>
      </c>
    </row>
    <row r="8" spans="1:10" ht="12.75">
      <c r="A8" s="69" t="s">
        <v>92</v>
      </c>
      <c r="B8" s="52"/>
      <c r="C8" s="52"/>
      <c r="D8" s="92"/>
      <c r="E8" s="52"/>
      <c r="F8" s="52"/>
      <c r="G8" s="52"/>
      <c r="H8" s="52"/>
      <c r="I8" s="52"/>
      <c r="J8" s="94"/>
    </row>
    <row r="9" spans="1:10" ht="12.75">
      <c r="A9" s="69"/>
      <c r="B9" s="52"/>
      <c r="C9" s="52"/>
      <c r="D9" s="92"/>
      <c r="E9" s="52"/>
      <c r="F9" s="52"/>
      <c r="G9" s="52"/>
      <c r="H9" s="52"/>
      <c r="I9" s="52"/>
      <c r="J9" s="94"/>
    </row>
    <row r="10" spans="1:10" ht="12.75">
      <c r="A10" s="69" t="s">
        <v>69</v>
      </c>
      <c r="B10" s="52"/>
      <c r="C10" s="52"/>
      <c r="D10" s="95">
        <v>0</v>
      </c>
      <c r="E10" s="52"/>
      <c r="F10" s="96" t="s">
        <v>91</v>
      </c>
      <c r="G10" s="96">
        <v>2</v>
      </c>
      <c r="H10" s="96">
        <v>10</v>
      </c>
      <c r="I10" s="52">
        <v>0.0012</v>
      </c>
      <c r="J10" s="97">
        <f>D10*G10*H10*I10</f>
        <v>0</v>
      </c>
    </row>
    <row r="11" spans="1:10" ht="12.75">
      <c r="A11" s="69"/>
      <c r="B11" s="52"/>
      <c r="C11" s="52"/>
      <c r="D11" s="95"/>
      <c r="E11" s="52"/>
      <c r="F11" s="96"/>
      <c r="G11" s="96"/>
      <c r="H11" s="96"/>
      <c r="I11" s="52"/>
      <c r="J11" s="97"/>
    </row>
    <row r="12" spans="1:10" ht="12.75">
      <c r="A12" s="69" t="s">
        <v>93</v>
      </c>
      <c r="B12" s="52"/>
      <c r="C12" s="52"/>
      <c r="D12" s="95">
        <v>0</v>
      </c>
      <c r="E12" s="52"/>
      <c r="F12" s="96" t="s">
        <v>91</v>
      </c>
      <c r="G12" s="96">
        <v>1</v>
      </c>
      <c r="H12" s="96">
        <v>10</v>
      </c>
      <c r="I12" s="52">
        <v>0.0012</v>
      </c>
      <c r="J12" s="97">
        <f>D12*G12*H12*I12</f>
        <v>0</v>
      </c>
    </row>
    <row r="13" spans="1:10" ht="12.75">
      <c r="A13" s="69"/>
      <c r="B13" s="52"/>
      <c r="C13" s="52"/>
      <c r="D13" s="95"/>
      <c r="E13" s="52"/>
      <c r="F13" s="96"/>
      <c r="G13" s="96"/>
      <c r="H13" s="96"/>
      <c r="I13" s="52"/>
      <c r="J13" s="97"/>
    </row>
    <row r="14" spans="1:10" ht="12.75">
      <c r="A14" s="69" t="s">
        <v>66</v>
      </c>
      <c r="B14" s="52"/>
      <c r="C14" s="52"/>
      <c r="D14" s="95">
        <v>0</v>
      </c>
      <c r="E14" s="52"/>
      <c r="F14" s="96" t="s">
        <v>94</v>
      </c>
      <c r="G14" s="96">
        <v>2</v>
      </c>
      <c r="H14" s="96">
        <v>6</v>
      </c>
      <c r="I14" s="52">
        <v>0.0288</v>
      </c>
      <c r="J14" s="97">
        <f>D14*G14*H14*I14</f>
        <v>0</v>
      </c>
    </row>
    <row r="15" spans="1:10" ht="12.75">
      <c r="A15" s="69"/>
      <c r="B15" s="52"/>
      <c r="C15" s="52"/>
      <c r="D15" s="92"/>
      <c r="E15" s="52"/>
      <c r="F15" s="96"/>
      <c r="G15" s="52"/>
      <c r="H15" s="52"/>
      <c r="I15" s="52"/>
      <c r="J15" s="94"/>
    </row>
    <row r="16" spans="1:10" ht="12.75">
      <c r="A16" s="69" t="s">
        <v>71</v>
      </c>
      <c r="B16" s="52"/>
      <c r="C16" s="52"/>
      <c r="D16" s="95">
        <v>0</v>
      </c>
      <c r="E16" s="96"/>
      <c r="F16" s="96" t="s">
        <v>94</v>
      </c>
      <c r="G16" s="96">
        <v>2</v>
      </c>
      <c r="H16" s="96">
        <v>4</v>
      </c>
      <c r="I16" s="52">
        <v>0.0288</v>
      </c>
      <c r="J16" s="97">
        <f>D16*G16*H16*I16</f>
        <v>0</v>
      </c>
    </row>
    <row r="17" spans="1:10" ht="12.75">
      <c r="A17" s="69" t="s">
        <v>92</v>
      </c>
      <c r="B17" s="52"/>
      <c r="C17" s="52"/>
      <c r="D17" s="92"/>
      <c r="E17" s="52"/>
      <c r="F17" s="52"/>
      <c r="G17" s="52"/>
      <c r="H17" s="52"/>
      <c r="I17" s="52"/>
      <c r="J17" s="94"/>
    </row>
    <row r="18" spans="1:10" ht="12.75">
      <c r="A18" s="69"/>
      <c r="B18" s="52"/>
      <c r="C18" s="52"/>
      <c r="D18" s="92"/>
      <c r="E18" s="52"/>
      <c r="F18" s="52"/>
      <c r="G18" s="52"/>
      <c r="H18" s="52"/>
      <c r="I18" s="52"/>
      <c r="J18" s="94"/>
    </row>
    <row r="19" spans="1:10" ht="12.75">
      <c r="A19" s="69" t="s">
        <v>48</v>
      </c>
      <c r="B19" s="52"/>
      <c r="C19" s="52"/>
      <c r="D19" s="95">
        <v>6</v>
      </c>
      <c r="E19" s="96"/>
      <c r="F19" s="96" t="s">
        <v>94</v>
      </c>
      <c r="G19" s="96">
        <v>2</v>
      </c>
      <c r="H19" s="96">
        <v>50</v>
      </c>
      <c r="I19" s="52">
        <v>0.0288</v>
      </c>
      <c r="J19" s="97">
        <f>D19*G19*H19*I19</f>
        <v>17.28</v>
      </c>
    </row>
    <row r="20" spans="1:10" ht="12.75">
      <c r="A20" s="69" t="s">
        <v>92</v>
      </c>
      <c r="B20" s="52"/>
      <c r="C20" s="52"/>
      <c r="D20" s="92"/>
      <c r="E20" s="52"/>
      <c r="F20" s="52"/>
      <c r="G20" s="52"/>
      <c r="H20" s="52"/>
      <c r="I20" s="52"/>
      <c r="J20" s="94"/>
    </row>
    <row r="21" spans="1:10" ht="13.5" thickBot="1">
      <c r="A21" s="69"/>
      <c r="B21" s="52"/>
      <c r="C21" s="52"/>
      <c r="D21" s="92"/>
      <c r="E21" s="52"/>
      <c r="F21" s="52"/>
      <c r="G21" s="52"/>
      <c r="H21" s="52"/>
      <c r="I21" s="52"/>
      <c r="J21" s="94"/>
    </row>
    <row r="22" spans="1:10" ht="13.5" thickBot="1">
      <c r="A22" s="66" t="s">
        <v>95</v>
      </c>
      <c r="B22" s="82"/>
      <c r="C22" s="82"/>
      <c r="D22" s="54">
        <f>SUM(D7:D21)</f>
        <v>6</v>
      </c>
      <c r="E22" s="82"/>
      <c r="F22" s="82"/>
      <c r="G22" s="82"/>
      <c r="H22" s="82"/>
      <c r="I22" s="82"/>
      <c r="J22" s="67">
        <f>SUM(J7:J21)</f>
        <v>17.28</v>
      </c>
    </row>
    <row r="24" ht="12.75">
      <c r="A24" s="50" t="s">
        <v>96</v>
      </c>
    </row>
    <row r="25" ht="12.75">
      <c r="A25" s="50" t="s">
        <v>306</v>
      </c>
    </row>
  </sheetData>
  <sheetProtection/>
  <mergeCells count="1">
    <mergeCell ref="A4:B4"/>
  </mergeCells>
  <printOptions/>
  <pageMargins left="1" right="0.75" top="1" bottom="1" header="0.5" footer="0.5"/>
  <pageSetup horizontalDpi="300" verticalDpi="3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7">
      <selection activeCell="A25" sqref="A25"/>
    </sheetView>
  </sheetViews>
  <sheetFormatPr defaultColWidth="9.140625" defaultRowHeight="12.75"/>
  <cols>
    <col min="1" max="1" width="22.7109375" style="0" customWidth="1"/>
    <col min="2" max="6" width="10.7109375" style="0" customWidth="1"/>
  </cols>
  <sheetData>
    <row r="1" spans="1:3" ht="13.5" thickBot="1">
      <c r="A1" s="350" t="s">
        <v>307</v>
      </c>
      <c r="B1" s="311"/>
      <c r="C1" s="308"/>
    </row>
    <row r="2" spans="1:3" ht="12.75">
      <c r="A2" s="20" t="s">
        <v>308</v>
      </c>
      <c r="B2" s="20">
        <v>82125000</v>
      </c>
      <c r="C2" s="20" t="s">
        <v>309</v>
      </c>
    </row>
    <row r="3" spans="1:3" ht="12.75">
      <c r="A3" s="20" t="s">
        <v>310</v>
      </c>
      <c r="B3" s="242">
        <v>25000</v>
      </c>
      <c r="C3" s="20" t="s">
        <v>311</v>
      </c>
    </row>
    <row r="4" spans="1:3" ht="12.75">
      <c r="A4" s="20" t="s">
        <v>312</v>
      </c>
      <c r="B4" s="20">
        <f>+B2/B3</f>
        <v>3285</v>
      </c>
      <c r="C4" s="20" t="s">
        <v>313</v>
      </c>
    </row>
    <row r="5" spans="1:3" ht="12.75">
      <c r="A5" s="20" t="s">
        <v>314</v>
      </c>
      <c r="B5" s="20">
        <v>34.25</v>
      </c>
      <c r="C5" s="20" t="s">
        <v>315</v>
      </c>
    </row>
    <row r="6" spans="1:4" ht="12.75">
      <c r="A6" s="20" t="s">
        <v>316</v>
      </c>
      <c r="B6" s="20">
        <f>+B4*B5</f>
        <v>112511.25</v>
      </c>
      <c r="C6" s="20" t="s">
        <v>317</v>
      </c>
      <c r="D6" t="s">
        <v>5</v>
      </c>
    </row>
    <row r="7" spans="1:4" ht="12.75">
      <c r="A7" s="20" t="s">
        <v>318</v>
      </c>
      <c r="B7" s="20">
        <f>+B2*5/2000</f>
        <v>205312.5</v>
      </c>
      <c r="C7" s="20" t="s">
        <v>317</v>
      </c>
      <c r="D7" t="s">
        <v>5</v>
      </c>
    </row>
    <row r="8" spans="1:3" ht="13.5" thickBot="1">
      <c r="A8" s="168" t="s">
        <v>319</v>
      </c>
      <c r="B8" s="168">
        <f>+B7+B6</f>
        <v>317823.75</v>
      </c>
      <c r="C8" s="168" t="s">
        <v>320</v>
      </c>
    </row>
    <row r="9" spans="1:3" ht="13.5" thickBot="1">
      <c r="A9" s="350" t="s">
        <v>321</v>
      </c>
      <c r="B9" s="351"/>
      <c r="C9" s="352"/>
    </row>
    <row r="10" spans="1:3" ht="24.75" customHeight="1">
      <c r="A10" s="259" t="s">
        <v>322</v>
      </c>
      <c r="B10" s="220">
        <v>160</v>
      </c>
      <c r="C10" s="220" t="s">
        <v>323</v>
      </c>
    </row>
    <row r="11" spans="1:3" ht="12.75">
      <c r="A11" s="20" t="s">
        <v>324</v>
      </c>
      <c r="B11" s="20">
        <f>+B10*B8</f>
        <v>50851800</v>
      </c>
      <c r="C11" s="20" t="s">
        <v>325</v>
      </c>
    </row>
    <row r="12" spans="1:3" ht="12.75">
      <c r="A12" s="20" t="s">
        <v>326</v>
      </c>
      <c r="B12" s="20">
        <v>401</v>
      </c>
      <c r="C12" s="20" t="s">
        <v>327</v>
      </c>
    </row>
    <row r="13" spans="1:3" ht="12.75">
      <c r="A13" s="20" t="s">
        <v>328</v>
      </c>
      <c r="B13" s="20">
        <f>+B11/B12</f>
        <v>126812.46882793018</v>
      </c>
      <c r="C13" s="20" t="s">
        <v>329</v>
      </c>
    </row>
    <row r="14" spans="1:3" ht="12.75">
      <c r="A14" s="20"/>
      <c r="B14" s="20"/>
      <c r="C14" s="20"/>
    </row>
    <row r="15" spans="1:3" ht="26.25">
      <c r="A15" s="260" t="s">
        <v>330</v>
      </c>
      <c r="B15" s="20">
        <v>70</v>
      </c>
      <c r="C15" s="20" t="s">
        <v>323</v>
      </c>
    </row>
    <row r="16" spans="1:3" ht="12.75">
      <c r="A16" s="20" t="s">
        <v>331</v>
      </c>
      <c r="B16" s="20">
        <f>+B8*B15</f>
        <v>22247662.5</v>
      </c>
      <c r="C16" s="20" t="s">
        <v>325</v>
      </c>
    </row>
    <row r="17" spans="1:3" ht="12.75">
      <c r="A17" s="20" t="s">
        <v>326</v>
      </c>
      <c r="B17" s="20">
        <v>401</v>
      </c>
      <c r="C17" s="20" t="s">
        <v>327</v>
      </c>
    </row>
    <row r="18" spans="1:3" ht="12.75">
      <c r="A18" s="20" t="s">
        <v>328</v>
      </c>
      <c r="B18" s="20">
        <f>+B16/B17</f>
        <v>55480.45511221945</v>
      </c>
      <c r="C18" s="20" t="s">
        <v>329</v>
      </c>
    </row>
    <row r="20" ht="13.5" thickBot="1"/>
    <row r="21" spans="1:6" ht="15.75" thickBot="1">
      <c r="A21" s="70" t="s">
        <v>341</v>
      </c>
      <c r="B21" s="67" t="s">
        <v>8</v>
      </c>
      <c r="C21" s="67" t="s">
        <v>9</v>
      </c>
      <c r="D21" s="67" t="s">
        <v>10</v>
      </c>
      <c r="E21" s="67" t="s">
        <v>11</v>
      </c>
      <c r="F21" s="67" t="s">
        <v>12</v>
      </c>
    </row>
    <row r="22" spans="1:6" ht="12.75">
      <c r="A22" s="220" t="s">
        <v>332</v>
      </c>
      <c r="B22" s="220">
        <v>26.6</v>
      </c>
      <c r="C22" s="220">
        <v>10</v>
      </c>
      <c r="D22" s="220">
        <v>270</v>
      </c>
      <c r="E22" s="220">
        <v>17</v>
      </c>
      <c r="F22" s="220">
        <v>6.7</v>
      </c>
    </row>
    <row r="23" spans="1:6" ht="12.75">
      <c r="A23" s="20" t="s">
        <v>333</v>
      </c>
      <c r="B23" s="261">
        <f>+B22/453.6</f>
        <v>0.05864197530864197</v>
      </c>
      <c r="C23" s="261">
        <f>+C22/453.6</f>
        <v>0.02204585537918871</v>
      </c>
      <c r="D23" s="261">
        <f>+D22/453.6</f>
        <v>0.5952380952380952</v>
      </c>
      <c r="E23" s="261">
        <f>+E22/453.6</f>
        <v>0.03747795414462081</v>
      </c>
      <c r="F23" s="261">
        <f>+F22/453.6</f>
        <v>0.014770723104056437</v>
      </c>
    </row>
    <row r="24" ht="13.5" thickBot="1"/>
    <row r="25" spans="1:6" ht="13.5" thickBot="1">
      <c r="A25" s="348" t="s">
        <v>334</v>
      </c>
      <c r="B25" s="348" t="s">
        <v>335</v>
      </c>
      <c r="C25" s="348"/>
      <c r="D25" s="348"/>
      <c r="E25" s="348"/>
      <c r="F25" s="348"/>
    </row>
    <row r="26" spans="1:6" ht="13.5" thickBot="1">
      <c r="A26" s="349"/>
      <c r="B26" s="67" t="s">
        <v>8</v>
      </c>
      <c r="C26" s="67" t="s">
        <v>9</v>
      </c>
      <c r="D26" s="67" t="s">
        <v>10</v>
      </c>
      <c r="E26" s="67" t="s">
        <v>11</v>
      </c>
      <c r="F26" s="67" t="s">
        <v>12</v>
      </c>
    </row>
    <row r="27" spans="1:6" ht="12.75">
      <c r="A27" s="262" t="s">
        <v>336</v>
      </c>
      <c r="B27" s="263">
        <f>+B18*B23</f>
        <v>3253.4834788029925</v>
      </c>
      <c r="C27" s="263">
        <f>+B18*C23</f>
        <v>1223.114089775561</v>
      </c>
      <c r="D27" s="263">
        <f>+B18*D23</f>
        <v>33024.08042394015</v>
      </c>
      <c r="E27" s="263">
        <f>+B18*E23</f>
        <v>2079.2939526184537</v>
      </c>
      <c r="F27" s="263">
        <f>+B18*F23</f>
        <v>819.4864401496259</v>
      </c>
    </row>
    <row r="28" spans="1:6" ht="12.75">
      <c r="A28" s="20" t="s">
        <v>337</v>
      </c>
      <c r="B28" s="22">
        <f>+B27/365</f>
        <v>8.91365336658354</v>
      </c>
      <c r="C28" s="22">
        <f>+C27/365</f>
        <v>3.350997506234414</v>
      </c>
      <c r="D28" s="22">
        <f>+D27/365</f>
        <v>90.47693266832917</v>
      </c>
      <c r="E28" s="22">
        <f>+E27/365</f>
        <v>5.696695760598503</v>
      </c>
      <c r="F28" s="22">
        <f>+F27/365</f>
        <v>2.245168329177057</v>
      </c>
    </row>
    <row r="29" spans="1:6" ht="12.75">
      <c r="A29" s="20"/>
      <c r="B29" s="20"/>
      <c r="C29" s="20"/>
      <c r="D29" s="20"/>
      <c r="E29" s="20"/>
      <c r="F29" s="20"/>
    </row>
    <row r="30" spans="1:6" ht="12.75">
      <c r="A30" s="20" t="s">
        <v>338</v>
      </c>
      <c r="B30" s="22">
        <f>+B13*B23</f>
        <v>7436.533665835411</v>
      </c>
      <c r="C30" s="22">
        <f>+B13*C23</f>
        <v>2795.6893480584254</v>
      </c>
      <c r="D30" s="22">
        <f>+B13*D23</f>
        <v>75483.61239757748</v>
      </c>
      <c r="E30" s="22">
        <f>+B13*E23</f>
        <v>4752.671891699323</v>
      </c>
      <c r="F30" s="22">
        <f>+B13*F23</f>
        <v>1873.1118631991449</v>
      </c>
    </row>
    <row r="31" spans="1:6" ht="12.75">
      <c r="A31" s="20" t="s">
        <v>339</v>
      </c>
      <c r="B31" s="22">
        <f>+B30/365</f>
        <v>20.374064837905234</v>
      </c>
      <c r="C31" s="22">
        <f>+C30/365</f>
        <v>7.659422871392946</v>
      </c>
      <c r="D31" s="22">
        <f>+D30/365</f>
        <v>206.80441752760953</v>
      </c>
      <c r="E31" s="22">
        <f>+E30/365</f>
        <v>13.02101888136801</v>
      </c>
      <c r="F31" s="22">
        <f>+F30/365</f>
        <v>5.131813323833273</v>
      </c>
    </row>
    <row r="32" spans="1:6" ht="12.75">
      <c r="A32" s="52"/>
      <c r="B32" s="264"/>
      <c r="C32" s="264"/>
      <c r="D32" s="264"/>
      <c r="E32" s="264"/>
      <c r="F32" s="264"/>
    </row>
    <row r="33" spans="1:6" ht="12.75">
      <c r="A33" s="216" t="s">
        <v>340</v>
      </c>
      <c r="B33" s="264"/>
      <c r="C33" s="264"/>
      <c r="D33" s="264"/>
      <c r="E33" s="264"/>
      <c r="F33" s="264"/>
    </row>
    <row r="35" ht="12.75">
      <c r="A35" s="50" t="s">
        <v>207</v>
      </c>
    </row>
  </sheetData>
  <sheetProtection/>
  <mergeCells count="4">
    <mergeCell ref="B25:F25"/>
    <mergeCell ref="A25:A26"/>
    <mergeCell ref="A1:C1"/>
    <mergeCell ref="A9:C9"/>
  </mergeCells>
  <printOptions/>
  <pageMargins left="0.75" right="0.75" top="1" bottom="1" header="0.5" footer="0.5"/>
  <pageSetup horizontalDpi="600" verticalDpi="600" orientation="landscape" scale="90" r:id="rId1"/>
  <headerFooter alignWithMargins="0">
    <oddHeader>&amp;C&amp;"Arial,Bold"RAIL CAR EMISSIONS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4:A14"/>
  <sheetViews>
    <sheetView zoomScalePageLayoutView="0" workbookViewId="0" topLeftCell="A1">
      <selection activeCell="F5" sqref="F5"/>
    </sheetView>
  </sheetViews>
  <sheetFormatPr defaultColWidth="9.140625" defaultRowHeight="12.75"/>
  <sheetData>
    <row r="14" ht="15">
      <c r="A14" s="139" t="s">
        <v>342</v>
      </c>
    </row>
  </sheetData>
  <sheetProtection/>
  <printOptions/>
  <pageMargins left="0.75" right="0.75" top="1" bottom="1" header="0.5" footer="0.5"/>
  <pageSetup horizontalDpi="400" verticalDpi="4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0" workbookViewId="0" topLeftCell="A4">
      <selection activeCell="A25" sqref="A25"/>
    </sheetView>
  </sheetViews>
  <sheetFormatPr defaultColWidth="15.421875" defaultRowHeight="12.75"/>
  <cols>
    <col min="1" max="1" width="14.140625" style="0" customWidth="1"/>
    <col min="2" max="2" width="19.140625" style="0" customWidth="1"/>
    <col min="3" max="3" width="16.8515625" style="0" customWidth="1"/>
    <col min="4" max="4" width="15.421875" style="0" customWidth="1"/>
    <col min="5" max="5" width="12.140625" style="0" customWidth="1"/>
    <col min="6" max="6" width="12.8515625" style="0" customWidth="1"/>
    <col min="7" max="7" width="12.57421875" style="0" customWidth="1"/>
    <col min="8" max="8" width="12.00390625" style="0" customWidth="1"/>
  </cols>
  <sheetData>
    <row r="1" ht="12.75">
      <c r="A1" s="257" t="s">
        <v>343</v>
      </c>
    </row>
    <row r="2" spans="1:8" ht="16.5" customHeight="1">
      <c r="A2" s="168"/>
      <c r="B2" s="353" t="s">
        <v>344</v>
      </c>
      <c r="C2" s="353" t="s">
        <v>345</v>
      </c>
      <c r="D2" s="355" t="s">
        <v>346</v>
      </c>
      <c r="E2" s="356"/>
      <c r="F2" s="356"/>
      <c r="G2" s="356"/>
      <c r="H2" s="357"/>
    </row>
    <row r="3" spans="1:8" ht="12.75">
      <c r="A3" s="27" t="s">
        <v>347</v>
      </c>
      <c r="B3" s="354"/>
      <c r="C3" s="354"/>
      <c r="D3" s="162" t="s">
        <v>10</v>
      </c>
      <c r="E3" s="162" t="s">
        <v>348</v>
      </c>
      <c r="F3" s="162" t="s">
        <v>8</v>
      </c>
      <c r="G3" s="162" t="s">
        <v>349</v>
      </c>
      <c r="H3" s="162" t="s">
        <v>11</v>
      </c>
    </row>
    <row r="4" spans="1:8" ht="12.75">
      <c r="A4" s="20" t="s">
        <v>350</v>
      </c>
      <c r="B4" s="20" t="s">
        <v>351</v>
      </c>
      <c r="C4" s="20" t="s">
        <v>166</v>
      </c>
      <c r="D4" s="20">
        <v>639</v>
      </c>
      <c r="E4" s="20">
        <v>18</v>
      </c>
      <c r="F4" s="20">
        <v>55</v>
      </c>
      <c r="G4" s="20">
        <v>57</v>
      </c>
      <c r="H4" s="20">
        <v>363</v>
      </c>
    </row>
    <row r="5" spans="1:8" ht="12.75">
      <c r="A5" s="20"/>
      <c r="B5" s="20" t="s">
        <v>352</v>
      </c>
      <c r="C5" s="20" t="s">
        <v>166</v>
      </c>
      <c r="D5" s="20">
        <v>64</v>
      </c>
      <c r="E5" s="20">
        <v>2</v>
      </c>
      <c r="F5" s="20">
        <v>7</v>
      </c>
      <c r="G5" s="20">
        <v>57</v>
      </c>
      <c r="H5" s="20">
        <v>363</v>
      </c>
    </row>
    <row r="8" ht="12.75">
      <c r="A8" s="257" t="s">
        <v>353</v>
      </c>
    </row>
    <row r="9" spans="1:8" ht="12.75">
      <c r="A9" s="168"/>
      <c r="B9" s="353" t="s">
        <v>344</v>
      </c>
      <c r="C9" s="353" t="s">
        <v>345</v>
      </c>
      <c r="D9" s="355" t="s">
        <v>354</v>
      </c>
      <c r="E9" s="356"/>
      <c r="F9" s="356"/>
      <c r="G9" s="356"/>
      <c r="H9" s="357"/>
    </row>
    <row r="10" spans="1:8" ht="12.75">
      <c r="A10" s="27" t="s">
        <v>347</v>
      </c>
      <c r="B10" s="354"/>
      <c r="C10" s="354"/>
      <c r="D10" s="162" t="s">
        <v>10</v>
      </c>
      <c r="E10" s="162" t="s">
        <v>348</v>
      </c>
      <c r="F10" s="162" t="s">
        <v>8</v>
      </c>
      <c r="G10" s="162" t="s">
        <v>349</v>
      </c>
      <c r="H10" s="162" t="s">
        <v>11</v>
      </c>
    </row>
    <row r="11" spans="1:8" ht="12.75">
      <c r="A11" s="20" t="s">
        <v>350</v>
      </c>
      <c r="B11" s="20" t="s">
        <v>351</v>
      </c>
      <c r="C11" s="20" t="s">
        <v>166</v>
      </c>
      <c r="D11" s="20">
        <v>639</v>
      </c>
      <c r="E11" s="20">
        <v>19</v>
      </c>
      <c r="F11" s="20">
        <v>58</v>
      </c>
      <c r="G11" s="20">
        <v>57</v>
      </c>
      <c r="H11" s="20">
        <v>363</v>
      </c>
    </row>
    <row r="12" spans="1:8" ht="12.75">
      <c r="A12" s="20"/>
      <c r="B12" s="20" t="s">
        <v>352</v>
      </c>
      <c r="C12" s="20" t="s">
        <v>166</v>
      </c>
      <c r="D12" s="20">
        <v>56</v>
      </c>
      <c r="E12" s="20">
        <v>0.7</v>
      </c>
      <c r="F12" s="20">
        <v>3.5</v>
      </c>
      <c r="G12" s="20">
        <v>20</v>
      </c>
      <c r="H12" s="20">
        <v>363</v>
      </c>
    </row>
    <row r="15" ht="12.75">
      <c r="A15" s="257" t="s">
        <v>355</v>
      </c>
    </row>
    <row r="16" spans="1:8" ht="12.75">
      <c r="A16" s="168"/>
      <c r="B16" s="353" t="s">
        <v>344</v>
      </c>
      <c r="C16" s="353" t="s">
        <v>345</v>
      </c>
      <c r="D16" s="355" t="s">
        <v>356</v>
      </c>
      <c r="E16" s="356"/>
      <c r="F16" s="356"/>
      <c r="G16" s="356"/>
      <c r="H16" s="357"/>
    </row>
    <row r="17" spans="1:8" ht="12.75">
      <c r="A17" s="27" t="s">
        <v>347</v>
      </c>
      <c r="B17" s="354"/>
      <c r="C17" s="354"/>
      <c r="D17" s="162" t="s">
        <v>10</v>
      </c>
      <c r="E17" s="162" t="s">
        <v>348</v>
      </c>
      <c r="F17" s="162" t="s">
        <v>8</v>
      </c>
      <c r="G17" s="162" t="s">
        <v>349</v>
      </c>
      <c r="H17" s="162" t="s">
        <v>11</v>
      </c>
    </row>
    <row r="18" spans="1:8" ht="12.75">
      <c r="A18" s="20" t="s">
        <v>350</v>
      </c>
      <c r="B18" s="20" t="s">
        <v>351</v>
      </c>
      <c r="C18" s="20" t="s">
        <v>357</v>
      </c>
      <c r="D18" s="20">
        <v>14.7</v>
      </c>
      <c r="E18" s="20">
        <v>2.8</v>
      </c>
      <c r="F18" s="20">
        <v>1.6</v>
      </c>
      <c r="G18" s="20">
        <v>0.6</v>
      </c>
      <c r="H18" s="20">
        <v>8</v>
      </c>
    </row>
    <row r="19" spans="1:8" ht="12.75">
      <c r="A19" s="20"/>
      <c r="B19" s="20"/>
      <c r="C19" s="20" t="s">
        <v>199</v>
      </c>
      <c r="D19" s="20">
        <v>2.7</v>
      </c>
      <c r="E19" s="20">
        <v>0.1</v>
      </c>
      <c r="F19" s="20">
        <v>1.1</v>
      </c>
      <c r="G19" s="20">
        <v>0.3</v>
      </c>
      <c r="H19" s="20">
        <v>6.8</v>
      </c>
    </row>
    <row r="20" spans="1:8" ht="12.75">
      <c r="A20" s="20"/>
      <c r="B20" s="20" t="s">
        <v>352</v>
      </c>
      <c r="C20" s="20" t="s">
        <v>166</v>
      </c>
      <c r="D20" s="20">
        <v>19.6</v>
      </c>
      <c r="E20" s="20">
        <v>0.8</v>
      </c>
      <c r="F20" s="20">
        <v>1</v>
      </c>
      <c r="G20" s="20">
        <v>2.7</v>
      </c>
      <c r="H20" s="20">
        <v>20.9</v>
      </c>
    </row>
    <row r="23" ht="12.75">
      <c r="A23" s="257" t="s">
        <v>358</v>
      </c>
    </row>
    <row r="24" spans="2:6" ht="12.75">
      <c r="B24" s="358" t="s">
        <v>359</v>
      </c>
      <c r="C24" s="358"/>
      <c r="D24" s="358"/>
      <c r="E24" s="358"/>
      <c r="F24" s="358"/>
    </row>
    <row r="25" spans="1:6" ht="12.75">
      <c r="A25" s="20" t="s">
        <v>347</v>
      </c>
      <c r="B25" s="162" t="s">
        <v>10</v>
      </c>
      <c r="C25" s="162" t="s">
        <v>348</v>
      </c>
      <c r="D25" s="162" t="s">
        <v>8</v>
      </c>
      <c r="E25" s="162" t="s">
        <v>349</v>
      </c>
      <c r="F25" s="162" t="s">
        <v>11</v>
      </c>
    </row>
    <row r="26" spans="1:6" ht="12.75">
      <c r="A26" s="20" t="s">
        <v>360</v>
      </c>
      <c r="B26" s="20">
        <v>419</v>
      </c>
      <c r="C26" s="20">
        <v>19</v>
      </c>
      <c r="D26" s="20">
        <v>57</v>
      </c>
      <c r="E26" s="20">
        <v>9</v>
      </c>
      <c r="F26" s="20">
        <v>75</v>
      </c>
    </row>
    <row r="29" spans="1:5" ht="12.75">
      <c r="A29" s="267" t="s">
        <v>361</v>
      </c>
      <c r="B29" s="20"/>
      <c r="C29" s="20"/>
      <c r="E29" s="257" t="s">
        <v>362</v>
      </c>
    </row>
    <row r="30" spans="1:8" ht="28.5" customHeight="1">
      <c r="A30" s="20" t="s">
        <v>363</v>
      </c>
      <c r="B30" s="20" t="s">
        <v>364</v>
      </c>
      <c r="C30" s="260" t="s">
        <v>365</v>
      </c>
      <c r="E30" s="260" t="s">
        <v>366</v>
      </c>
      <c r="F30" s="260" t="s">
        <v>367</v>
      </c>
      <c r="G30" s="359" t="s">
        <v>368</v>
      </c>
      <c r="H30" s="359"/>
    </row>
    <row r="31" spans="1:8" ht="12.75">
      <c r="A31" s="20" t="s">
        <v>369</v>
      </c>
      <c r="B31" s="20" t="s">
        <v>370</v>
      </c>
      <c r="C31" s="20">
        <v>483</v>
      </c>
      <c r="E31" s="20">
        <f>483*6.5</f>
        <v>3139.5</v>
      </c>
      <c r="F31" s="20">
        <f>483*2</f>
        <v>966</v>
      </c>
      <c r="G31" s="355">
        <f>E31+F31</f>
        <v>4105.5</v>
      </c>
      <c r="H31" s="357"/>
    </row>
    <row r="32" spans="1:8" ht="12.75">
      <c r="A32" s="20" t="s">
        <v>371</v>
      </c>
      <c r="B32" s="20" t="s">
        <v>370</v>
      </c>
      <c r="C32" s="20">
        <v>1112</v>
      </c>
      <c r="E32" s="20">
        <f>1112*6.5</f>
        <v>7228</v>
      </c>
      <c r="F32" s="20">
        <f>1112*2</f>
        <v>2224</v>
      </c>
      <c r="G32" s="355">
        <f>E32+F32</f>
        <v>9452</v>
      </c>
      <c r="H32" s="357"/>
    </row>
    <row r="33" ht="12.75">
      <c r="A33" t="s">
        <v>372</v>
      </c>
    </row>
    <row r="34" ht="12.75">
      <c r="A34" t="s">
        <v>373</v>
      </c>
    </row>
    <row r="35" ht="12.75">
      <c r="A35" t="s">
        <v>374</v>
      </c>
    </row>
    <row r="36" ht="12.75">
      <c r="A36" t="s">
        <v>375</v>
      </c>
    </row>
    <row r="37" ht="12.75">
      <c r="A37" t="s">
        <v>376</v>
      </c>
    </row>
    <row r="38" ht="12.75">
      <c r="A38" t="s">
        <v>377</v>
      </c>
    </row>
    <row r="41" ht="12.75">
      <c r="A41" s="257" t="s">
        <v>378</v>
      </c>
    </row>
    <row r="42" spans="1:6" ht="12.75">
      <c r="A42" s="20" t="s">
        <v>344</v>
      </c>
      <c r="B42" s="162" t="s">
        <v>10</v>
      </c>
      <c r="C42" s="162" t="s">
        <v>348</v>
      </c>
      <c r="D42" s="162" t="s">
        <v>8</v>
      </c>
      <c r="E42" s="162" t="s">
        <v>349</v>
      </c>
      <c r="F42" s="162" t="s">
        <v>11</v>
      </c>
    </row>
    <row r="43" spans="1:6" ht="12.75">
      <c r="A43" s="20" t="s">
        <v>369</v>
      </c>
      <c r="B43" s="20">
        <f>D4*$E$31/1000</f>
        <v>2006.1405</v>
      </c>
      <c r="C43" s="20">
        <f>E4*$E$31/1000</f>
        <v>56.511</v>
      </c>
      <c r="D43" s="20">
        <f>F4*$E$31/1000</f>
        <v>172.6725</v>
      </c>
      <c r="E43" s="20">
        <f>G4*$E$31/1000</f>
        <v>178.9515</v>
      </c>
      <c r="F43" s="20">
        <f>H4*$E$31/1000</f>
        <v>1139.6385</v>
      </c>
    </row>
    <row r="44" spans="1:6" ht="12.75">
      <c r="A44" s="20" t="s">
        <v>371</v>
      </c>
      <c r="B44" s="20">
        <f>D5*$E$32/1000</f>
        <v>462.592</v>
      </c>
      <c r="C44" s="20">
        <f>E5*$E$32/1000</f>
        <v>14.456</v>
      </c>
      <c r="D44" s="20">
        <f>F5*$E$32/1000</f>
        <v>50.596</v>
      </c>
      <c r="E44" s="20">
        <f>G5*$E$32/1000</f>
        <v>411.996</v>
      </c>
      <c r="F44" s="20">
        <f>H5*$E$32/1000</f>
        <v>2623.764</v>
      </c>
    </row>
    <row r="53" ht="12.75">
      <c r="G53" s="268"/>
    </row>
    <row r="54" ht="12.75">
      <c r="G54" s="258"/>
    </row>
    <row r="55" ht="12.75">
      <c r="G55" s="258"/>
    </row>
    <row r="56" ht="12.75">
      <c r="G56" s="258"/>
    </row>
    <row r="57" spans="6:7" ht="12.75">
      <c r="F57" s="52"/>
      <c r="G57" s="52"/>
    </row>
    <row r="58" spans="6:7" ht="12.75">
      <c r="F58" s="269"/>
      <c r="G58" s="269"/>
    </row>
    <row r="59" ht="12.75">
      <c r="A59" s="270" t="s">
        <v>379</v>
      </c>
    </row>
    <row r="60" ht="12.75">
      <c r="A60" s="257" t="s">
        <v>380</v>
      </c>
    </row>
    <row r="61" spans="1:5" ht="26.25">
      <c r="A61" s="271"/>
      <c r="B61" s="20" t="s">
        <v>381</v>
      </c>
      <c r="C61" s="272" t="s">
        <v>382</v>
      </c>
      <c r="D61" s="162" t="s">
        <v>383</v>
      </c>
      <c r="E61" s="162" t="s">
        <v>95</v>
      </c>
    </row>
    <row r="62" spans="1:5" ht="12.75">
      <c r="A62" s="273" t="s">
        <v>384</v>
      </c>
      <c r="B62" s="274"/>
      <c r="C62" s="274"/>
      <c r="D62" s="274"/>
      <c r="E62" s="274"/>
    </row>
    <row r="63" spans="1:5" ht="12.75">
      <c r="A63" s="20" t="s">
        <v>369</v>
      </c>
      <c r="B63" s="162">
        <v>0</v>
      </c>
      <c r="C63" s="275">
        <f>B63*G$31</f>
        <v>0</v>
      </c>
      <c r="D63" s="275">
        <f>2*45*B63</f>
        <v>0</v>
      </c>
      <c r="E63" s="275">
        <f>C63+D63</f>
        <v>0</v>
      </c>
    </row>
    <row r="64" spans="1:5" ht="12.75">
      <c r="A64" s="20" t="s">
        <v>371</v>
      </c>
      <c r="B64" s="162">
        <v>0</v>
      </c>
      <c r="C64" s="275">
        <f>G$32*B64</f>
        <v>0</v>
      </c>
      <c r="D64" s="275">
        <f>2*45*B64</f>
        <v>0</v>
      </c>
      <c r="E64" s="275">
        <f>C64+D64</f>
        <v>0</v>
      </c>
    </row>
    <row r="65" spans="1:5" ht="12.75">
      <c r="A65" s="20" t="s">
        <v>385</v>
      </c>
      <c r="B65" s="162">
        <v>0</v>
      </c>
      <c r="C65" s="275">
        <f>SUM(C63:C64)</f>
        <v>0</v>
      </c>
      <c r="D65" s="275">
        <f>SUM(D63:D64)</f>
        <v>0</v>
      </c>
      <c r="E65" s="275">
        <f>C65+D65</f>
        <v>0</v>
      </c>
    </row>
    <row r="66" spans="1:5" ht="12.75">
      <c r="A66" s="273" t="s">
        <v>386</v>
      </c>
      <c r="B66" s="274"/>
      <c r="C66" s="274"/>
      <c r="D66" s="274"/>
      <c r="E66" s="274"/>
    </row>
    <row r="67" spans="1:5" ht="12.75">
      <c r="A67" s="20" t="s">
        <v>369</v>
      </c>
      <c r="B67" s="162">
        <v>10</v>
      </c>
      <c r="C67" s="275">
        <f>B67*G$31</f>
        <v>41055</v>
      </c>
      <c r="D67" s="275">
        <f>2*45*B67</f>
        <v>900</v>
      </c>
      <c r="E67" s="275">
        <f>C67+D67</f>
        <v>41955</v>
      </c>
    </row>
    <row r="68" spans="1:5" ht="12.75">
      <c r="A68" s="20" t="s">
        <v>371</v>
      </c>
      <c r="B68" s="162">
        <v>10</v>
      </c>
      <c r="C68" s="275">
        <f>G$32*B68</f>
        <v>94520</v>
      </c>
      <c r="D68" s="275">
        <f>2*45*B68</f>
        <v>900</v>
      </c>
      <c r="E68" s="275">
        <f>C68+D68</f>
        <v>95420</v>
      </c>
    </row>
    <row r="69" spans="1:5" ht="12.75">
      <c r="A69" s="20" t="s">
        <v>385</v>
      </c>
      <c r="B69" s="162">
        <f>SUM(B67:B68)</f>
        <v>20</v>
      </c>
      <c r="C69" s="275">
        <f>SUM(C67:C68)</f>
        <v>135575</v>
      </c>
      <c r="D69" s="275">
        <f>SUM(D67:D68)</f>
        <v>1800</v>
      </c>
      <c r="E69" s="275">
        <f>C69+D69</f>
        <v>137375</v>
      </c>
    </row>
    <row r="70" spans="1:5" ht="12.75">
      <c r="A70" s="52"/>
      <c r="B70" s="52"/>
      <c r="C70" s="52"/>
      <c r="D70" s="52"/>
      <c r="E70" s="52"/>
    </row>
    <row r="71" spans="1:5" ht="12.75">
      <c r="A71" s="276" t="s">
        <v>387</v>
      </c>
      <c r="B71" s="277">
        <f>B69-B65</f>
        <v>20</v>
      </c>
      <c r="C71" s="269">
        <f>C69-C65</f>
        <v>135575</v>
      </c>
      <c r="D71" s="269">
        <f>D69-D65</f>
        <v>1800</v>
      </c>
      <c r="E71" s="269">
        <f>E69-E65</f>
        <v>137375</v>
      </c>
    </row>
  </sheetData>
  <sheetProtection/>
  <mergeCells count="13">
    <mergeCell ref="D16:H16"/>
    <mergeCell ref="B24:F24"/>
    <mergeCell ref="G31:H31"/>
    <mergeCell ref="G32:H32"/>
    <mergeCell ref="G30:H30"/>
    <mergeCell ref="B16:B17"/>
    <mergeCell ref="C16:C17"/>
    <mergeCell ref="B2:B3"/>
    <mergeCell ref="C2:C3"/>
    <mergeCell ref="D2:H2"/>
    <mergeCell ref="B9:B10"/>
    <mergeCell ref="C9:C10"/>
    <mergeCell ref="D9:H9"/>
  </mergeCells>
  <printOptions horizontalCentered="1"/>
  <pageMargins left="0.75" right="0.75" top="0.75" bottom="1" header="0.5" footer="0.5"/>
  <pageSetup fitToHeight="1" fitToWidth="1" horizontalDpi="600" verticalDpi="600" orientation="landscape" scale="84" r:id="rId1"/>
  <headerFooter alignWithMargins="0">
    <oddHeader>&amp;C&amp;"Arial,Bold"&amp;12Alternative 1
Emission Factors for Marine Vessels</oddHeader>
  </headerFooter>
  <rowBreaks count="1" manualBreakCount="1">
    <brk id="4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9.7109375" style="0" customWidth="1"/>
    <col min="2" max="2" width="12.421875" style="0" customWidth="1"/>
    <col min="3" max="3" width="13.00390625" style="0" customWidth="1"/>
    <col min="4" max="4" width="13.57421875" style="0" customWidth="1"/>
    <col min="5" max="5" width="12.421875" style="0" customWidth="1"/>
    <col min="6" max="6" width="11.57421875" style="0" customWidth="1"/>
    <col min="7" max="7" width="12.57421875" style="0" customWidth="1"/>
    <col min="8" max="8" width="11.57421875" style="0" customWidth="1"/>
    <col min="9" max="9" width="12.57421875" style="0" customWidth="1"/>
    <col min="10" max="10" width="12.00390625" style="0" customWidth="1"/>
    <col min="11" max="11" width="11.00390625" style="0" customWidth="1"/>
    <col min="12" max="12" width="10.140625" style="0" customWidth="1"/>
    <col min="13" max="13" width="9.8515625" style="0" customWidth="1"/>
    <col min="14" max="15" width="13.7109375" style="0" bestFit="1" customWidth="1"/>
    <col min="19" max="19" width="9.57421875" style="0" bestFit="1" customWidth="1"/>
  </cols>
  <sheetData>
    <row r="1" spans="2:13" ht="12.75">
      <c r="B1" s="257" t="s">
        <v>388</v>
      </c>
      <c r="G1" s="278" t="s">
        <v>389</v>
      </c>
      <c r="H1" s="278"/>
      <c r="I1" s="278"/>
      <c r="J1" s="278"/>
      <c r="K1" s="278"/>
      <c r="L1" s="278"/>
      <c r="M1" s="278"/>
    </row>
    <row r="2" spans="2:13" ht="12.75">
      <c r="B2" s="257" t="s">
        <v>390</v>
      </c>
      <c r="G2" s="271"/>
      <c r="H2" s="20" t="s">
        <v>381</v>
      </c>
      <c r="I2" s="162" t="s">
        <v>10</v>
      </c>
      <c r="J2" s="162" t="s">
        <v>348</v>
      </c>
      <c r="K2" s="162" t="s">
        <v>8</v>
      </c>
      <c r="L2" s="162" t="s">
        <v>349</v>
      </c>
      <c r="M2" s="162" t="s">
        <v>11</v>
      </c>
    </row>
    <row r="3" spans="2:20" ht="12.75">
      <c r="B3" s="20" t="s">
        <v>391</v>
      </c>
      <c r="C3" s="20" t="s">
        <v>392</v>
      </c>
      <c r="D3" s="20" t="s">
        <v>393</v>
      </c>
      <c r="E3" s="20" t="s">
        <v>394</v>
      </c>
      <c r="G3" s="360" t="s">
        <v>384</v>
      </c>
      <c r="H3" s="361"/>
      <c r="I3" s="361"/>
      <c r="J3" s="361"/>
      <c r="K3" s="361"/>
      <c r="L3" s="361"/>
      <c r="M3" s="362"/>
      <c r="P3" s="165"/>
      <c r="Q3" s="165"/>
      <c r="R3" s="165"/>
      <c r="S3" s="165"/>
      <c r="T3" s="165"/>
    </row>
    <row r="4" spans="2:13" ht="12.75">
      <c r="B4" s="27" t="s">
        <v>270</v>
      </c>
      <c r="C4" s="27">
        <v>0</v>
      </c>
      <c r="D4" s="27">
        <v>0</v>
      </c>
      <c r="E4" s="27">
        <v>12</v>
      </c>
      <c r="G4" s="20" t="s">
        <v>369</v>
      </c>
      <c r="H4" s="162">
        <v>0</v>
      </c>
      <c r="I4" s="275">
        <f>'[1]Ship Emission Assumptions '!B43*$H$4</f>
        <v>0</v>
      </c>
      <c r="J4" s="275">
        <f>'[1]Ship Emission Assumptions '!C43*$H$4</f>
        <v>0</v>
      </c>
      <c r="K4" s="275">
        <f>'[1]Ship Emission Assumptions '!D43*$H$4</f>
        <v>0</v>
      </c>
      <c r="L4" s="275">
        <f>'[1]Ship Emission Assumptions '!E43*$H$4</f>
        <v>0</v>
      </c>
      <c r="M4" s="275">
        <f>'[1]Ship Emission Assumptions '!F43*$H$4</f>
        <v>0</v>
      </c>
    </row>
    <row r="5" spans="2:20" ht="12.75">
      <c r="B5" s="20" t="s">
        <v>265</v>
      </c>
      <c r="C5" s="20">
        <v>0</v>
      </c>
      <c r="D5" s="20">
        <v>20</v>
      </c>
      <c r="E5" s="20">
        <v>12</v>
      </c>
      <c r="G5" s="20" t="s">
        <v>371</v>
      </c>
      <c r="H5" s="162">
        <v>0</v>
      </c>
      <c r="I5" s="275">
        <f>'[1]Ship Emission Assumptions '!B44*$H$5</f>
        <v>0</v>
      </c>
      <c r="J5" s="275">
        <f>'[1]Ship Emission Assumptions '!C44*$H$5</f>
        <v>0</v>
      </c>
      <c r="K5" s="275">
        <f>'[1]Ship Emission Assumptions '!D44*$H$5</f>
        <v>0</v>
      </c>
      <c r="L5" s="275">
        <f>'[1]Ship Emission Assumptions '!E44*$H$5</f>
        <v>0</v>
      </c>
      <c r="M5" s="275">
        <f>'[1]Ship Emission Assumptions '!F44*$H$5</f>
        <v>0</v>
      </c>
      <c r="P5" s="165"/>
      <c r="Q5" s="165"/>
      <c r="R5" s="165"/>
      <c r="S5" s="165"/>
      <c r="T5" s="165"/>
    </row>
    <row r="6" spans="2:13" ht="12.75">
      <c r="B6" s="20" t="s">
        <v>395</v>
      </c>
      <c r="C6" s="20">
        <v>0</v>
      </c>
      <c r="D6" s="20">
        <v>0</v>
      </c>
      <c r="E6" s="20">
        <v>81</v>
      </c>
      <c r="G6" s="20" t="s">
        <v>385</v>
      </c>
      <c r="H6" s="162">
        <v>0</v>
      </c>
      <c r="I6" s="275">
        <f>SUM(I4:I5)</f>
        <v>0</v>
      </c>
      <c r="J6" s="275">
        <f>SUM(J4:J5)</f>
        <v>0</v>
      </c>
      <c r="K6" s="275">
        <f>SUM(K4:K5)</f>
        <v>0</v>
      </c>
      <c r="L6" s="275">
        <f>SUM(L4:L5)</f>
        <v>0</v>
      </c>
      <c r="M6" s="275">
        <f>SUM(M4:M5)</f>
        <v>0</v>
      </c>
    </row>
    <row r="7" spans="7:13" ht="12.75">
      <c r="G7" s="360" t="s">
        <v>386</v>
      </c>
      <c r="H7" s="361"/>
      <c r="I7" s="361"/>
      <c r="J7" s="361"/>
      <c r="K7" s="361"/>
      <c r="L7" s="361"/>
      <c r="M7" s="362"/>
    </row>
    <row r="8" spans="2:13" ht="12.75">
      <c r="B8" t="s">
        <v>396</v>
      </c>
      <c r="G8" s="20" t="s">
        <v>369</v>
      </c>
      <c r="H8" s="162">
        <v>10</v>
      </c>
      <c r="I8" s="275">
        <f>'[1]Ship Emission Assumptions '!B43*$H$8</f>
        <v>20061.405</v>
      </c>
      <c r="J8" s="275">
        <f>'[1]Ship Emission Assumptions '!C43*$H$8</f>
        <v>565.11</v>
      </c>
      <c r="K8" s="275">
        <f>'[1]Ship Emission Assumptions '!D43*$H$8</f>
        <v>1726.7250000000001</v>
      </c>
      <c r="L8" s="275">
        <f>'[1]Ship Emission Assumptions '!E43*$H$8</f>
        <v>1789.515</v>
      </c>
      <c r="M8" s="275">
        <f>'[1]Ship Emission Assumptions '!F43*$H$8</f>
        <v>11396.385</v>
      </c>
    </row>
    <row r="9" spans="7:13" ht="12.75">
      <c r="G9" s="20" t="s">
        <v>371</v>
      </c>
      <c r="H9" s="162">
        <v>10</v>
      </c>
      <c r="I9" s="275">
        <f>'[1]Ship Emission Assumptions '!B44*$H$9</f>
        <v>4625.92</v>
      </c>
      <c r="J9" s="275">
        <f>'[1]Ship Emission Assumptions '!C44*$H$9</f>
        <v>144.56</v>
      </c>
      <c r="K9" s="275">
        <f>'[1]Ship Emission Assumptions '!D44*$H$9</f>
        <v>505.96</v>
      </c>
      <c r="L9" s="275">
        <f>'[1]Ship Emission Assumptions '!E44*$H$9</f>
        <v>4119.96</v>
      </c>
      <c r="M9" s="275">
        <f>'[1]Ship Emission Assumptions '!F44*$H$9</f>
        <v>26237.64</v>
      </c>
    </row>
    <row r="10" spans="7:13" ht="12.75">
      <c r="G10" s="20" t="s">
        <v>385</v>
      </c>
      <c r="H10" s="162">
        <f aca="true" t="shared" si="0" ref="H10:M10">SUM(H8:H9)</f>
        <v>20</v>
      </c>
      <c r="I10" s="275">
        <f t="shared" si="0"/>
        <v>24687.324999999997</v>
      </c>
      <c r="J10" s="275">
        <f t="shared" si="0"/>
        <v>709.6700000000001</v>
      </c>
      <c r="K10" s="275">
        <f t="shared" si="0"/>
        <v>2232.685</v>
      </c>
      <c r="L10" s="275">
        <f t="shared" si="0"/>
        <v>5909.475</v>
      </c>
      <c r="M10" s="275">
        <f t="shared" si="0"/>
        <v>37634.025</v>
      </c>
    </row>
    <row r="11" spans="7:13" ht="12.75">
      <c r="G11" s="52"/>
      <c r="H11" s="52"/>
      <c r="I11" s="52"/>
      <c r="J11" s="52"/>
      <c r="K11" s="52"/>
      <c r="L11" s="52"/>
      <c r="M11" s="52"/>
    </row>
    <row r="12" spans="1:13" ht="12.75">
      <c r="A12" s="257" t="str">
        <f>'[1]Ship Emission Assumptions '!A60</f>
        <v>Fuel Consumption per Year, gals</v>
      </c>
      <c r="G12" s="279" t="s">
        <v>397</v>
      </c>
      <c r="H12" s="280">
        <f aca="true" t="shared" si="1" ref="H12:M12">H10-H6</f>
        <v>20</v>
      </c>
      <c r="I12" s="281">
        <f t="shared" si="1"/>
        <v>24687.324999999997</v>
      </c>
      <c r="J12" s="281">
        <f t="shared" si="1"/>
        <v>709.6700000000001</v>
      </c>
      <c r="K12" s="281">
        <f t="shared" si="1"/>
        <v>2232.685</v>
      </c>
      <c r="L12" s="281">
        <f t="shared" si="1"/>
        <v>5909.475</v>
      </c>
      <c r="M12" s="281">
        <f t="shared" si="1"/>
        <v>37634.025</v>
      </c>
    </row>
    <row r="13" spans="1:5" s="52" customFormat="1" ht="26.25">
      <c r="A13" s="260" t="s">
        <v>344</v>
      </c>
      <c r="B13" s="162" t="str">
        <f>'[1]Ship Emission Assumptions '!B61</f>
        <v>No. Ships</v>
      </c>
      <c r="C13" s="272" t="str">
        <f>'[1]Ship Emission Assumptions '!C61</f>
        <v>Cruising &amp; Maneuvering</v>
      </c>
      <c r="D13" s="162" t="str">
        <f>'[1]Ship Emission Assumptions '!D61</f>
        <v>Tug Boats</v>
      </c>
      <c r="E13" s="162" t="str">
        <f>'[1]Ship Emission Assumptions '!E61</f>
        <v>Total</v>
      </c>
    </row>
    <row r="14" spans="1:13" ht="12.75">
      <c r="A14" s="367" t="str">
        <f>'[1]Ship Emission Assumptions '!A62</f>
        <v>Currently</v>
      </c>
      <c r="B14" s="367"/>
      <c r="C14" s="367"/>
      <c r="D14" s="367"/>
      <c r="E14" s="367"/>
      <c r="G14" s="278" t="s">
        <v>398</v>
      </c>
      <c r="H14" s="278"/>
      <c r="I14" s="278"/>
      <c r="J14" s="278"/>
      <c r="K14" s="278"/>
      <c r="L14" s="278"/>
      <c r="M14" s="278"/>
    </row>
    <row r="15" spans="1:13" ht="12.75">
      <c r="A15" s="20" t="str">
        <f>'[1]Ship Emission Assumptions '!A63</f>
        <v>Motor</v>
      </c>
      <c r="B15" s="20">
        <v>0</v>
      </c>
      <c r="C15" s="20">
        <f>'[1]Ship Emission Assumptions '!C63</f>
        <v>0</v>
      </c>
      <c r="D15" s="20">
        <f>'[1]Ship Emission Assumptions '!D63</f>
        <v>0</v>
      </c>
      <c r="E15" s="20">
        <f>'[1]Ship Emission Assumptions '!E63</f>
        <v>0</v>
      </c>
      <c r="G15" s="52"/>
      <c r="H15" s="20" t="s">
        <v>381</v>
      </c>
      <c r="I15" s="168" t="s">
        <v>10</v>
      </c>
      <c r="J15" s="168" t="s">
        <v>348</v>
      </c>
      <c r="K15" s="168" t="s">
        <v>8</v>
      </c>
      <c r="L15" s="168" t="s">
        <v>349</v>
      </c>
      <c r="M15" s="168" t="s">
        <v>11</v>
      </c>
    </row>
    <row r="16" spans="1:13" ht="12.75">
      <c r="A16" s="20" t="str">
        <f>'[1]Ship Emission Assumptions '!A64</f>
        <v>Steam</v>
      </c>
      <c r="B16" s="20">
        <v>0</v>
      </c>
      <c r="C16" s="20">
        <f>'[1]Ship Emission Assumptions '!C64</f>
        <v>0</v>
      </c>
      <c r="D16" s="20">
        <f>'[1]Ship Emission Assumptions '!D64</f>
        <v>0</v>
      </c>
      <c r="E16" s="20">
        <f>'[1]Ship Emission Assumptions '!E64</f>
        <v>0</v>
      </c>
      <c r="G16" s="360" t="s">
        <v>384</v>
      </c>
      <c r="H16" s="361"/>
      <c r="I16" s="361"/>
      <c r="J16" s="361"/>
      <c r="K16" s="361"/>
      <c r="L16" s="361"/>
      <c r="M16" s="362"/>
    </row>
    <row r="17" spans="1:13" ht="12.75">
      <c r="A17" s="20" t="str">
        <f>'[1]Ship Emission Assumptions '!A65</f>
        <v>Total </v>
      </c>
      <c r="B17" s="20">
        <v>0</v>
      </c>
      <c r="C17" s="20">
        <f>'[1]Ship Emission Assumptions '!C65</f>
        <v>0</v>
      </c>
      <c r="D17" s="20">
        <f>'[1]Ship Emission Assumptions '!D65</f>
        <v>0</v>
      </c>
      <c r="E17" s="20">
        <f>'[1]Ship Emission Assumptions '!E65</f>
        <v>0</v>
      </c>
      <c r="G17" s="20" t="s">
        <v>369</v>
      </c>
      <c r="H17" s="162">
        <v>0</v>
      </c>
      <c r="I17" s="275">
        <f>'[1]Ship Emission Assumptions '!D11*'[1]Ship Emission Assumptions '!$F$31/1000*$H$17</f>
        <v>0</v>
      </c>
      <c r="J17" s="275">
        <f>'[1]Ship Emission Assumptions '!E11*'[1]Ship Emission Assumptions '!$F$31/1000*$H$17</f>
        <v>0</v>
      </c>
      <c r="K17" s="275">
        <f>'[1]Ship Emission Assumptions '!F11*'[1]Ship Emission Assumptions '!$F$31/1000*$H$17</f>
        <v>0</v>
      </c>
      <c r="L17" s="275">
        <f>'[1]Ship Emission Assumptions '!G11*'[1]Ship Emission Assumptions '!$F$31/1000*$H$17</f>
        <v>0</v>
      </c>
      <c r="M17" s="275">
        <f>'[1]Ship Emission Assumptions '!H11*'[1]Ship Emission Assumptions '!$F$31/1000*$H$17</f>
        <v>0</v>
      </c>
    </row>
    <row r="18" spans="1:13" ht="12.75">
      <c r="A18" s="367" t="str">
        <f>'[1]Ship Emission Assumptions '!A66</f>
        <v>Proposed</v>
      </c>
      <c r="B18" s="367"/>
      <c r="C18" s="367"/>
      <c r="D18" s="367"/>
      <c r="E18" s="367"/>
      <c r="G18" s="20" t="s">
        <v>371</v>
      </c>
      <c r="H18" s="162">
        <v>0</v>
      </c>
      <c r="I18" s="275">
        <f>'[1]Ship Emission Assumptions '!D12*'[1]Ship Emission Assumptions '!$F$32/1000*$H$18</f>
        <v>0</v>
      </c>
      <c r="J18" s="275">
        <f>'[1]Ship Emission Assumptions '!E12*'[1]Ship Emission Assumptions '!$F$32/1000*$H$18</f>
        <v>0</v>
      </c>
      <c r="K18" s="275">
        <f>'[1]Ship Emission Assumptions '!F12*'[1]Ship Emission Assumptions '!$F$32/1000*$H$18</f>
        <v>0</v>
      </c>
      <c r="L18" s="275">
        <f>'[1]Ship Emission Assumptions '!G12*'[1]Ship Emission Assumptions '!$F$32/1000*$H$18</f>
        <v>0</v>
      </c>
      <c r="M18" s="275">
        <f>'[1]Ship Emission Assumptions '!H12*'[1]Ship Emission Assumptions '!$F$32/1000*$H$18</f>
        <v>0</v>
      </c>
    </row>
    <row r="19" spans="1:13" ht="12.75">
      <c r="A19" s="20" t="str">
        <f>'[1]Ship Emission Assumptions '!A67</f>
        <v>Motor</v>
      </c>
      <c r="B19" s="20">
        <v>10</v>
      </c>
      <c r="C19" s="20">
        <f>'[1]Ship Emission Assumptions '!C67</f>
        <v>41055</v>
      </c>
      <c r="D19" s="20">
        <f>'[1]Ship Emission Assumptions '!D67</f>
        <v>900</v>
      </c>
      <c r="E19" s="20">
        <f>'[1]Ship Emission Assumptions '!E67</f>
        <v>41955</v>
      </c>
      <c r="G19" s="20" t="s">
        <v>95</v>
      </c>
      <c r="H19" s="162">
        <v>0</v>
      </c>
      <c r="I19" s="275">
        <f>SUM(I17:I18)</f>
        <v>0</v>
      </c>
      <c r="J19" s="275">
        <f>SUM(J17:J18)</f>
        <v>0</v>
      </c>
      <c r="K19" s="275">
        <f>SUM(K17:K18)</f>
        <v>0</v>
      </c>
      <c r="L19" s="275">
        <f>SUM(L17:L18)</f>
        <v>0</v>
      </c>
      <c r="M19" s="275">
        <f>SUM(M17:M18)</f>
        <v>0</v>
      </c>
    </row>
    <row r="20" spans="1:13" ht="12.75">
      <c r="A20" s="20" t="str">
        <f>'[1]Ship Emission Assumptions '!A68</f>
        <v>Steam</v>
      </c>
      <c r="B20" s="20">
        <v>10</v>
      </c>
      <c r="C20" s="20">
        <f>'[1]Ship Emission Assumptions '!C68</f>
        <v>94520</v>
      </c>
      <c r="D20" s="20">
        <f>'[1]Ship Emission Assumptions '!D68</f>
        <v>900</v>
      </c>
      <c r="E20" s="20">
        <f>'[1]Ship Emission Assumptions '!E68</f>
        <v>95420</v>
      </c>
      <c r="G20" s="360" t="s">
        <v>386</v>
      </c>
      <c r="H20" s="361"/>
      <c r="I20" s="361"/>
      <c r="J20" s="361"/>
      <c r="K20" s="361"/>
      <c r="L20" s="361"/>
      <c r="M20" s="362"/>
    </row>
    <row r="21" spans="1:13" ht="12.75">
      <c r="A21" s="20" t="str">
        <f>'[1]Ship Emission Assumptions '!A69</f>
        <v>Total </v>
      </c>
      <c r="B21" s="20">
        <v>20</v>
      </c>
      <c r="C21" s="20">
        <f>'[1]Ship Emission Assumptions '!C69</f>
        <v>135575</v>
      </c>
      <c r="D21" s="20">
        <f>'[1]Ship Emission Assumptions '!D69</f>
        <v>1800</v>
      </c>
      <c r="E21" s="20">
        <f>'[1]Ship Emission Assumptions '!E69</f>
        <v>137375</v>
      </c>
      <c r="G21" s="20" t="s">
        <v>369</v>
      </c>
      <c r="H21" s="162">
        <v>10</v>
      </c>
      <c r="I21" s="223">
        <f>'[1]Ship Emission Assumptions '!D11*'[1]Ship Emission Assumptions '!$F$31/1000*$H$21</f>
        <v>6172.74</v>
      </c>
      <c r="J21" s="223">
        <f>'[1]Ship Emission Assumptions '!E11*'[1]Ship Emission Assumptions '!$F$31/1000*$H$21</f>
        <v>183.54</v>
      </c>
      <c r="K21" s="223">
        <f>'[1]Ship Emission Assumptions '!F11*'[1]Ship Emission Assumptions '!$F$31/1000*$H$21</f>
        <v>560.28</v>
      </c>
      <c r="L21" s="223">
        <f>'[1]Ship Emission Assumptions '!G11*'[1]Ship Emission Assumptions '!$F$31/1000*$H$21</f>
        <v>550.62</v>
      </c>
      <c r="M21" s="223">
        <f>'[1]Ship Emission Assumptions '!H11*'[1]Ship Emission Assumptions '!$F$31/1000*$H$21</f>
        <v>3506.58</v>
      </c>
    </row>
    <row r="22" spans="7:13" ht="12.75">
      <c r="G22" s="20" t="s">
        <v>371</v>
      </c>
      <c r="H22" s="162">
        <v>10</v>
      </c>
      <c r="I22" s="223">
        <f>'[1]Ship Emission Assumptions '!D12*'[1]Ship Emission Assumptions '!$F$32/1000*$H$22</f>
        <v>1245.44</v>
      </c>
      <c r="J22" s="223">
        <f>'[1]Ship Emission Assumptions '!E12*'[1]Ship Emission Assumptions '!$F$32/1000*$H$22</f>
        <v>15.568</v>
      </c>
      <c r="K22" s="223">
        <f>'[1]Ship Emission Assumptions '!F12*'[1]Ship Emission Assumptions '!$F$32/1000*$H$22</f>
        <v>77.84</v>
      </c>
      <c r="L22" s="223">
        <f>'[1]Ship Emission Assumptions '!G12*'[1]Ship Emission Assumptions '!$F$32/1000*$H$22</f>
        <v>444.79999999999995</v>
      </c>
      <c r="M22" s="223">
        <f>'[1]Ship Emission Assumptions '!H12*'[1]Ship Emission Assumptions '!$F$32/1000*$H$22</f>
        <v>8073.12</v>
      </c>
    </row>
    <row r="23" spans="1:13" ht="12.75">
      <c r="A23" s="282" t="s">
        <v>387</v>
      </c>
      <c r="B23" s="282">
        <f>'[1]Ship Emission Assumptions '!B71</f>
        <v>20</v>
      </c>
      <c r="C23" s="282">
        <f>'[1]Ship Emission Assumptions '!C71</f>
        <v>135575</v>
      </c>
      <c r="D23" s="282">
        <f>'[1]Ship Emission Assumptions '!D71</f>
        <v>1800</v>
      </c>
      <c r="E23" s="282">
        <f>'[1]Ship Emission Assumptions '!E71</f>
        <v>137375</v>
      </c>
      <c r="G23" s="20" t="s">
        <v>95</v>
      </c>
      <c r="H23" s="162">
        <f>H21+H22</f>
        <v>20</v>
      </c>
      <c r="I23" s="223">
        <f>SUM(I21:I22)</f>
        <v>7418.18</v>
      </c>
      <c r="J23" s="223">
        <f>SUM(J21:J22)</f>
        <v>199.108</v>
      </c>
      <c r="K23" s="223">
        <f>SUM(K21:K22)</f>
        <v>638.12</v>
      </c>
      <c r="L23" s="223">
        <f>SUM(L21:L22)</f>
        <v>995.42</v>
      </c>
      <c r="M23" s="223">
        <f>SUM(M21:M22)</f>
        <v>11579.7</v>
      </c>
    </row>
    <row r="24" spans="7:13" ht="12.75">
      <c r="G24" s="52"/>
      <c r="H24" s="52"/>
      <c r="I24" s="52"/>
      <c r="J24" s="52"/>
      <c r="K24" s="52"/>
      <c r="L24" s="52"/>
      <c r="M24" s="52"/>
    </row>
    <row r="25" spans="7:13" ht="12.75">
      <c r="G25" s="279" t="s">
        <v>397</v>
      </c>
      <c r="H25" s="280">
        <f aca="true" t="shared" si="2" ref="H25:M25">H23-H19</f>
        <v>20</v>
      </c>
      <c r="I25" s="283">
        <f t="shared" si="2"/>
        <v>7418.18</v>
      </c>
      <c r="J25" s="283">
        <f t="shared" si="2"/>
        <v>199.108</v>
      </c>
      <c r="K25" s="283">
        <f t="shared" si="2"/>
        <v>638.12</v>
      </c>
      <c r="L25" s="283">
        <f t="shared" si="2"/>
        <v>995.42</v>
      </c>
      <c r="M25" s="283">
        <f t="shared" si="2"/>
        <v>11579.7</v>
      </c>
    </row>
    <row r="26" spans="4:13" ht="12.75"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4:13" ht="12.75">
      <c r="D27" s="365" t="s">
        <v>399</v>
      </c>
      <c r="E27" s="365"/>
      <c r="F27" s="365"/>
      <c r="G27" s="365"/>
      <c r="H27" s="365"/>
      <c r="I27" s="365"/>
      <c r="J27" s="365"/>
      <c r="K27" s="365"/>
      <c r="L27" s="365"/>
      <c r="M27" s="365"/>
    </row>
    <row r="28" spans="4:13" ht="26.25">
      <c r="D28" s="260" t="s">
        <v>344</v>
      </c>
      <c r="E28" s="260" t="s">
        <v>400</v>
      </c>
      <c r="F28" s="260" t="s">
        <v>401</v>
      </c>
      <c r="G28" s="260" t="s">
        <v>381</v>
      </c>
      <c r="H28" s="260" t="s">
        <v>402</v>
      </c>
      <c r="I28" s="272" t="s">
        <v>10</v>
      </c>
      <c r="J28" s="272" t="s">
        <v>348</v>
      </c>
      <c r="K28" s="272" t="s">
        <v>8</v>
      </c>
      <c r="L28" s="272" t="s">
        <v>349</v>
      </c>
      <c r="M28" s="272" t="s">
        <v>11</v>
      </c>
    </row>
    <row r="29" spans="4:13" ht="12.75">
      <c r="D29" s="366" t="s">
        <v>403</v>
      </c>
      <c r="E29" s="361"/>
      <c r="F29" s="361"/>
      <c r="G29" s="361"/>
      <c r="H29" s="361"/>
      <c r="I29" s="361"/>
      <c r="J29" s="361"/>
      <c r="K29" s="361"/>
      <c r="L29" s="361"/>
      <c r="M29" s="362"/>
    </row>
    <row r="30" spans="4:13" ht="12.75">
      <c r="D30" s="168" t="s">
        <v>369</v>
      </c>
      <c r="E30" s="284" t="s">
        <v>270</v>
      </c>
      <c r="F30" s="162">
        <v>12</v>
      </c>
      <c r="G30" s="162">
        <v>0</v>
      </c>
      <c r="H30" s="162">
        <f>F30*G30</f>
        <v>0</v>
      </c>
      <c r="I30" s="275">
        <f>('[1]Ship Emission Assumptions '!D18+'[1]Ship Emission Assumptions '!D19)*$H$30</f>
        <v>0</v>
      </c>
      <c r="J30" s="275">
        <f>('[1]Ship Emission Assumptions '!E18+'[1]Ship Emission Assumptions '!E19)*$H$30</f>
        <v>0</v>
      </c>
      <c r="K30" s="275">
        <f>('[1]Ship Emission Assumptions '!F18+'[1]Ship Emission Assumptions '!F19)*$H$30</f>
        <v>0</v>
      </c>
      <c r="L30" s="275">
        <f>('[1]Ship Emission Assumptions '!G18+'[1]Ship Emission Assumptions '!G19)*$H$30</f>
        <v>0</v>
      </c>
      <c r="M30" s="275">
        <f>('[1]Ship Emission Assumptions '!H18+'[1]Ship Emission Assumptions '!H19)*$H$30</f>
        <v>0</v>
      </c>
    </row>
    <row r="31" spans="4:13" ht="12.75">
      <c r="D31" s="35"/>
      <c r="E31" s="284" t="s">
        <v>265</v>
      </c>
      <c r="F31" s="162">
        <v>12</v>
      </c>
      <c r="G31" s="162">
        <v>0</v>
      </c>
      <c r="H31" s="162">
        <f>F31*G31</f>
        <v>0</v>
      </c>
      <c r="I31" s="275">
        <f>('[1]Ship Emission Assumptions '!D18+'[1]Ship Emission Assumptions '!D19)*$H$31</f>
        <v>0</v>
      </c>
      <c r="J31" s="275">
        <f>('[1]Ship Emission Assumptions '!E18+'[1]Ship Emission Assumptions '!E19)*$H$31</f>
        <v>0</v>
      </c>
      <c r="K31" s="275">
        <f>('[1]Ship Emission Assumptions '!F18+'[1]Ship Emission Assumptions '!F19)*$H$31</f>
        <v>0</v>
      </c>
      <c r="L31" s="275">
        <f>('[1]Ship Emission Assumptions '!G18+'[1]Ship Emission Assumptions '!G19)*$H$31</f>
        <v>0</v>
      </c>
      <c r="M31" s="275">
        <f>('[1]Ship Emission Assumptions '!H18+'[1]Ship Emission Assumptions '!H19)*$H$31</f>
        <v>0</v>
      </c>
    </row>
    <row r="32" spans="4:13" ht="12.75">
      <c r="D32" s="168" t="s">
        <v>371</v>
      </c>
      <c r="E32" s="284" t="s">
        <v>270</v>
      </c>
      <c r="F32" s="162">
        <v>12</v>
      </c>
      <c r="G32" s="162">
        <v>0</v>
      </c>
      <c r="H32" s="162">
        <f>F32*G32</f>
        <v>0</v>
      </c>
      <c r="I32" s="275">
        <f>'[1]Ship Emission Assumptions '!D20*$H$32</f>
        <v>0</v>
      </c>
      <c r="J32" s="275">
        <f>'[1]Ship Emission Assumptions '!E20*$H$32</f>
        <v>0</v>
      </c>
      <c r="K32" s="275">
        <f>'[1]Ship Emission Assumptions '!F20*$H$32</f>
        <v>0</v>
      </c>
      <c r="L32" s="275">
        <f>'[1]Ship Emission Assumptions '!G20*$H$32</f>
        <v>0</v>
      </c>
      <c r="M32" s="275">
        <f>'[1]Ship Emission Assumptions '!H20*$H$32</f>
        <v>0</v>
      </c>
    </row>
    <row r="33" spans="4:13" ht="12.75">
      <c r="D33" s="27"/>
      <c r="E33" s="285" t="s">
        <v>265</v>
      </c>
      <c r="F33" s="169">
        <v>12</v>
      </c>
      <c r="G33" s="169">
        <v>0</v>
      </c>
      <c r="H33" s="162">
        <f>F33*G33</f>
        <v>0</v>
      </c>
      <c r="I33" s="275">
        <f>'[1]Ship Emission Assumptions '!D20*$H$33</f>
        <v>0</v>
      </c>
      <c r="J33" s="275">
        <f>'[1]Ship Emission Assumptions '!E20*$H$33</f>
        <v>0</v>
      </c>
      <c r="K33" s="275">
        <f>'[1]Ship Emission Assumptions '!F20*$H$33</f>
        <v>0</v>
      </c>
      <c r="L33" s="275">
        <f>'[1]Ship Emission Assumptions '!G20*$H$33</f>
        <v>0</v>
      </c>
      <c r="M33" s="275">
        <f>'[1]Ship Emission Assumptions '!H20*$H$33</f>
        <v>0</v>
      </c>
    </row>
    <row r="34" spans="4:13" ht="12.75">
      <c r="D34" s="286" t="s">
        <v>95</v>
      </c>
      <c r="E34" s="287"/>
      <c r="F34" s="265"/>
      <c r="G34" s="266"/>
      <c r="H34" s="266">
        <f aca="true" t="shared" si="3" ref="H34:M34">SUM(H30:H33)</f>
        <v>0</v>
      </c>
      <c r="I34" s="275">
        <f t="shared" si="3"/>
        <v>0</v>
      </c>
      <c r="J34" s="275">
        <f t="shared" si="3"/>
        <v>0</v>
      </c>
      <c r="K34" s="275">
        <f t="shared" si="3"/>
        <v>0</v>
      </c>
      <c r="L34" s="275">
        <f t="shared" si="3"/>
        <v>0</v>
      </c>
      <c r="M34" s="275">
        <f t="shared" si="3"/>
        <v>0</v>
      </c>
    </row>
    <row r="35" spans="4:13" ht="12.75">
      <c r="D35" s="363" t="s">
        <v>386</v>
      </c>
      <c r="E35" s="364"/>
      <c r="F35" s="364"/>
      <c r="G35" s="364"/>
      <c r="H35" s="361"/>
      <c r="I35" s="361"/>
      <c r="J35" s="361"/>
      <c r="K35" s="361"/>
      <c r="L35" s="361"/>
      <c r="M35" s="362"/>
    </row>
    <row r="36" spans="4:13" ht="12.75">
      <c r="D36" s="168" t="s">
        <v>369</v>
      </c>
      <c r="E36" s="284" t="s">
        <v>265</v>
      </c>
      <c r="F36" s="162">
        <v>12</v>
      </c>
      <c r="G36" s="162">
        <v>10</v>
      </c>
      <c r="H36" s="162">
        <f>F36*G36</f>
        <v>120</v>
      </c>
      <c r="I36" s="275">
        <f>('[1]Ship Emission Assumptions '!D18+'[1]Ship Emission Assumptions '!D19)*$H$36</f>
        <v>2088</v>
      </c>
      <c r="J36" s="275">
        <f>('[1]Ship Emission Assumptions '!E18+'[1]Ship Emission Assumptions '!E19)*$H$36</f>
        <v>348</v>
      </c>
      <c r="K36" s="275">
        <f>('[1]Ship Emission Assumptions '!F18+'[1]Ship Emission Assumptions '!F19)*$H$36</f>
        <v>324</v>
      </c>
      <c r="L36" s="275">
        <f>('[1]Ship Emission Assumptions '!G18+'[1]Ship Emission Assumptions '!G19)*$H$36</f>
        <v>107.99999999999999</v>
      </c>
      <c r="M36" s="275">
        <f>('[1]Ship Emission Assumptions '!H18+'[1]Ship Emission Assumptions '!H19)*$H$36</f>
        <v>1776</v>
      </c>
    </row>
    <row r="37" spans="4:13" ht="12.75">
      <c r="D37" s="27"/>
      <c r="E37" s="284" t="s">
        <v>395</v>
      </c>
      <c r="F37" s="162">
        <v>81</v>
      </c>
      <c r="G37" s="162">
        <v>0</v>
      </c>
      <c r="H37" s="162">
        <f>F37*G37</f>
        <v>0</v>
      </c>
      <c r="I37" s="275">
        <f>('[1]Ship Emission Assumptions '!D18+'[1]Ship Emission Assumptions '!D19)*$H$37</f>
        <v>0</v>
      </c>
      <c r="J37" s="275">
        <f>('[1]Ship Emission Assumptions '!E18+'[1]Ship Emission Assumptions '!E19)*$H$37</f>
        <v>0</v>
      </c>
      <c r="K37" s="275">
        <f>('[1]Ship Emission Assumptions '!F18+'[1]Ship Emission Assumptions '!F19)*$H$37</f>
        <v>0</v>
      </c>
      <c r="L37" s="275">
        <f>('[1]Ship Emission Assumptions '!G18+'[1]Ship Emission Assumptions '!G19)*$H$37</f>
        <v>0</v>
      </c>
      <c r="M37" s="275">
        <f>('[1]Ship Emission Assumptions '!H18+'[1]Ship Emission Assumptions '!H19)*$H$37</f>
        <v>0</v>
      </c>
    </row>
    <row r="38" spans="4:13" ht="12.75">
      <c r="D38" s="35" t="s">
        <v>371</v>
      </c>
      <c r="E38" s="284" t="s">
        <v>265</v>
      </c>
      <c r="F38" s="162">
        <v>12</v>
      </c>
      <c r="G38" s="162">
        <v>10</v>
      </c>
      <c r="H38" s="162">
        <f>F38*G38</f>
        <v>120</v>
      </c>
      <c r="I38" s="275">
        <f>'[1]Ship Emission Assumptions '!D20*$H$38</f>
        <v>2352</v>
      </c>
      <c r="J38" s="275">
        <f>'[1]Ship Emission Assumptions '!E20*$H$38</f>
        <v>96</v>
      </c>
      <c r="K38" s="275">
        <f>'[1]Ship Emission Assumptions '!F20*$H$38</f>
        <v>120</v>
      </c>
      <c r="L38" s="275">
        <f>'[1]Ship Emission Assumptions '!G20*$H$38</f>
        <v>324</v>
      </c>
      <c r="M38" s="275">
        <f>'[1]Ship Emission Assumptions '!H20*$H$38</f>
        <v>2508</v>
      </c>
    </row>
    <row r="39" spans="4:13" ht="12.75">
      <c r="D39" s="27"/>
      <c r="E39" s="284" t="s">
        <v>395</v>
      </c>
      <c r="F39" s="162">
        <v>81</v>
      </c>
      <c r="G39" s="162">
        <v>0</v>
      </c>
      <c r="H39" s="162">
        <f>F39*G39</f>
        <v>0</v>
      </c>
      <c r="I39" s="275">
        <f>'[1]Ship Emission Assumptions '!D20*$H$39</f>
        <v>0</v>
      </c>
      <c r="J39" s="275">
        <f>'[1]Ship Emission Assumptions '!E20*$H$39</f>
        <v>0</v>
      </c>
      <c r="K39" s="275">
        <f>'[1]Ship Emission Assumptions '!F20*$H$39</f>
        <v>0</v>
      </c>
      <c r="L39" s="275">
        <f>'[1]Ship Emission Assumptions '!G20*$H$39</f>
        <v>0</v>
      </c>
      <c r="M39" s="275">
        <f>'[1]Ship Emission Assumptions '!H20*$H$39</f>
        <v>0</v>
      </c>
    </row>
    <row r="40" spans="4:13" ht="12.75">
      <c r="D40" s="20" t="s">
        <v>95</v>
      </c>
      <c r="E40" s="20"/>
      <c r="F40" s="162"/>
      <c r="G40" s="162"/>
      <c r="H40" s="162">
        <f aca="true" t="shared" si="4" ref="H40:M40">SUM(H36:H39)</f>
        <v>240</v>
      </c>
      <c r="I40" s="275">
        <f t="shared" si="4"/>
        <v>4440</v>
      </c>
      <c r="J40" s="275">
        <f t="shared" si="4"/>
        <v>444</v>
      </c>
      <c r="K40" s="275">
        <f t="shared" si="4"/>
        <v>444</v>
      </c>
      <c r="L40" s="275">
        <f t="shared" si="4"/>
        <v>432</v>
      </c>
      <c r="M40" s="275">
        <f t="shared" si="4"/>
        <v>4284</v>
      </c>
    </row>
    <row r="41" spans="4:13" ht="12.75">
      <c r="D41" s="52"/>
      <c r="E41" s="52"/>
      <c r="F41" s="52"/>
      <c r="G41" s="52"/>
      <c r="H41" s="52"/>
      <c r="I41" s="207"/>
      <c r="J41" s="207"/>
      <c r="K41" s="207"/>
      <c r="L41" s="207"/>
      <c r="M41" s="207"/>
    </row>
    <row r="42" spans="4:13" ht="12.75">
      <c r="D42" s="52" t="s">
        <v>397</v>
      </c>
      <c r="E42" s="52"/>
      <c r="F42" s="52"/>
      <c r="G42" s="52"/>
      <c r="H42" s="96">
        <f aca="true" t="shared" si="5" ref="H42:M42">H40-H34</f>
        <v>240</v>
      </c>
      <c r="I42" s="258">
        <f t="shared" si="5"/>
        <v>4440</v>
      </c>
      <c r="J42" s="258">
        <f t="shared" si="5"/>
        <v>444</v>
      </c>
      <c r="K42" s="258">
        <f t="shared" si="5"/>
        <v>444</v>
      </c>
      <c r="L42" s="258">
        <f t="shared" si="5"/>
        <v>432</v>
      </c>
      <c r="M42" s="258">
        <f t="shared" si="5"/>
        <v>4284</v>
      </c>
    </row>
    <row r="43" spans="2:13" ht="12.75">
      <c r="B43" s="288" t="s">
        <v>404</v>
      </c>
      <c r="C43" s="52"/>
      <c r="D43" s="52"/>
      <c r="E43" s="52"/>
      <c r="F43" s="96"/>
      <c r="G43" s="258"/>
      <c r="H43" s="258"/>
      <c r="I43" s="258"/>
      <c r="J43" s="258"/>
      <c r="K43" s="258"/>
      <c r="L43" s="258"/>
      <c r="M43" s="258"/>
    </row>
    <row r="44" spans="2:11" ht="26.25">
      <c r="B44" s="289"/>
      <c r="C44" s="284" t="s">
        <v>405</v>
      </c>
      <c r="D44" s="272" t="s">
        <v>406</v>
      </c>
      <c r="E44" s="272" t="s">
        <v>407</v>
      </c>
      <c r="F44" s="272" t="s">
        <v>408</v>
      </c>
      <c r="G44" s="272" t="s">
        <v>10</v>
      </c>
      <c r="H44" s="272" t="s">
        <v>348</v>
      </c>
      <c r="I44" s="272" t="s">
        <v>8</v>
      </c>
      <c r="J44" s="272" t="s">
        <v>349</v>
      </c>
      <c r="K44" s="272" t="s">
        <v>11</v>
      </c>
    </row>
    <row r="45" spans="2:11" ht="12.75">
      <c r="B45" s="360" t="s">
        <v>409</v>
      </c>
      <c r="C45" s="361"/>
      <c r="D45" s="361"/>
      <c r="E45" s="361"/>
      <c r="F45" s="361"/>
      <c r="G45" s="361"/>
      <c r="H45" s="361"/>
      <c r="I45" s="361"/>
      <c r="J45" s="361"/>
      <c r="K45" s="362"/>
    </row>
    <row r="46" spans="2:11" ht="12.75">
      <c r="B46" s="20" t="s">
        <v>410</v>
      </c>
      <c r="C46" s="162">
        <v>23</v>
      </c>
      <c r="D46" s="162">
        <v>2</v>
      </c>
      <c r="E46" s="162">
        <v>1</v>
      </c>
      <c r="F46" s="162">
        <v>46</v>
      </c>
      <c r="G46" s="275">
        <v>817</v>
      </c>
      <c r="H46" s="275">
        <v>37</v>
      </c>
      <c r="I46" s="275">
        <v>111</v>
      </c>
      <c r="J46" s="275">
        <v>18</v>
      </c>
      <c r="K46" s="275">
        <v>146</v>
      </c>
    </row>
    <row r="47" spans="2:11" ht="12.75">
      <c r="B47" s="20" t="s">
        <v>411</v>
      </c>
      <c r="C47" s="20"/>
      <c r="D47" s="20"/>
      <c r="E47" s="20"/>
      <c r="F47" s="162"/>
      <c r="G47" s="275">
        <f>ROUND(G46/$F46,2)</f>
        <v>17.76</v>
      </c>
      <c r="H47" s="275">
        <f>ROUND(H46/$F46,2)</f>
        <v>0.8</v>
      </c>
      <c r="I47" s="275">
        <f>ROUND(I46/$F46,2)</f>
        <v>2.41</v>
      </c>
      <c r="J47" s="275">
        <f>ROUND(J46/$F46,2)</f>
        <v>0.39</v>
      </c>
      <c r="K47" s="275">
        <f>ROUND(K46/$F46,2)</f>
        <v>3.17</v>
      </c>
    </row>
    <row r="48" spans="2:11" ht="12.75">
      <c r="B48" s="360" t="s">
        <v>412</v>
      </c>
      <c r="C48" s="361"/>
      <c r="D48" s="361"/>
      <c r="E48" s="361"/>
      <c r="F48" s="361"/>
      <c r="G48" s="361"/>
      <c r="H48" s="361"/>
      <c r="I48" s="361"/>
      <c r="J48" s="361"/>
      <c r="K48" s="362"/>
    </row>
    <row r="49" spans="2:11" ht="12.75">
      <c r="B49" s="20" t="s">
        <v>410</v>
      </c>
      <c r="C49" s="162">
        <v>0</v>
      </c>
      <c r="D49" s="162">
        <v>0</v>
      </c>
      <c r="E49" s="162">
        <v>0</v>
      </c>
      <c r="F49" s="162">
        <v>0</v>
      </c>
      <c r="G49" s="275">
        <f>G$47*$E49*$F49</f>
        <v>0</v>
      </c>
      <c r="H49" s="275">
        <f>H47*$E49*$F49</f>
        <v>0</v>
      </c>
      <c r="I49" s="275">
        <f>I47*$E49*$F49</f>
        <v>0</v>
      </c>
      <c r="J49" s="275">
        <f>J47*$E49*$F49</f>
        <v>0</v>
      </c>
      <c r="K49" s="275">
        <f>K47*$E49*$F49</f>
        <v>0</v>
      </c>
    </row>
    <row r="50" spans="2:11" ht="12.75">
      <c r="B50" s="360" t="s">
        <v>413</v>
      </c>
      <c r="C50" s="361"/>
      <c r="D50" s="361"/>
      <c r="E50" s="361"/>
      <c r="F50" s="361"/>
      <c r="G50" s="361"/>
      <c r="H50" s="361"/>
      <c r="I50" s="361"/>
      <c r="J50" s="361"/>
      <c r="K50" s="362"/>
    </row>
    <row r="51" spans="2:11" ht="12.75">
      <c r="B51" s="20" t="s">
        <v>410</v>
      </c>
      <c r="C51" s="162">
        <v>20</v>
      </c>
      <c r="D51" s="162">
        <v>2</v>
      </c>
      <c r="E51" s="162">
        <v>2</v>
      </c>
      <c r="F51" s="162">
        <f>C51*D51</f>
        <v>40</v>
      </c>
      <c r="G51" s="275">
        <f>G$47*$E51*$F51</f>
        <v>1420.8000000000002</v>
      </c>
      <c r="H51" s="275">
        <f>H$47*$E51*$F51</f>
        <v>64</v>
      </c>
      <c r="I51" s="275">
        <f>I$47*$E51*$F51</f>
        <v>192.8</v>
      </c>
      <c r="J51" s="275">
        <f>J$47*$E51*$F51</f>
        <v>31.200000000000003</v>
      </c>
      <c r="K51" s="275">
        <f>K$47*$E51*$F51</f>
        <v>253.6</v>
      </c>
    </row>
    <row r="52" spans="2:11" ht="12.75">
      <c r="B52" s="52"/>
      <c r="C52" s="52"/>
      <c r="D52" s="52"/>
      <c r="E52" s="52"/>
      <c r="F52" s="96"/>
      <c r="G52" s="258"/>
      <c r="H52" s="258"/>
      <c r="I52" s="258"/>
      <c r="J52" s="258"/>
      <c r="K52" s="258"/>
    </row>
    <row r="53" spans="2:11" ht="12.75">
      <c r="B53" s="110" t="s">
        <v>414</v>
      </c>
      <c r="C53" s="110"/>
      <c r="D53" s="110"/>
      <c r="E53" s="110"/>
      <c r="F53" s="290"/>
      <c r="G53" s="291">
        <f>G51-G49</f>
        <v>1420.8000000000002</v>
      </c>
      <c r="H53" s="291">
        <f>H51-H49</f>
        <v>64</v>
      </c>
      <c r="I53" s="291">
        <f>I51-I49</f>
        <v>192.8</v>
      </c>
      <c r="J53" s="291">
        <f>J51-J49</f>
        <v>31.200000000000003</v>
      </c>
      <c r="K53" s="291">
        <f>K51-K49</f>
        <v>253.6</v>
      </c>
    </row>
    <row r="54" spans="2:11" ht="12.75">
      <c r="B54" s="52"/>
      <c r="C54" s="52"/>
      <c r="D54" s="52"/>
      <c r="E54" s="52"/>
      <c r="F54" s="96"/>
      <c r="G54" s="258"/>
      <c r="H54" s="258"/>
      <c r="I54" s="258"/>
      <c r="J54" s="258"/>
      <c r="K54" s="258"/>
    </row>
    <row r="55" spans="2:11" ht="12.75">
      <c r="B55" s="288" t="s">
        <v>415</v>
      </c>
      <c r="C55" s="52"/>
      <c r="D55" s="52"/>
      <c r="E55" s="52"/>
      <c r="F55" s="96"/>
      <c r="G55" s="292">
        <f>I42+I25+I12+G53</f>
        <v>37966.305</v>
      </c>
      <c r="H55" s="292">
        <f>J42+J25+J12+H53</f>
        <v>1416.778</v>
      </c>
      <c r="I55" s="292">
        <f>K42+K25+K12+I53</f>
        <v>3507.605</v>
      </c>
      <c r="J55" s="292">
        <f>L42+L25+L12+J53</f>
        <v>7368.095</v>
      </c>
      <c r="K55" s="292">
        <f>M42+M25+M12+K53</f>
        <v>53751.325000000004</v>
      </c>
    </row>
    <row r="56" spans="2:11" ht="12.75">
      <c r="B56" s="288" t="s">
        <v>416</v>
      </c>
      <c r="C56" s="52"/>
      <c r="D56" s="52"/>
      <c r="E56" s="52"/>
      <c r="F56" s="96"/>
      <c r="G56" s="292">
        <f>G55/20</f>
        <v>1898.31525</v>
      </c>
      <c r="H56" s="292">
        <f>H55/20</f>
        <v>70.8389</v>
      </c>
      <c r="I56" s="292">
        <f>I55/20</f>
        <v>175.38025</v>
      </c>
      <c r="J56" s="292">
        <f>J55/20</f>
        <v>368.40475000000004</v>
      </c>
      <c r="K56" s="292">
        <f>K55/20</f>
        <v>2687.5662500000003</v>
      </c>
    </row>
    <row r="58" ht="12.75">
      <c r="A58" s="50" t="s">
        <v>417</v>
      </c>
    </row>
  </sheetData>
  <sheetProtection/>
  <mergeCells count="12">
    <mergeCell ref="B50:K50"/>
    <mergeCell ref="D35:M35"/>
    <mergeCell ref="D27:M27"/>
    <mergeCell ref="D29:M29"/>
    <mergeCell ref="A14:E14"/>
    <mergeCell ref="A18:E18"/>
    <mergeCell ref="B45:K45"/>
    <mergeCell ref="B48:K48"/>
    <mergeCell ref="G3:M3"/>
    <mergeCell ref="G7:M7"/>
    <mergeCell ref="G16:M16"/>
    <mergeCell ref="G20:M20"/>
  </mergeCells>
  <printOptions horizontalCentered="1"/>
  <pageMargins left="0.5" right="0.5" top="1" bottom="0.5" header="0.5" footer="0"/>
  <pageSetup firstPageNumber="19" useFirstPageNumber="1" fitToHeight="2" horizontalDpi="600" verticalDpi="600" orientation="landscape" scale="84" r:id="rId1"/>
  <headerFooter alignWithMargins="0">
    <oddHeader xml:space="preserve">&amp;C&amp;"Arial,Bold"&amp;12ALTERNATIVE 1
Marine Vessel Emission Estimates </oddHeader>
  </headerFooter>
  <rowBreaks count="1" manualBreakCount="1">
    <brk id="42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4:E29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3" width="15.7109375" style="0" customWidth="1"/>
  </cols>
  <sheetData>
    <row r="4" spans="1:5" ht="12.75">
      <c r="A4" s="340" t="s">
        <v>197</v>
      </c>
      <c r="B4" s="340"/>
      <c r="C4" s="340"/>
      <c r="D4" s="340"/>
      <c r="E4" s="340"/>
    </row>
    <row r="5" spans="1:5" ht="12.75">
      <c r="A5" s="85"/>
      <c r="B5" s="85"/>
      <c r="C5" s="85"/>
      <c r="D5" s="85"/>
      <c r="E5" s="85"/>
    </row>
    <row r="6" spans="1:5" ht="12.75">
      <c r="A6" s="208" t="s">
        <v>189</v>
      </c>
      <c r="B6" s="85">
        <v>8</v>
      </c>
      <c r="C6" s="85"/>
      <c r="D6" s="85"/>
      <c r="E6" s="85"/>
    </row>
    <row r="7" spans="1:5" ht="12.75">
      <c r="A7" s="208" t="s">
        <v>190</v>
      </c>
      <c r="B7" s="85">
        <v>24</v>
      </c>
      <c r="C7" s="85"/>
      <c r="D7" s="85"/>
      <c r="E7" s="85"/>
    </row>
    <row r="8" spans="1:5" ht="15">
      <c r="A8" s="208" t="s">
        <v>240</v>
      </c>
      <c r="B8" s="85">
        <v>1454</v>
      </c>
      <c r="C8" s="85"/>
      <c r="D8" s="85"/>
      <c r="E8" s="85"/>
    </row>
    <row r="9" spans="1:5" ht="15">
      <c r="A9" s="208" t="s">
        <v>241</v>
      </c>
      <c r="B9" s="209">
        <f>+B6*B7/B8</f>
        <v>0.13204951856946354</v>
      </c>
      <c r="C9" s="85"/>
      <c r="D9" s="85"/>
      <c r="E9" s="85"/>
    </row>
    <row r="10" ht="13.5" thickBot="1"/>
    <row r="11" spans="1:3" ht="27" thickBot="1" thickTop="1">
      <c r="A11" s="210" t="s">
        <v>191</v>
      </c>
      <c r="B11" s="211" t="s">
        <v>192</v>
      </c>
      <c r="C11" s="211" t="s">
        <v>193</v>
      </c>
    </row>
    <row r="12" spans="1:3" ht="13.5" thickTop="1">
      <c r="A12" s="212" t="s">
        <v>8</v>
      </c>
      <c r="B12" s="212">
        <v>84</v>
      </c>
      <c r="C12" s="213">
        <f>+B9*B12</f>
        <v>11.092159559834936</v>
      </c>
    </row>
    <row r="13" spans="1:3" ht="12.75">
      <c r="A13" s="35" t="s">
        <v>9</v>
      </c>
      <c r="B13" s="35">
        <v>11</v>
      </c>
      <c r="C13" s="214">
        <f>+B9*B13</f>
        <v>1.4525447042640989</v>
      </c>
    </row>
    <row r="14" spans="1:3" ht="12.75">
      <c r="A14" s="35" t="s">
        <v>194</v>
      </c>
      <c r="B14" s="35">
        <v>0.074</v>
      </c>
      <c r="C14" s="214">
        <f>+B6*B14*B7</f>
        <v>14.207999999999998</v>
      </c>
    </row>
    <row r="15" spans="1:3" ht="12.75">
      <c r="A15" s="35" t="s">
        <v>195</v>
      </c>
      <c r="B15" s="35">
        <v>0.025</v>
      </c>
      <c r="C15" s="214">
        <f>+B6*B15*B7</f>
        <v>4.800000000000001</v>
      </c>
    </row>
    <row r="16" spans="1:3" ht="12.75">
      <c r="A16" s="27" t="s">
        <v>12</v>
      </c>
      <c r="B16" s="27">
        <v>7.5</v>
      </c>
      <c r="C16" s="132">
        <f>+B9*B16</f>
        <v>0.9903713892709766</v>
      </c>
    </row>
    <row r="17" spans="1:3" ht="12.75">
      <c r="A17" t="s">
        <v>242</v>
      </c>
      <c r="B17" s="52"/>
      <c r="C17" s="207"/>
    </row>
    <row r="18" spans="1:3" ht="12.75">
      <c r="A18" t="s">
        <v>243</v>
      </c>
      <c r="B18" s="52"/>
      <c r="C18" s="207"/>
    </row>
    <row r="21" spans="1:3" ht="12.75">
      <c r="A21" s="52"/>
      <c r="B21" s="207"/>
      <c r="C21" s="207"/>
    </row>
    <row r="22" spans="1:3" ht="12.75">
      <c r="A22" s="216" t="s">
        <v>202</v>
      </c>
      <c r="B22" s="207"/>
      <c r="C22" s="207"/>
    </row>
    <row r="23" spans="1:3" ht="12.75">
      <c r="A23" s="216" t="s">
        <v>203</v>
      </c>
      <c r="B23" s="207"/>
      <c r="C23" s="207"/>
    </row>
    <row r="24" spans="1:3" ht="12.75">
      <c r="A24" s="216" t="s">
        <v>5</v>
      </c>
      <c r="B24" s="207"/>
      <c r="C24" s="207"/>
    </row>
    <row r="25" ht="12.75">
      <c r="A25" s="50" t="s">
        <v>5</v>
      </c>
    </row>
    <row r="26" ht="12.75">
      <c r="A26" s="50" t="s">
        <v>5</v>
      </c>
    </row>
    <row r="27" ht="12.75">
      <c r="A27" s="50"/>
    </row>
    <row r="28" ht="12.75">
      <c r="A28" s="50"/>
    </row>
    <row r="29" ht="12.75">
      <c r="A29" s="50" t="s">
        <v>418</v>
      </c>
    </row>
  </sheetData>
  <sheetProtection/>
  <mergeCells count="1">
    <mergeCell ref="A4:E4"/>
  </mergeCells>
  <printOptions/>
  <pageMargins left="1.78" right="0.75" top="1" bottom="1" header="0.5" footer="0.5"/>
  <pageSetup horizontalDpi="600" verticalDpi="600" orientation="portrait" scale="92" r:id="rId1"/>
  <headerFooter alignWithMargins="0">
    <oddHeader>&amp;C&amp;"Arial,Bold"&amp;12ALTERNATIVE 2
COMBUSTION EMISSIONS ASSOCIATED WITH INCREMENTAL INCREASES 
IN COMBUSTION EMISSIONS FROM NEW ALKYLATION UNIT HEATER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6.7109375" style="0" customWidth="1"/>
    <col min="4" max="4" width="10.57421875" style="0" customWidth="1"/>
    <col min="6" max="6" width="11.7109375" style="0" customWidth="1"/>
    <col min="8" max="8" width="9.8515625" style="0" customWidth="1"/>
    <col min="10" max="10" width="9.8515625" style="0" customWidth="1"/>
    <col min="11" max="11" width="11.00390625" style="0" customWidth="1"/>
    <col min="12" max="12" width="11.421875" style="0" customWidth="1"/>
    <col min="13" max="13" width="10.8515625" style="0" customWidth="1"/>
    <col min="14" max="14" width="10.57421875" style="0" customWidth="1"/>
    <col min="15" max="15" width="11.28125" style="0" customWidth="1"/>
    <col min="16" max="16" width="11.00390625" style="0" customWidth="1"/>
    <col min="17" max="17" width="11.28125" style="0" customWidth="1"/>
  </cols>
  <sheetData>
    <row r="2" spans="1:15" ht="17.25">
      <c r="A2" s="293" t="s">
        <v>98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ht="17.25">
      <c r="A3" s="293" t="s">
        <v>99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4" ht="18" thickBot="1">
      <c r="A4" s="98"/>
      <c r="B4" s="99"/>
      <c r="C4" s="99"/>
      <c r="F4" s="98"/>
      <c r="G4" s="99"/>
      <c r="H4" s="99"/>
      <c r="M4" s="99"/>
      <c r="N4" s="99"/>
    </row>
    <row r="5" spans="1:15" ht="18" thickBot="1">
      <c r="A5" s="100"/>
      <c r="B5" s="101"/>
      <c r="C5" s="101"/>
      <c r="D5" s="301" t="s">
        <v>100</v>
      </c>
      <c r="E5" s="102"/>
      <c r="F5" s="301" t="s">
        <v>101</v>
      </c>
      <c r="G5" s="101"/>
      <c r="H5" s="298" t="s">
        <v>102</v>
      </c>
      <c r="I5" s="298" t="s">
        <v>103</v>
      </c>
      <c r="J5" s="298" t="s">
        <v>104</v>
      </c>
      <c r="K5" s="307" t="s">
        <v>105</v>
      </c>
      <c r="L5" s="308"/>
      <c r="M5" s="309" t="s">
        <v>106</v>
      </c>
      <c r="N5" s="306"/>
      <c r="O5" s="305" t="s">
        <v>107</v>
      </c>
    </row>
    <row r="6" spans="1:15" ht="18" customHeight="1" thickBot="1">
      <c r="A6" s="106"/>
      <c r="B6" s="107"/>
      <c r="C6" s="107"/>
      <c r="D6" s="299"/>
      <c r="E6" s="52"/>
      <c r="F6" s="299"/>
      <c r="G6" s="107"/>
      <c r="H6" s="299"/>
      <c r="I6" s="299"/>
      <c r="J6" s="299"/>
      <c r="K6" s="305" t="s">
        <v>108</v>
      </c>
      <c r="L6" s="295" t="s">
        <v>109</v>
      </c>
      <c r="M6" s="305" t="s">
        <v>108</v>
      </c>
      <c r="N6" s="295" t="s">
        <v>109</v>
      </c>
      <c r="O6" s="306"/>
    </row>
    <row r="7" spans="1:15" ht="12.75" customHeight="1" thickBot="1">
      <c r="A7" s="302" t="s">
        <v>110</v>
      </c>
      <c r="B7" s="109"/>
      <c r="C7" s="109"/>
      <c r="D7" s="299"/>
      <c r="E7" s="110"/>
      <c r="F7" s="299"/>
      <c r="G7" s="109"/>
      <c r="H7" s="299"/>
      <c r="I7" s="299"/>
      <c r="J7" s="299"/>
      <c r="K7" s="305"/>
      <c r="L7" s="296"/>
      <c r="M7" s="305"/>
      <c r="N7" s="296"/>
      <c r="O7" s="306"/>
    </row>
    <row r="8" spans="1:15" ht="13.5" thickBot="1">
      <c r="A8" s="303"/>
      <c r="B8" s="109"/>
      <c r="C8" s="109"/>
      <c r="D8" s="299"/>
      <c r="E8" s="110"/>
      <c r="F8" s="299"/>
      <c r="G8" s="109"/>
      <c r="H8" s="299"/>
      <c r="I8" s="299"/>
      <c r="J8" s="299"/>
      <c r="K8" s="305"/>
      <c r="L8" s="296"/>
      <c r="M8" s="305"/>
      <c r="N8" s="296"/>
      <c r="O8" s="306"/>
    </row>
    <row r="9" spans="1:15" ht="13.5" thickBot="1">
      <c r="A9" s="304"/>
      <c r="B9" s="111"/>
      <c r="C9" s="111"/>
      <c r="D9" s="300"/>
      <c r="E9" s="112"/>
      <c r="F9" s="300"/>
      <c r="G9" s="111"/>
      <c r="H9" s="300"/>
      <c r="I9" s="300"/>
      <c r="J9" s="300"/>
      <c r="K9" s="305"/>
      <c r="L9" s="297"/>
      <c r="M9" s="305"/>
      <c r="N9" s="297"/>
      <c r="O9" s="306"/>
    </row>
    <row r="10" spans="1:15" ht="13.5" thickBot="1">
      <c r="A10" s="113" t="s">
        <v>111</v>
      </c>
      <c r="B10" s="114"/>
      <c r="C10" s="114"/>
      <c r="D10" s="115">
        <v>1</v>
      </c>
      <c r="E10" s="115"/>
      <c r="F10" s="115">
        <v>1</v>
      </c>
      <c r="G10" s="115"/>
      <c r="H10" s="115">
        <v>8</v>
      </c>
      <c r="I10" s="115">
        <v>7.7</v>
      </c>
      <c r="J10" s="115">
        <v>0.34</v>
      </c>
      <c r="K10" s="84">
        <f>+D10*H10*I10*J10</f>
        <v>20.944000000000003</v>
      </c>
      <c r="L10" s="84">
        <f>+F10*H10*I10*J10</f>
        <v>20.944000000000003</v>
      </c>
      <c r="M10" s="116">
        <f>+D10*H10*I10</f>
        <v>61.6</v>
      </c>
      <c r="N10" s="116">
        <f>+F10*H10*I10</f>
        <v>61.6</v>
      </c>
      <c r="O10" s="70" t="s">
        <v>112</v>
      </c>
    </row>
    <row r="12" ht="13.5" thickBot="1">
      <c r="C12" s="88"/>
    </row>
    <row r="13" spans="1:15" ht="13.5" customHeight="1" thickBot="1">
      <c r="A13" s="81" t="s">
        <v>113</v>
      </c>
      <c r="B13" s="102"/>
      <c r="C13" s="102"/>
      <c r="D13" s="102"/>
      <c r="E13" s="102"/>
      <c r="F13" s="102"/>
      <c r="G13" s="102"/>
      <c r="H13" s="102"/>
      <c r="I13" s="102"/>
      <c r="J13" s="117"/>
      <c r="K13" s="118" t="s">
        <v>105</v>
      </c>
      <c r="L13" s="119"/>
      <c r="M13" s="120" t="s">
        <v>106</v>
      </c>
      <c r="N13" s="119"/>
      <c r="O13" s="295" t="s">
        <v>107</v>
      </c>
    </row>
    <row r="14" spans="1:15" ht="66" thickBot="1">
      <c r="A14" s="69" t="s">
        <v>114</v>
      </c>
      <c r="B14" s="52"/>
      <c r="C14" s="52"/>
      <c r="D14" s="121"/>
      <c r="E14" s="121"/>
      <c r="F14" s="108" t="s">
        <v>115</v>
      </c>
      <c r="G14" s="121"/>
      <c r="H14" s="108" t="s">
        <v>116</v>
      </c>
      <c r="I14" s="108" t="s">
        <v>117</v>
      </c>
      <c r="J14" s="122" t="s">
        <v>104</v>
      </c>
      <c r="K14" s="123" t="s">
        <v>118</v>
      </c>
      <c r="L14" s="91" t="s">
        <v>119</v>
      </c>
      <c r="M14" s="124" t="s">
        <v>118</v>
      </c>
      <c r="N14" s="122" t="s">
        <v>119</v>
      </c>
      <c r="O14" s="297"/>
    </row>
    <row r="15" spans="1:15" ht="13.5" thickBot="1">
      <c r="A15" s="66" t="s">
        <v>111</v>
      </c>
      <c r="B15" s="82"/>
      <c r="C15" s="82"/>
      <c r="D15" s="55"/>
      <c r="E15" s="82"/>
      <c r="F15" s="55">
        <v>100</v>
      </c>
      <c r="G15" s="82"/>
      <c r="H15" s="55">
        <v>200</v>
      </c>
      <c r="I15" s="55">
        <v>1.2E-05</v>
      </c>
      <c r="J15" s="54">
        <v>0.34</v>
      </c>
      <c r="K15" s="55">
        <f>+F15*I15*J15</f>
        <v>0.00040800000000000005</v>
      </c>
      <c r="L15" s="54">
        <f>+H15*I15*0.34</f>
        <v>0.0008160000000000001</v>
      </c>
      <c r="M15" s="53">
        <f>+F15*I15</f>
        <v>0.0012000000000000001</v>
      </c>
      <c r="N15" s="53">
        <f>+H15*I15</f>
        <v>0.0024000000000000002</v>
      </c>
      <c r="O15" s="86" t="s">
        <v>120</v>
      </c>
    </row>
    <row r="16" spans="1:15" ht="12.75">
      <c r="A16" s="8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17"/>
    </row>
    <row r="17" spans="1:15" ht="12.75">
      <c r="A17" s="69" t="s">
        <v>121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92"/>
    </row>
    <row r="18" spans="1:15" ht="13.5" thickBot="1">
      <c r="A18" s="71" t="s">
        <v>122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/>
    </row>
    <row r="19" ht="16.5" customHeight="1"/>
    <row r="20" ht="13.5" thickBot="1"/>
    <row r="21" spans="1:15" ht="66" thickBot="1">
      <c r="A21" s="78" t="s">
        <v>123</v>
      </c>
      <c r="B21" s="90"/>
      <c r="C21" s="118"/>
      <c r="D21" s="89"/>
      <c r="E21" s="90"/>
      <c r="F21" s="89" t="s">
        <v>124</v>
      </c>
      <c r="G21" s="90"/>
      <c r="H21" s="89" t="s">
        <v>125</v>
      </c>
      <c r="I21" s="89" t="s">
        <v>126</v>
      </c>
      <c r="J21" s="104" t="s">
        <v>127</v>
      </c>
      <c r="K21" s="103" t="s">
        <v>118</v>
      </c>
      <c r="L21" s="104" t="s">
        <v>128</v>
      </c>
      <c r="M21" s="103" t="s">
        <v>129</v>
      </c>
      <c r="N21" s="104" t="s">
        <v>130</v>
      </c>
      <c r="O21" s="105" t="s">
        <v>107</v>
      </c>
    </row>
    <row r="22" spans="1:15" ht="13.5" thickBot="1">
      <c r="A22" s="66" t="s">
        <v>111</v>
      </c>
      <c r="B22" s="82"/>
      <c r="C22" s="82"/>
      <c r="D22" s="55"/>
      <c r="E22" s="82"/>
      <c r="F22" s="55">
        <v>335</v>
      </c>
      <c r="G22" s="82"/>
      <c r="H22" s="55">
        <v>0.5</v>
      </c>
      <c r="I22" s="55">
        <v>1</v>
      </c>
      <c r="J22" s="127">
        <f>1.7*0.075/1.5*331/235*25/0.15*0.5</f>
        <v>9.976950354609931</v>
      </c>
      <c r="K22" s="128">
        <f>+H22*J22</f>
        <v>4.988475177304966</v>
      </c>
      <c r="L22" s="127">
        <f>I22*J22</f>
        <v>9.976950354609931</v>
      </c>
      <c r="M22" s="127">
        <f>K22*F22/2000</f>
        <v>0.8355695921985817</v>
      </c>
      <c r="N22" s="127">
        <f>L22*F22/2000</f>
        <v>1.6711391843971635</v>
      </c>
      <c r="O22" s="86" t="s">
        <v>131</v>
      </c>
    </row>
    <row r="24" ht="13.5" thickBot="1"/>
    <row r="25" spans="3:10" ht="13.5" thickBot="1">
      <c r="C25" s="81" t="s">
        <v>132</v>
      </c>
      <c r="D25" s="102"/>
      <c r="E25" s="102"/>
      <c r="F25" s="102"/>
      <c r="G25" s="102"/>
      <c r="H25" s="102"/>
      <c r="I25" s="81" t="s">
        <v>133</v>
      </c>
      <c r="J25" s="117" t="s">
        <v>134</v>
      </c>
    </row>
    <row r="26" spans="3:10" ht="12.75">
      <c r="C26" s="69" t="s">
        <v>135</v>
      </c>
      <c r="D26" s="52"/>
      <c r="E26" s="52"/>
      <c r="F26" s="52"/>
      <c r="G26" s="52" t="s">
        <v>136</v>
      </c>
      <c r="H26" s="52"/>
      <c r="I26" s="129">
        <f>+K10+K15+K22</f>
        <v>25.93288317730497</v>
      </c>
      <c r="J26" s="129">
        <f>+L10+L15+L22</f>
        <v>30.921766354609936</v>
      </c>
    </row>
    <row r="27" spans="3:10" ht="13.5" thickBot="1">
      <c r="C27" s="71" t="s">
        <v>137</v>
      </c>
      <c r="D27" s="125"/>
      <c r="E27" s="125"/>
      <c r="F27" s="125"/>
      <c r="G27" s="125"/>
      <c r="H27" s="125"/>
      <c r="I27" s="130">
        <f>+M10+M15+M22</f>
        <v>62.43676959219858</v>
      </c>
      <c r="J27" s="130">
        <f>+N10+N15+N22</f>
        <v>63.273539184397166</v>
      </c>
    </row>
    <row r="29" spans="1:3" ht="12.75">
      <c r="A29" s="50" t="s">
        <v>138</v>
      </c>
      <c r="C29" s="50" t="s">
        <v>5</v>
      </c>
    </row>
  </sheetData>
  <sheetProtection/>
  <mergeCells count="16">
    <mergeCell ref="O13:O14"/>
    <mergeCell ref="A7:A9"/>
    <mergeCell ref="K6:K9"/>
    <mergeCell ref="D5:D9"/>
    <mergeCell ref="O5:O9"/>
    <mergeCell ref="K5:L5"/>
    <mergeCell ref="M5:N5"/>
    <mergeCell ref="M6:M9"/>
    <mergeCell ref="N6:N9"/>
    <mergeCell ref="A2:O2"/>
    <mergeCell ref="A3:O3"/>
    <mergeCell ref="L6:L9"/>
    <mergeCell ref="H5:H9"/>
    <mergeCell ref="I5:I9"/>
    <mergeCell ref="J5:J9"/>
    <mergeCell ref="F5:F9"/>
  </mergeCells>
  <printOptions/>
  <pageMargins left="1" right="0.75" top="1" bottom="1" header="0.5" footer="0.5"/>
  <pageSetup horizontalDpi="300" verticalDpi="300" orientation="landscape" scale="6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2">
      <selection activeCell="L31" sqref="L31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3.5" thickBot="1">
      <c r="A2" s="320" t="s">
        <v>38</v>
      </c>
      <c r="B2" s="307" t="s">
        <v>8</v>
      </c>
      <c r="C2" s="308"/>
      <c r="D2" s="307" t="s">
        <v>9</v>
      </c>
      <c r="E2" s="311"/>
      <c r="F2" s="311"/>
      <c r="G2" s="311"/>
      <c r="H2" s="311"/>
      <c r="I2" s="55" t="s">
        <v>10</v>
      </c>
      <c r="J2" s="54"/>
      <c r="K2" s="56" t="s">
        <v>12</v>
      </c>
    </row>
    <row r="3" spans="1:11" ht="53.25" thickBot="1">
      <c r="A3" s="321"/>
      <c r="B3" s="58" t="s">
        <v>39</v>
      </c>
      <c r="C3" s="59" t="s">
        <v>40</v>
      </c>
      <c r="D3" s="58" t="s">
        <v>41</v>
      </c>
      <c r="E3" s="60" t="s">
        <v>40</v>
      </c>
      <c r="F3" s="61" t="s">
        <v>42</v>
      </c>
      <c r="G3" s="61" t="s">
        <v>43</v>
      </c>
      <c r="H3" s="59" t="s">
        <v>44</v>
      </c>
      <c r="I3" s="58" t="s">
        <v>39</v>
      </c>
      <c r="J3" s="59" t="s">
        <v>40</v>
      </c>
      <c r="K3" s="62" t="s">
        <v>45</v>
      </c>
    </row>
    <row r="4" spans="1:11" ht="27" thickBot="1">
      <c r="A4" s="63" t="s">
        <v>46</v>
      </c>
      <c r="B4" s="64">
        <v>10.39</v>
      </c>
      <c r="C4" s="64">
        <v>10.68</v>
      </c>
      <c r="D4" s="64">
        <v>2.23</v>
      </c>
      <c r="E4" s="64">
        <v>3.15</v>
      </c>
      <c r="F4" s="65">
        <v>0.53</v>
      </c>
      <c r="G4" s="64">
        <v>0.41</v>
      </c>
      <c r="H4" s="56">
        <v>0.44</v>
      </c>
      <c r="I4" s="64">
        <v>0.79</v>
      </c>
      <c r="J4" s="56">
        <v>0.64</v>
      </c>
      <c r="K4" s="56">
        <v>0.04</v>
      </c>
    </row>
    <row r="5" spans="1:11" ht="13.5" thickBot="1">
      <c r="A5" s="66" t="s">
        <v>47</v>
      </c>
      <c r="B5" s="67">
        <v>40.66</v>
      </c>
      <c r="C5" s="67">
        <v>7.03</v>
      </c>
      <c r="D5" s="67">
        <v>5.33</v>
      </c>
      <c r="E5" s="67">
        <v>5.71</v>
      </c>
      <c r="F5" s="55">
        <v>5.5</v>
      </c>
      <c r="G5" s="67">
        <v>4.55</v>
      </c>
      <c r="H5" s="67">
        <v>0.357</v>
      </c>
      <c r="I5" s="67">
        <v>1.8</v>
      </c>
      <c r="J5" s="54">
        <v>1.27</v>
      </c>
      <c r="K5" s="54">
        <v>0.03</v>
      </c>
    </row>
    <row r="6" spans="1:11" ht="13.5" thickBot="1">
      <c r="A6" s="66" t="s">
        <v>48</v>
      </c>
      <c r="B6" s="67">
        <v>10.15</v>
      </c>
      <c r="C6" s="67" t="s">
        <v>49</v>
      </c>
      <c r="D6" s="67">
        <v>1.74</v>
      </c>
      <c r="E6" s="67" t="s">
        <v>49</v>
      </c>
      <c r="F6" s="67" t="s">
        <v>49</v>
      </c>
      <c r="G6" s="67" t="s">
        <v>49</v>
      </c>
      <c r="H6" s="67">
        <v>0.364</v>
      </c>
      <c r="I6" s="67">
        <v>10.22</v>
      </c>
      <c r="J6" s="67" t="s">
        <v>49</v>
      </c>
      <c r="K6" s="54">
        <v>0.75</v>
      </c>
    </row>
    <row r="8" ht="13.5" thickBot="1"/>
    <row r="9" spans="1:12" ht="13.5" thickBot="1">
      <c r="A9" s="68"/>
      <c r="B9" s="307" t="s">
        <v>50</v>
      </c>
      <c r="C9" s="311"/>
      <c r="D9" s="308"/>
      <c r="E9" s="307" t="s">
        <v>51</v>
      </c>
      <c r="F9" s="311"/>
      <c r="G9" s="311"/>
      <c r="H9" s="311"/>
      <c r="I9" s="311"/>
      <c r="J9" s="311"/>
      <c r="K9" s="311"/>
      <c r="L9" s="308"/>
    </row>
    <row r="10" spans="1:12" ht="13.5" thickBot="1">
      <c r="A10" s="69"/>
      <c r="B10" s="322" t="s">
        <v>52</v>
      </c>
      <c r="C10" s="324" t="s">
        <v>53</v>
      </c>
      <c r="D10" s="326" t="s">
        <v>54</v>
      </c>
      <c r="E10" s="307" t="s">
        <v>8</v>
      </c>
      <c r="F10" s="308"/>
      <c r="G10" s="307" t="s">
        <v>9</v>
      </c>
      <c r="H10" s="311"/>
      <c r="I10" s="308"/>
      <c r="J10" s="307" t="s">
        <v>10</v>
      </c>
      <c r="K10" s="308"/>
      <c r="L10" s="70" t="s">
        <v>12</v>
      </c>
    </row>
    <row r="11" spans="1:12" ht="66" thickBot="1">
      <c r="A11" s="71" t="s">
        <v>55</v>
      </c>
      <c r="B11" s="323"/>
      <c r="C11" s="325"/>
      <c r="D11" s="327"/>
      <c r="E11" s="72" t="s">
        <v>56</v>
      </c>
      <c r="F11" s="62" t="s">
        <v>57</v>
      </c>
      <c r="G11" s="72" t="s">
        <v>58</v>
      </c>
      <c r="H11" s="72" t="s">
        <v>59</v>
      </c>
      <c r="I11" s="73" t="s">
        <v>60</v>
      </c>
      <c r="J11" s="74" t="s">
        <v>61</v>
      </c>
      <c r="K11" s="72" t="s">
        <v>57</v>
      </c>
      <c r="L11" s="72" t="s">
        <v>62</v>
      </c>
    </row>
    <row r="12" spans="1:12" ht="12.75">
      <c r="A12" s="328" t="s">
        <v>63</v>
      </c>
      <c r="B12" s="316">
        <v>300</v>
      </c>
      <c r="C12" s="316">
        <f>B12*2</f>
        <v>600</v>
      </c>
      <c r="D12" s="316">
        <v>27</v>
      </c>
      <c r="E12" s="312">
        <f>C12*D12*B$4/453.6</f>
        <v>371.07142857142856</v>
      </c>
      <c r="F12" s="312">
        <f>C12*C$4/453.6</f>
        <v>14.126984126984127</v>
      </c>
      <c r="G12" s="312">
        <f>C12*D12*(D$4+H$4)/453.6</f>
        <v>95.35714285714285</v>
      </c>
      <c r="H12" s="312">
        <f>C12*(E$4+F$4)/453.6</f>
        <v>4.867724867724868</v>
      </c>
      <c r="I12" s="312">
        <f>B12*8*G$4/453.6</f>
        <v>2.169312169312169</v>
      </c>
      <c r="J12" s="312">
        <f>C12*D12*I$4/453.6</f>
        <v>28.21428571428571</v>
      </c>
      <c r="K12" s="314">
        <f>C12*J$4/453.6</f>
        <v>0.8465608465608465</v>
      </c>
      <c r="L12" s="312">
        <f>C12*D12*K$4/453.6</f>
        <v>1.4285714285714286</v>
      </c>
    </row>
    <row r="13" spans="1:12" ht="13.5" thickBot="1">
      <c r="A13" s="329"/>
      <c r="B13" s="317"/>
      <c r="C13" s="317"/>
      <c r="D13" s="317"/>
      <c r="E13" s="313"/>
      <c r="F13" s="313"/>
      <c r="G13" s="313"/>
      <c r="H13" s="313"/>
      <c r="I13" s="313"/>
      <c r="J13" s="313"/>
      <c r="K13" s="315"/>
      <c r="L13" s="313"/>
    </row>
    <row r="14" spans="1:12" ht="12.75">
      <c r="A14" s="318" t="s">
        <v>64</v>
      </c>
      <c r="B14" s="316">
        <v>12</v>
      </c>
      <c r="C14" s="316">
        <f>B14*2</f>
        <v>24</v>
      </c>
      <c r="D14" s="316">
        <v>10</v>
      </c>
      <c r="E14" s="312">
        <f>C14*D14*B$4/453.6</f>
        <v>5.497354497354498</v>
      </c>
      <c r="F14" s="312">
        <f>C14*C$4/453.6</f>
        <v>0.5650793650793651</v>
      </c>
      <c r="G14" s="312">
        <f>C14*D14*(D$4+H$4)/453.6</f>
        <v>1.4126984126984126</v>
      </c>
      <c r="H14" s="312">
        <f>C14*(E$4+F$4)/453.6</f>
        <v>0.1947089947089947</v>
      </c>
      <c r="I14" s="312">
        <f>B14*8*G$4/453.6</f>
        <v>0.08677248677248676</v>
      </c>
      <c r="J14" s="312">
        <f>C14*D14*I$4/453.6</f>
        <v>0.417989417989418</v>
      </c>
      <c r="K14" s="314">
        <f>C14*J$4/453.6</f>
        <v>0.03386243386243386</v>
      </c>
      <c r="L14" s="312">
        <f>C14*D14*K$4/453.6</f>
        <v>0.021164021164021163</v>
      </c>
    </row>
    <row r="15" spans="1:12" ht="13.5" thickBot="1">
      <c r="A15" s="319"/>
      <c r="B15" s="317"/>
      <c r="C15" s="317"/>
      <c r="D15" s="317"/>
      <c r="E15" s="313"/>
      <c r="F15" s="313"/>
      <c r="G15" s="313"/>
      <c r="H15" s="313"/>
      <c r="I15" s="313"/>
      <c r="J15" s="313"/>
      <c r="K15" s="315"/>
      <c r="L15" s="313"/>
    </row>
    <row r="16" spans="1:12" ht="12.75">
      <c r="A16" s="322" t="s">
        <v>65</v>
      </c>
      <c r="B16" s="316">
        <v>15</v>
      </c>
      <c r="C16" s="316">
        <f>B16</f>
        <v>15</v>
      </c>
      <c r="D16" s="316">
        <v>10</v>
      </c>
      <c r="E16" s="312">
        <f>C16*D16*B$4/453.6</f>
        <v>3.4358465608465605</v>
      </c>
      <c r="F16" s="312">
        <f>C16*C$4/453.6</f>
        <v>0.35317460317460314</v>
      </c>
      <c r="G16" s="312">
        <f>C16*D16*(D$4+H$4)/453.6</f>
        <v>0.8829365079365079</v>
      </c>
      <c r="H16" s="312">
        <f>C16*(E$4+F$4)/453.6</f>
        <v>0.12169312169312167</v>
      </c>
      <c r="I16" s="312">
        <f>B16*8*G$4/453.6</f>
        <v>0.10846560846560845</v>
      </c>
      <c r="J16" s="312">
        <f>C16*D16*I$4/453.6</f>
        <v>0.2612433862433862</v>
      </c>
      <c r="K16" s="314">
        <f>C16*J$4/453.6</f>
        <v>0.021164021164021163</v>
      </c>
      <c r="L16" s="312">
        <f>C16*D16*K$4/453.6</f>
        <v>0.013227513227513227</v>
      </c>
    </row>
    <row r="17" spans="1:12" ht="13.5" thickBot="1">
      <c r="A17" s="330"/>
      <c r="B17" s="321"/>
      <c r="C17" s="317"/>
      <c r="D17" s="321"/>
      <c r="E17" s="313"/>
      <c r="F17" s="313"/>
      <c r="G17" s="313"/>
      <c r="H17" s="313"/>
      <c r="I17" s="313"/>
      <c r="J17" s="313"/>
      <c r="K17" s="315"/>
      <c r="L17" s="313"/>
    </row>
    <row r="18" spans="1:12" ht="13.5" thickBot="1">
      <c r="A18" s="78" t="s">
        <v>66</v>
      </c>
      <c r="B18" s="67">
        <v>3</v>
      </c>
      <c r="C18" s="67">
        <v>2</v>
      </c>
      <c r="D18" s="67">
        <v>6</v>
      </c>
      <c r="E18" s="79">
        <f>C18*D18*B4/453.6</f>
        <v>0.27486772486772487</v>
      </c>
      <c r="F18" s="79" t="s">
        <v>49</v>
      </c>
      <c r="G18" s="79">
        <f>C18*D18*(D4+H4)/453.6</f>
        <v>0.07063492063492063</v>
      </c>
      <c r="H18" s="79" t="s">
        <v>49</v>
      </c>
      <c r="I18" s="79" t="s">
        <v>49</v>
      </c>
      <c r="J18" s="79">
        <f>C18*D18*I4/453.6</f>
        <v>0.0208994708994709</v>
      </c>
      <c r="K18" s="79" t="s">
        <v>49</v>
      </c>
      <c r="L18" s="80">
        <f>K4*C18*D18/453.6</f>
        <v>0.001058201058201058</v>
      </c>
    </row>
    <row r="19" spans="1:12" ht="27" thickBot="1">
      <c r="A19" s="63" t="s">
        <v>67</v>
      </c>
      <c r="B19" s="64">
        <v>15</v>
      </c>
      <c r="C19" s="67">
        <f>B19*2</f>
        <v>30</v>
      </c>
      <c r="D19" s="67">
        <v>4</v>
      </c>
      <c r="E19" s="79">
        <f>C19*D19*B$6/453.6</f>
        <v>2.685185185185185</v>
      </c>
      <c r="F19" s="79" t="s">
        <v>49</v>
      </c>
      <c r="G19" s="79">
        <f>C19*D19*(D$6+H$6)/453.6</f>
        <v>0.5566137566137567</v>
      </c>
      <c r="H19" s="79" t="s">
        <v>49</v>
      </c>
      <c r="I19" s="79" t="s">
        <v>49</v>
      </c>
      <c r="J19" s="79">
        <f>C19*D19*I$6/453.6</f>
        <v>2.7037037037037037</v>
      </c>
      <c r="K19" s="79" t="s">
        <v>49</v>
      </c>
      <c r="L19" s="80">
        <f>K$6*C19*D19/453.6</f>
        <v>0.1984126984126984</v>
      </c>
    </row>
    <row r="20" spans="1:12" ht="13.5" thickBot="1">
      <c r="A20" s="81" t="s">
        <v>48</v>
      </c>
      <c r="B20" s="64">
        <v>6</v>
      </c>
      <c r="C20" s="67">
        <f>B20</f>
        <v>6</v>
      </c>
      <c r="D20" s="67">
        <v>50</v>
      </c>
      <c r="E20" s="79">
        <f>C20*D20*B$6/453.6</f>
        <v>6.712962962962963</v>
      </c>
      <c r="F20" s="79" t="s">
        <v>49</v>
      </c>
      <c r="G20" s="79">
        <f>C20*D20*(D$6+H$6)/453.6</f>
        <v>1.3915343915343916</v>
      </c>
      <c r="H20" s="79" t="s">
        <v>49</v>
      </c>
      <c r="I20" s="79" t="s">
        <v>49</v>
      </c>
      <c r="J20" s="79">
        <f>C20*D20*I$6/453.6</f>
        <v>6.759259259259259</v>
      </c>
      <c r="K20" s="79" t="s">
        <v>49</v>
      </c>
      <c r="L20" s="80">
        <f>K$6*C20*D20/453.6</f>
        <v>0.496031746031746</v>
      </c>
    </row>
    <row r="21" spans="1:12" ht="13.5" thickBot="1">
      <c r="A21" s="82"/>
      <c r="B21" s="55"/>
      <c r="C21" s="55"/>
      <c r="D21" s="55"/>
      <c r="E21" s="83"/>
      <c r="F21" s="83"/>
      <c r="G21" s="83"/>
      <c r="H21" s="83"/>
      <c r="I21" s="83"/>
      <c r="J21" s="83"/>
      <c r="K21" s="83"/>
      <c r="L21" s="83"/>
    </row>
    <row r="22" spans="1:12" ht="13.5" thickBot="1">
      <c r="A22" s="69" t="s">
        <v>55</v>
      </c>
      <c r="B22" s="331" t="s">
        <v>50</v>
      </c>
      <c r="C22" s="311"/>
      <c r="D22" s="308"/>
      <c r="E22" s="310" t="s">
        <v>8</v>
      </c>
      <c r="F22" s="332"/>
      <c r="G22" s="310" t="s">
        <v>9</v>
      </c>
      <c r="H22" s="333"/>
      <c r="I22" s="332"/>
      <c r="J22" s="310" t="s">
        <v>10</v>
      </c>
      <c r="K22" s="332"/>
      <c r="L22" s="84" t="s">
        <v>12</v>
      </c>
    </row>
    <row r="23" spans="1:12" ht="12.75">
      <c r="A23" s="328" t="s">
        <v>68</v>
      </c>
      <c r="B23" s="316">
        <f>+B12</f>
        <v>300</v>
      </c>
      <c r="C23" s="316">
        <f>+C12</f>
        <v>600</v>
      </c>
      <c r="D23" s="316"/>
      <c r="E23" s="334">
        <f>E12+F12+E14+F14</f>
        <v>391.2608465608465</v>
      </c>
      <c r="F23" s="314"/>
      <c r="G23" s="334">
        <f>G12+H12+I12+G14+H14+I14</f>
        <v>104.08835978835978</v>
      </c>
      <c r="H23" s="336"/>
      <c r="I23" s="337"/>
      <c r="J23" s="334">
        <f>J12+K12+J14+K14</f>
        <v>29.51269841269841</v>
      </c>
      <c r="K23" s="314"/>
      <c r="L23" s="312">
        <f>L12+L14</f>
        <v>1.4497354497354498</v>
      </c>
    </row>
    <row r="24" spans="1:12" ht="13.5" thickBot="1">
      <c r="A24" s="329"/>
      <c r="B24" s="317"/>
      <c r="C24" s="317"/>
      <c r="D24" s="317"/>
      <c r="E24" s="335"/>
      <c r="F24" s="315"/>
      <c r="G24" s="335"/>
      <c r="H24" s="338"/>
      <c r="I24" s="339"/>
      <c r="J24" s="335"/>
      <c r="K24" s="315"/>
      <c r="L24" s="313"/>
    </row>
    <row r="25" spans="1:12" ht="12.75">
      <c r="A25" s="322" t="s">
        <v>69</v>
      </c>
      <c r="B25" s="316">
        <f>B14</f>
        <v>12</v>
      </c>
      <c r="C25" s="316">
        <f>+C14</f>
        <v>24</v>
      </c>
      <c r="D25" s="316"/>
      <c r="E25" s="334">
        <f>E14+F14</f>
        <v>6.0624338624338625</v>
      </c>
      <c r="F25" s="314"/>
      <c r="G25" s="334">
        <f>G14+H14+I14</f>
        <v>1.694179894179894</v>
      </c>
      <c r="H25" s="336"/>
      <c r="I25" s="337"/>
      <c r="J25" s="334">
        <f>J14+K14</f>
        <v>0.4518518518518519</v>
      </c>
      <c r="K25" s="314"/>
      <c r="L25" s="312">
        <f>L14</f>
        <v>0.021164021164021163</v>
      </c>
    </row>
    <row r="26" spans="1:12" ht="13.5" thickBot="1">
      <c r="A26" s="330"/>
      <c r="B26" s="321"/>
      <c r="C26" s="321"/>
      <c r="D26" s="321"/>
      <c r="E26" s="335"/>
      <c r="F26" s="315"/>
      <c r="G26" s="335"/>
      <c r="H26" s="338"/>
      <c r="I26" s="339"/>
      <c r="J26" s="335"/>
      <c r="K26" s="315"/>
      <c r="L26" s="313"/>
    </row>
    <row r="27" spans="1:12" ht="25.5" customHeight="1" thickBot="1">
      <c r="A27" s="77" t="s">
        <v>70</v>
      </c>
      <c r="B27" s="75">
        <f>+B16</f>
        <v>15</v>
      </c>
      <c r="C27" s="75">
        <f>+C16</f>
        <v>15</v>
      </c>
      <c r="D27" s="75"/>
      <c r="E27" s="310">
        <f>+E16+F16</f>
        <v>3.7890211640211637</v>
      </c>
      <c r="F27" s="308"/>
      <c r="G27" s="310">
        <f>+G16+H16+I16</f>
        <v>1.113095238095238</v>
      </c>
      <c r="H27" s="311"/>
      <c r="I27" s="308"/>
      <c r="J27" s="310">
        <f>+J16+K16</f>
        <v>0.2824074074074074</v>
      </c>
      <c r="K27" s="308"/>
      <c r="L27" s="76">
        <f>+L16</f>
        <v>0.013227513227513227</v>
      </c>
    </row>
    <row r="28" spans="1:12" ht="12.75" customHeight="1" thickBot="1">
      <c r="A28" s="77" t="s">
        <v>66</v>
      </c>
      <c r="B28" s="75">
        <f>+B18</f>
        <v>3</v>
      </c>
      <c r="C28" s="75">
        <f>+C18</f>
        <v>2</v>
      </c>
      <c r="D28" s="57"/>
      <c r="E28" s="310">
        <f>+E18</f>
        <v>0.27486772486772487</v>
      </c>
      <c r="F28" s="308"/>
      <c r="G28" s="310">
        <f>+G18</f>
        <v>0.07063492063492063</v>
      </c>
      <c r="H28" s="311"/>
      <c r="I28" s="308"/>
      <c r="J28" s="310">
        <f>+J18</f>
        <v>0.0208994708994709</v>
      </c>
      <c r="K28" s="308"/>
      <c r="L28" s="76">
        <f>+L18</f>
        <v>0.001058201058201058</v>
      </c>
    </row>
    <row r="29" spans="1:12" ht="25.5" customHeight="1" thickBot="1">
      <c r="A29" s="77" t="s">
        <v>71</v>
      </c>
      <c r="B29" s="75">
        <f>+B19</f>
        <v>15</v>
      </c>
      <c r="C29" s="75">
        <f>+C19</f>
        <v>30</v>
      </c>
      <c r="D29" s="57"/>
      <c r="E29" s="310">
        <f>+E19</f>
        <v>2.685185185185185</v>
      </c>
      <c r="F29" s="308"/>
      <c r="G29" s="310">
        <f>+G19</f>
        <v>0.5566137566137567</v>
      </c>
      <c r="H29" s="311"/>
      <c r="I29" s="308"/>
      <c r="J29" s="310">
        <f>+J19</f>
        <v>2.7037037037037037</v>
      </c>
      <c r="K29" s="308"/>
      <c r="L29" s="76">
        <f>+L19</f>
        <v>0.1984126984126984</v>
      </c>
    </row>
    <row r="30" spans="1:12" ht="26.25" customHeight="1" thickBot="1">
      <c r="A30" s="78" t="s">
        <v>72</v>
      </c>
      <c r="B30" s="67">
        <f>B20</f>
        <v>6</v>
      </c>
      <c r="C30" s="67">
        <f>+C20</f>
        <v>6</v>
      </c>
      <c r="D30" s="67"/>
      <c r="E30" s="310">
        <f>+E20</f>
        <v>6.712962962962963</v>
      </c>
      <c r="F30" s="332"/>
      <c r="G30" s="310">
        <f>G20</f>
        <v>1.3915343915343916</v>
      </c>
      <c r="H30" s="333"/>
      <c r="I30" s="332"/>
      <c r="J30" s="310">
        <f>J20</f>
        <v>6.759259259259259</v>
      </c>
      <c r="K30" s="332"/>
      <c r="L30" s="80">
        <f>L20</f>
        <v>0.496031746031746</v>
      </c>
    </row>
    <row r="31" spans="1:12" ht="13.5" thickBot="1">
      <c r="A31" s="70" t="s">
        <v>73</v>
      </c>
      <c r="B31" s="66"/>
      <c r="C31" s="82"/>
      <c r="D31" s="86"/>
      <c r="E31" s="310">
        <f>SUM(E23:F30)</f>
        <v>410.7853174603174</v>
      </c>
      <c r="F31" s="308"/>
      <c r="G31" s="310">
        <f>SUM(G23:I30)</f>
        <v>108.91441798941798</v>
      </c>
      <c r="H31" s="311"/>
      <c r="I31" s="308"/>
      <c r="J31" s="310">
        <f>SUM(J23:K30)</f>
        <v>39.73082010582011</v>
      </c>
      <c r="K31" s="308"/>
      <c r="L31" s="79">
        <f>SUM(L23:L30)</f>
        <v>2.1796296296296296</v>
      </c>
    </row>
    <row r="33" ht="12.75">
      <c r="A33" s="50" t="s">
        <v>74</v>
      </c>
    </row>
    <row r="34" ht="12.75">
      <c r="A34" s="50" t="s">
        <v>75</v>
      </c>
    </row>
    <row r="35" ht="12.75">
      <c r="A35" s="50" t="s">
        <v>76</v>
      </c>
    </row>
    <row r="36" ht="12.75">
      <c r="A36" s="50" t="s">
        <v>77</v>
      </c>
    </row>
    <row r="37" ht="12.75">
      <c r="A37" s="50" t="s">
        <v>78</v>
      </c>
    </row>
    <row r="38" ht="12.75">
      <c r="A38" s="50" t="s">
        <v>79</v>
      </c>
    </row>
    <row r="40" ht="12.75">
      <c r="A40" s="50" t="s">
        <v>36</v>
      </c>
    </row>
  </sheetData>
  <sheetProtection/>
  <mergeCells count="82">
    <mergeCell ref="E31:F31"/>
    <mergeCell ref="G31:I31"/>
    <mergeCell ref="J31:K31"/>
    <mergeCell ref="E30:F30"/>
    <mergeCell ref="G30:I30"/>
    <mergeCell ref="J30:K30"/>
    <mergeCell ref="G25:I26"/>
    <mergeCell ref="J25:K26"/>
    <mergeCell ref="E25:F26"/>
    <mergeCell ref="L25:L26"/>
    <mergeCell ref="A25:A26"/>
    <mergeCell ref="B25:B26"/>
    <mergeCell ref="C25:C26"/>
    <mergeCell ref="D25:D26"/>
    <mergeCell ref="E23:F24"/>
    <mergeCell ref="G23:I24"/>
    <mergeCell ref="J23:K24"/>
    <mergeCell ref="L23:L24"/>
    <mergeCell ref="A23:A24"/>
    <mergeCell ref="B23:B24"/>
    <mergeCell ref="C23:C24"/>
    <mergeCell ref="D23:D24"/>
    <mergeCell ref="B22:D22"/>
    <mergeCell ref="E22:F22"/>
    <mergeCell ref="G22:I22"/>
    <mergeCell ref="J22:K22"/>
    <mergeCell ref="I16:I17"/>
    <mergeCell ref="J16:J17"/>
    <mergeCell ref="K16:K17"/>
    <mergeCell ref="H16:H17"/>
    <mergeCell ref="A12:A13"/>
    <mergeCell ref="B12:B13"/>
    <mergeCell ref="C12:C13"/>
    <mergeCell ref="D12:D13"/>
    <mergeCell ref="L16:L17"/>
    <mergeCell ref="K12:K13"/>
    <mergeCell ref="L12:L13"/>
    <mergeCell ref="A16:A17"/>
    <mergeCell ref="B16:B17"/>
    <mergeCell ref="C16:C17"/>
    <mergeCell ref="D16:D17"/>
    <mergeCell ref="E16:E17"/>
    <mergeCell ref="F16:F17"/>
    <mergeCell ref="G16:G17"/>
    <mergeCell ref="A14:A15"/>
    <mergeCell ref="C14:C15"/>
    <mergeCell ref="G10:I10"/>
    <mergeCell ref="J10:K10"/>
    <mergeCell ref="A2:A3"/>
    <mergeCell ref="B2:C2"/>
    <mergeCell ref="D2:H2"/>
    <mergeCell ref="B9:D9"/>
    <mergeCell ref="B10:B11"/>
    <mergeCell ref="C10:C11"/>
    <mergeCell ref="D10:D11"/>
    <mergeCell ref="E9:L9"/>
    <mergeCell ref="G12:G13"/>
    <mergeCell ref="H12:H13"/>
    <mergeCell ref="I12:I13"/>
    <mergeCell ref="J12:J13"/>
    <mergeCell ref="B14:B15"/>
    <mergeCell ref="D14:D15"/>
    <mergeCell ref="E10:F10"/>
    <mergeCell ref="E12:E13"/>
    <mergeCell ref="F12:F13"/>
    <mergeCell ref="L14:L15"/>
    <mergeCell ref="K14:K15"/>
    <mergeCell ref="J14:J15"/>
    <mergeCell ref="E14:E15"/>
    <mergeCell ref="F14:F15"/>
    <mergeCell ref="G14:G15"/>
    <mergeCell ref="H14:H15"/>
    <mergeCell ref="I14:I15"/>
    <mergeCell ref="E27:F27"/>
    <mergeCell ref="E29:F29"/>
    <mergeCell ref="E28:F28"/>
    <mergeCell ref="J28:K28"/>
    <mergeCell ref="G28:I28"/>
    <mergeCell ref="G27:I27"/>
    <mergeCell ref="G29:I29"/>
    <mergeCell ref="J27:K27"/>
    <mergeCell ref="J29:K29"/>
  </mergeCells>
  <printOptions horizontalCentered="1"/>
  <pageMargins left="1" right="0.75" top="1" bottom="1" header="0.5" footer="0.5"/>
  <pageSetup fitToHeight="1" fitToWidth="1" horizontalDpi="600" verticalDpi="600" orientation="landscape" scale="70" r:id="rId1"/>
  <headerFooter alignWithMargins="0">
    <oddHeader xml:space="preserve">&amp;C&amp;"Arial,Bold"&amp;12Construction Vehicle Emissions for the Tosco CARB 
Phase 3 Project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5" sqref="A25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spans="1:4" ht="17.25">
      <c r="A1" s="1"/>
      <c r="C1" s="1" t="s">
        <v>80</v>
      </c>
      <c r="D1" s="1"/>
    </row>
    <row r="2" spans="3:9" ht="17.25">
      <c r="C2" s="1" t="s">
        <v>5</v>
      </c>
      <c r="D2" s="1" t="s">
        <v>81</v>
      </c>
      <c r="F2" s="87"/>
      <c r="G2" s="88"/>
      <c r="H2" s="88"/>
      <c r="I2" s="88"/>
    </row>
    <row r="3" ht="13.5" thickBot="1"/>
    <row r="4" spans="1:10" ht="39.75" thickBot="1">
      <c r="A4" s="307" t="s">
        <v>82</v>
      </c>
      <c r="B4" s="311"/>
      <c r="C4" s="82"/>
      <c r="D4" s="54" t="s">
        <v>83</v>
      </c>
      <c r="E4" s="55"/>
      <c r="F4" s="55" t="s">
        <v>84</v>
      </c>
      <c r="G4" s="89" t="s">
        <v>85</v>
      </c>
      <c r="H4" s="89" t="s">
        <v>86</v>
      </c>
      <c r="I4" s="90" t="s">
        <v>87</v>
      </c>
      <c r="J4" s="91" t="s">
        <v>88</v>
      </c>
    </row>
    <row r="5" spans="1:10" ht="12.75">
      <c r="A5" s="81"/>
      <c r="B5" s="52"/>
      <c r="C5" s="52"/>
      <c r="D5" s="92"/>
      <c r="E5" s="52"/>
      <c r="F5" s="52"/>
      <c r="G5" s="52"/>
      <c r="H5" s="52"/>
      <c r="I5" s="52"/>
      <c r="J5" s="93"/>
    </row>
    <row r="6" spans="1:10" ht="12.75">
      <c r="A6" s="69" t="s">
        <v>89</v>
      </c>
      <c r="B6" s="52"/>
      <c r="C6" s="52"/>
      <c r="D6" s="92"/>
      <c r="E6" s="52"/>
      <c r="F6" s="52"/>
      <c r="G6" s="52"/>
      <c r="H6" s="52"/>
      <c r="I6" s="52"/>
      <c r="J6" s="94"/>
    </row>
    <row r="7" spans="1:10" ht="12.75">
      <c r="A7" s="69" t="s">
        <v>90</v>
      </c>
      <c r="B7" s="52"/>
      <c r="D7" s="95">
        <v>300</v>
      </c>
      <c r="E7" s="96"/>
      <c r="F7" s="96" t="s">
        <v>91</v>
      </c>
      <c r="G7" s="96">
        <v>2</v>
      </c>
      <c r="H7" s="96">
        <v>27</v>
      </c>
      <c r="I7" s="52">
        <v>0.0012</v>
      </c>
      <c r="J7" s="97">
        <f>D7*G7*H7*I7</f>
        <v>19.439999999999998</v>
      </c>
    </row>
    <row r="8" spans="1:10" ht="12.75">
      <c r="A8" s="69" t="s">
        <v>92</v>
      </c>
      <c r="B8" s="52"/>
      <c r="C8" s="52"/>
      <c r="D8" s="92"/>
      <c r="E8" s="52"/>
      <c r="F8" s="52"/>
      <c r="G8" s="52"/>
      <c r="H8" s="52"/>
      <c r="I8" s="52"/>
      <c r="J8" s="94"/>
    </row>
    <row r="9" spans="1:10" ht="12.75">
      <c r="A9" s="69"/>
      <c r="B9" s="52"/>
      <c r="C9" s="52"/>
      <c r="D9" s="92"/>
      <c r="E9" s="52"/>
      <c r="F9" s="52"/>
      <c r="G9" s="52"/>
      <c r="H9" s="52"/>
      <c r="I9" s="52"/>
      <c r="J9" s="94"/>
    </row>
    <row r="10" spans="1:10" ht="12.75">
      <c r="A10" s="69" t="s">
        <v>69</v>
      </c>
      <c r="B10" s="52"/>
      <c r="C10" s="52"/>
      <c r="D10" s="95">
        <v>12</v>
      </c>
      <c r="E10" s="52"/>
      <c r="F10" s="96" t="s">
        <v>91</v>
      </c>
      <c r="G10" s="96">
        <v>2</v>
      </c>
      <c r="H10" s="96">
        <v>10</v>
      </c>
      <c r="I10" s="52">
        <v>0.0012</v>
      </c>
      <c r="J10" s="97">
        <f>D10*G10*H10*I10</f>
        <v>0.288</v>
      </c>
    </row>
    <row r="11" spans="1:10" ht="12.75">
      <c r="A11" s="69"/>
      <c r="B11" s="52"/>
      <c r="C11" s="52"/>
      <c r="D11" s="95"/>
      <c r="E11" s="52"/>
      <c r="F11" s="96"/>
      <c r="G11" s="96"/>
      <c r="H11" s="96"/>
      <c r="I11" s="52"/>
      <c r="J11" s="97"/>
    </row>
    <row r="12" spans="1:10" ht="12.75">
      <c r="A12" s="69" t="s">
        <v>93</v>
      </c>
      <c r="B12" s="52"/>
      <c r="C12" s="52"/>
      <c r="D12" s="95">
        <v>15</v>
      </c>
      <c r="E12" s="52"/>
      <c r="F12" s="96" t="s">
        <v>91</v>
      </c>
      <c r="G12" s="96">
        <v>1</v>
      </c>
      <c r="H12" s="96">
        <v>10</v>
      </c>
      <c r="I12" s="52">
        <v>0.0012</v>
      </c>
      <c r="J12" s="97">
        <f>D12*G12*H12*I12</f>
        <v>0.18</v>
      </c>
    </row>
    <row r="13" spans="1:10" ht="12.75">
      <c r="A13" s="69"/>
      <c r="B13" s="52"/>
      <c r="C13" s="52"/>
      <c r="D13" s="95"/>
      <c r="E13" s="52"/>
      <c r="F13" s="96"/>
      <c r="G13" s="96"/>
      <c r="H13" s="96"/>
      <c r="I13" s="52"/>
      <c r="J13" s="97"/>
    </row>
    <row r="14" spans="1:10" ht="12.75">
      <c r="A14" s="69" t="s">
        <v>66</v>
      </c>
      <c r="B14" s="52"/>
      <c r="C14" s="52"/>
      <c r="D14" s="95">
        <v>3</v>
      </c>
      <c r="E14" s="52"/>
      <c r="F14" s="96" t="s">
        <v>94</v>
      </c>
      <c r="G14" s="96">
        <v>2</v>
      </c>
      <c r="H14" s="96">
        <v>6</v>
      </c>
      <c r="I14" s="52">
        <v>0.0288</v>
      </c>
      <c r="J14" s="97">
        <f>D14*G14*H14*I14</f>
        <v>1.0368</v>
      </c>
    </row>
    <row r="15" spans="1:10" ht="12.75">
      <c r="A15" s="69"/>
      <c r="B15" s="52"/>
      <c r="C15" s="52"/>
      <c r="D15" s="92"/>
      <c r="E15" s="52"/>
      <c r="F15" s="96"/>
      <c r="G15" s="52"/>
      <c r="H15" s="52"/>
      <c r="I15" s="52"/>
      <c r="J15" s="94"/>
    </row>
    <row r="16" spans="1:10" ht="12.75">
      <c r="A16" s="69" t="s">
        <v>71</v>
      </c>
      <c r="B16" s="52"/>
      <c r="C16" s="52"/>
      <c r="D16" s="95">
        <v>15</v>
      </c>
      <c r="E16" s="96"/>
      <c r="F16" s="96" t="s">
        <v>94</v>
      </c>
      <c r="G16" s="96">
        <v>2</v>
      </c>
      <c r="H16" s="96">
        <v>4</v>
      </c>
      <c r="I16" s="52">
        <v>0.0288</v>
      </c>
      <c r="J16" s="97">
        <f>D16*G16*H16*I16</f>
        <v>3.456</v>
      </c>
    </row>
    <row r="17" spans="1:10" ht="12.75">
      <c r="A17" s="69" t="s">
        <v>92</v>
      </c>
      <c r="B17" s="52"/>
      <c r="C17" s="52"/>
      <c r="D17" s="92"/>
      <c r="E17" s="52"/>
      <c r="F17" s="52"/>
      <c r="G17" s="52"/>
      <c r="H17" s="52"/>
      <c r="I17" s="52"/>
      <c r="J17" s="94"/>
    </row>
    <row r="18" spans="1:10" ht="12.75">
      <c r="A18" s="69"/>
      <c r="B18" s="52"/>
      <c r="C18" s="52"/>
      <c r="D18" s="92"/>
      <c r="E18" s="52"/>
      <c r="F18" s="52"/>
      <c r="G18" s="52"/>
      <c r="H18" s="52"/>
      <c r="I18" s="52"/>
      <c r="J18" s="94"/>
    </row>
    <row r="19" spans="1:10" ht="12.75">
      <c r="A19" s="69" t="s">
        <v>48</v>
      </c>
      <c r="B19" s="52"/>
      <c r="C19" s="52"/>
      <c r="D19" s="95">
        <v>6</v>
      </c>
      <c r="E19" s="96"/>
      <c r="F19" s="96" t="s">
        <v>94</v>
      </c>
      <c r="G19" s="96">
        <v>2</v>
      </c>
      <c r="H19" s="96">
        <v>50</v>
      </c>
      <c r="I19" s="52">
        <v>0.0288</v>
      </c>
      <c r="J19" s="97">
        <f>D19*G19*H19*I19</f>
        <v>17.28</v>
      </c>
    </row>
    <row r="20" spans="1:10" ht="12.75">
      <c r="A20" s="69" t="s">
        <v>92</v>
      </c>
      <c r="B20" s="52"/>
      <c r="C20" s="52"/>
      <c r="D20" s="92"/>
      <c r="E20" s="52"/>
      <c r="F20" s="52"/>
      <c r="G20" s="52"/>
      <c r="H20" s="52"/>
      <c r="I20" s="52"/>
      <c r="J20" s="94"/>
    </row>
    <row r="21" spans="1:10" ht="13.5" thickBot="1">
      <c r="A21" s="69"/>
      <c r="B21" s="52"/>
      <c r="C21" s="52"/>
      <c r="D21" s="92"/>
      <c r="E21" s="52"/>
      <c r="F21" s="52"/>
      <c r="G21" s="52"/>
      <c r="H21" s="52"/>
      <c r="I21" s="52"/>
      <c r="J21" s="94"/>
    </row>
    <row r="22" spans="1:10" ht="13.5" thickBot="1">
      <c r="A22" s="66" t="s">
        <v>95</v>
      </c>
      <c r="B22" s="82"/>
      <c r="C22" s="82"/>
      <c r="D22" s="54">
        <f>SUM(D7:D21)</f>
        <v>351</v>
      </c>
      <c r="E22" s="82"/>
      <c r="F22" s="82"/>
      <c r="G22" s="82"/>
      <c r="H22" s="82"/>
      <c r="I22" s="82"/>
      <c r="J22" s="67">
        <f>SUM(J7:J21)</f>
        <v>41.6808</v>
      </c>
    </row>
    <row r="24" ht="12.75">
      <c r="A24" s="50" t="s">
        <v>96</v>
      </c>
    </row>
    <row r="25" ht="12.75">
      <c r="A25" s="50"/>
    </row>
    <row r="26" ht="12.75">
      <c r="A26" s="50" t="s">
        <v>97</v>
      </c>
    </row>
  </sheetData>
  <sheetProtection/>
  <mergeCells count="1">
    <mergeCell ref="A4:B4"/>
  </mergeCells>
  <printOptions/>
  <pageMargins left="1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30">
      <selection activeCell="A25" sqref="A25"/>
    </sheetView>
  </sheetViews>
  <sheetFormatPr defaultColWidth="9.140625" defaultRowHeight="12.75"/>
  <cols>
    <col min="1" max="1" width="36.7109375" style="0" customWidth="1"/>
    <col min="2" max="2" width="9.7109375" style="0" customWidth="1"/>
    <col min="6" max="6" width="9.00390625" style="0" customWidth="1"/>
  </cols>
  <sheetData>
    <row r="1" ht="12" customHeight="1"/>
    <row r="2" ht="17.25">
      <c r="E2" s="1" t="s">
        <v>0</v>
      </c>
    </row>
    <row r="3" ht="13.5" thickBot="1"/>
    <row r="4" spans="1:13" ht="13.5" thickTop="1">
      <c r="A4" s="2" t="s">
        <v>1</v>
      </c>
      <c r="B4" s="3"/>
      <c r="C4" s="3" t="s">
        <v>2</v>
      </c>
      <c r="D4" s="4"/>
      <c r="E4" s="5" t="s">
        <v>3</v>
      </c>
      <c r="F4" s="5"/>
      <c r="G4" s="6"/>
      <c r="H4" s="7"/>
      <c r="I4" s="8"/>
      <c r="J4" s="5" t="s">
        <v>4</v>
      </c>
      <c r="K4" s="9"/>
      <c r="L4" s="10"/>
      <c r="M4" s="11"/>
    </row>
    <row r="5" spans="1:13" ht="13.5" thickBot="1">
      <c r="A5" s="12" t="s">
        <v>5</v>
      </c>
      <c r="B5" s="13" t="s">
        <v>6</v>
      </c>
      <c r="C5" s="14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6" t="s">
        <v>12</v>
      </c>
      <c r="I5" s="17" t="s">
        <v>8</v>
      </c>
      <c r="J5" s="15" t="s">
        <v>9</v>
      </c>
      <c r="K5" s="15" t="s">
        <v>10</v>
      </c>
      <c r="L5" s="15" t="s">
        <v>11</v>
      </c>
      <c r="M5" s="18" t="s">
        <v>12</v>
      </c>
    </row>
    <row r="6" spans="1:13" ht="13.5" thickTop="1">
      <c r="A6" s="19" t="s">
        <v>13</v>
      </c>
      <c r="B6" s="20">
        <v>3</v>
      </c>
      <c r="C6" s="21">
        <v>8</v>
      </c>
      <c r="D6" s="22">
        <f>0.011*37*0.48</f>
        <v>0.19535999999999998</v>
      </c>
      <c r="E6" s="22">
        <f>0.002*37*0.48</f>
        <v>0.035519999999999996</v>
      </c>
      <c r="F6" s="22">
        <f>0.018*37*0.48</f>
        <v>0.31967999999999996</v>
      </c>
      <c r="G6" s="22">
        <f>0.002*37*0.48</f>
        <v>0.035519999999999996</v>
      </c>
      <c r="H6" s="22">
        <f>0.001*37*0.48</f>
        <v>0.017759999999999998</v>
      </c>
      <c r="I6" s="131">
        <f>B6*C6*D6</f>
        <v>4.6886399999999995</v>
      </c>
      <c r="J6" s="132">
        <f>B6*C6*E6</f>
        <v>0.8524799999999999</v>
      </c>
      <c r="K6" s="132">
        <f>B6*C6*F6</f>
        <v>7.672319999999999</v>
      </c>
      <c r="L6" s="132">
        <f aca="true" t="shared" si="0" ref="L6:L15">B6*C6*G6</f>
        <v>0.8524799999999999</v>
      </c>
      <c r="M6" s="133">
        <f aca="true" t="shared" si="1" ref="M6:M15">B6*C6*H6</f>
        <v>0.42623999999999995</v>
      </c>
    </row>
    <row r="7" spans="1:13" ht="12.75">
      <c r="A7" s="26" t="s">
        <v>14</v>
      </c>
      <c r="B7" s="27">
        <v>3</v>
      </c>
      <c r="C7" s="21">
        <v>8</v>
      </c>
      <c r="D7" s="24">
        <f>0.015*119*0.465</f>
        <v>0.830025</v>
      </c>
      <c r="E7" s="24">
        <f>0.003*119*0.465</f>
        <v>0.166005</v>
      </c>
      <c r="F7" s="24">
        <f>0.022*119*0.465</f>
        <v>1.21737</v>
      </c>
      <c r="G7" s="24">
        <f>0.002*119*0.465</f>
        <v>0.11067000000000002</v>
      </c>
      <c r="H7" s="24">
        <f>0.001*119*0.465</f>
        <v>0.05533500000000001</v>
      </c>
      <c r="I7" s="131">
        <f>B7*C7*D7</f>
        <v>19.9206</v>
      </c>
      <c r="J7" s="132">
        <f>B7*C7*E7</f>
        <v>3.9841200000000003</v>
      </c>
      <c r="K7" s="132">
        <f>B7*C7*F7</f>
        <v>29.216880000000003</v>
      </c>
      <c r="L7" s="132">
        <f t="shared" si="0"/>
        <v>2.65608</v>
      </c>
      <c r="M7" s="133">
        <f t="shared" si="1"/>
        <v>1.32804</v>
      </c>
    </row>
    <row r="8" spans="1:13" ht="12.75">
      <c r="A8" s="19" t="s">
        <v>15</v>
      </c>
      <c r="B8" s="20">
        <v>3</v>
      </c>
      <c r="C8" s="21">
        <v>8</v>
      </c>
      <c r="D8" s="28" t="s">
        <v>16</v>
      </c>
      <c r="E8" s="28" t="s">
        <v>16</v>
      </c>
      <c r="F8" s="28" t="s">
        <v>16</v>
      </c>
      <c r="G8" s="22">
        <v>0.35</v>
      </c>
      <c r="H8" s="29">
        <v>0.165</v>
      </c>
      <c r="I8" s="131">
        <v>0</v>
      </c>
      <c r="J8" s="132">
        <v>0</v>
      </c>
      <c r="K8" s="132">
        <v>0</v>
      </c>
      <c r="L8" s="132">
        <f t="shared" si="0"/>
        <v>8.399999999999999</v>
      </c>
      <c r="M8" s="133">
        <f t="shared" si="1"/>
        <v>3.96</v>
      </c>
    </row>
    <row r="9" spans="1:13" ht="12.75">
      <c r="A9" s="19" t="s">
        <v>17</v>
      </c>
      <c r="B9" s="20">
        <v>2</v>
      </c>
      <c r="C9" s="21">
        <v>8</v>
      </c>
      <c r="D9" s="22">
        <f>0.83*4*0.55</f>
        <v>1.826</v>
      </c>
      <c r="E9" s="22">
        <f>0.043*4*0.55</f>
        <v>0.0946</v>
      </c>
      <c r="F9" s="22">
        <f>0.004*4*0.55</f>
        <v>0.0088</v>
      </c>
      <c r="G9" s="22">
        <f>0.005*4*0.55</f>
        <v>0.011000000000000001</v>
      </c>
      <c r="H9" s="29">
        <f>0.00025*4*0.55</f>
        <v>0.00055</v>
      </c>
      <c r="I9" s="131">
        <f aca="true" t="shared" si="2" ref="I9:I15">B9*C9*D9</f>
        <v>29.216</v>
      </c>
      <c r="J9" s="132">
        <f aca="true" t="shared" si="3" ref="J9:J15">B9*C9*E9</f>
        <v>1.5136</v>
      </c>
      <c r="K9" s="132">
        <f aca="true" t="shared" si="4" ref="K9:K15">B9*C9*F9</f>
        <v>0.1408</v>
      </c>
      <c r="L9" s="132">
        <f t="shared" si="0"/>
        <v>0.17600000000000002</v>
      </c>
      <c r="M9" s="133">
        <f t="shared" si="1"/>
        <v>0.0088</v>
      </c>
    </row>
    <row r="10" spans="1:13" ht="12.75">
      <c r="A10" s="19" t="s">
        <v>18</v>
      </c>
      <c r="B10" s="20">
        <v>2</v>
      </c>
      <c r="C10" s="21">
        <v>8</v>
      </c>
      <c r="D10" s="22">
        <v>0.675</v>
      </c>
      <c r="E10" s="22">
        <v>0.15</v>
      </c>
      <c r="F10" s="22">
        <v>1.7</v>
      </c>
      <c r="G10" s="22">
        <v>0.143</v>
      </c>
      <c r="H10" s="29">
        <v>0.14</v>
      </c>
      <c r="I10" s="131">
        <f t="shared" si="2"/>
        <v>10.8</v>
      </c>
      <c r="J10" s="132">
        <f t="shared" si="3"/>
        <v>2.4</v>
      </c>
      <c r="K10" s="132">
        <f t="shared" si="4"/>
        <v>27.2</v>
      </c>
      <c r="L10" s="132">
        <f t="shared" si="0"/>
        <v>2.288</v>
      </c>
      <c r="M10" s="133">
        <f t="shared" si="1"/>
        <v>2.24</v>
      </c>
    </row>
    <row r="11" spans="1:13" ht="12.75">
      <c r="A11" s="19" t="s">
        <v>19</v>
      </c>
      <c r="B11" s="20">
        <v>5</v>
      </c>
      <c r="C11" s="21">
        <v>8</v>
      </c>
      <c r="D11" s="22">
        <f>0.009*194*0.43</f>
        <v>0.7507799999999999</v>
      </c>
      <c r="E11" s="22">
        <f>0.003*194*0.43</f>
        <v>0.25026</v>
      </c>
      <c r="F11" s="22">
        <f>0.023*194*0.43</f>
        <v>1.9186599999999998</v>
      </c>
      <c r="G11" s="22">
        <f>0.002*194*0.43</f>
        <v>0.16684000000000002</v>
      </c>
      <c r="H11" s="29">
        <f>0.0015*194*0.43</f>
        <v>0.12513</v>
      </c>
      <c r="I11" s="131">
        <f t="shared" si="2"/>
        <v>30.031199999999995</v>
      </c>
      <c r="J11" s="132">
        <f t="shared" si="3"/>
        <v>10.010399999999999</v>
      </c>
      <c r="K11" s="132">
        <f t="shared" si="4"/>
        <v>76.7464</v>
      </c>
      <c r="L11" s="132">
        <f t="shared" si="0"/>
        <v>6.6736</v>
      </c>
      <c r="M11" s="133">
        <f t="shared" si="1"/>
        <v>5.005199999999999</v>
      </c>
    </row>
    <row r="12" spans="1:13" ht="12.75">
      <c r="A12" s="19" t="s">
        <v>20</v>
      </c>
      <c r="B12" s="20">
        <v>8</v>
      </c>
      <c r="C12" s="21">
        <v>8</v>
      </c>
      <c r="D12" s="22">
        <v>1.8</v>
      </c>
      <c r="E12" s="22">
        <v>0.19</v>
      </c>
      <c r="F12" s="22">
        <v>4.17</v>
      </c>
      <c r="G12" s="22">
        <v>0.45</v>
      </c>
      <c r="H12" s="29">
        <v>0.26</v>
      </c>
      <c r="I12" s="131">
        <f t="shared" si="2"/>
        <v>115.2</v>
      </c>
      <c r="J12" s="132">
        <f t="shared" si="3"/>
        <v>12.16</v>
      </c>
      <c r="K12" s="132">
        <f t="shared" si="4"/>
        <v>266.88</v>
      </c>
      <c r="L12" s="132">
        <f t="shared" si="0"/>
        <v>28.8</v>
      </c>
      <c r="M12" s="133">
        <f t="shared" si="1"/>
        <v>16.64</v>
      </c>
    </row>
    <row r="13" spans="1:13" ht="12.75">
      <c r="A13" s="19" t="s">
        <v>21</v>
      </c>
      <c r="B13" s="20">
        <v>3</v>
      </c>
      <c r="C13" s="21">
        <v>8</v>
      </c>
      <c r="D13" s="22">
        <v>1.8</v>
      </c>
      <c r="E13" s="22">
        <v>0.19</v>
      </c>
      <c r="F13" s="22">
        <v>4.17</v>
      </c>
      <c r="G13" s="22">
        <v>0.45</v>
      </c>
      <c r="H13" s="29">
        <v>0.26</v>
      </c>
      <c r="I13" s="131">
        <f t="shared" si="2"/>
        <v>43.2</v>
      </c>
      <c r="J13" s="132">
        <f t="shared" si="3"/>
        <v>4.5600000000000005</v>
      </c>
      <c r="K13" s="132">
        <f t="shared" si="4"/>
        <v>100.08</v>
      </c>
      <c r="L13" s="132">
        <f t="shared" si="0"/>
        <v>10.8</v>
      </c>
      <c r="M13" s="133">
        <f t="shared" si="1"/>
        <v>6.24</v>
      </c>
    </row>
    <row r="14" spans="1:13" ht="12.75">
      <c r="A14" s="19" t="s">
        <v>22</v>
      </c>
      <c r="B14" s="20">
        <v>2</v>
      </c>
      <c r="C14" s="21">
        <v>8</v>
      </c>
      <c r="D14" s="22">
        <v>0.572</v>
      </c>
      <c r="E14" s="22">
        <v>0.23</v>
      </c>
      <c r="F14" s="22">
        <v>1.9</v>
      </c>
      <c r="G14" s="22">
        <v>0.182</v>
      </c>
      <c r="H14" s="29">
        <v>0.17</v>
      </c>
      <c r="I14" s="131">
        <f t="shared" si="2"/>
        <v>9.152</v>
      </c>
      <c r="J14" s="132">
        <f t="shared" si="3"/>
        <v>3.68</v>
      </c>
      <c r="K14" s="132">
        <f t="shared" si="4"/>
        <v>30.4</v>
      </c>
      <c r="L14" s="132">
        <f t="shared" si="0"/>
        <v>2.912</v>
      </c>
      <c r="M14" s="133">
        <f t="shared" si="1"/>
        <v>2.72</v>
      </c>
    </row>
    <row r="15" spans="1:13" ht="12.75">
      <c r="A15" s="19" t="s">
        <v>23</v>
      </c>
      <c r="B15" s="20">
        <v>4</v>
      </c>
      <c r="C15" s="21">
        <v>8</v>
      </c>
      <c r="D15" s="22">
        <f>0.013*43*0.505</f>
        <v>0.28229499999999996</v>
      </c>
      <c r="E15" s="22">
        <f>0.003*43*0.505</f>
        <v>0.06514500000000001</v>
      </c>
      <c r="F15" s="22">
        <f>0.031*43*0.505</f>
        <v>0.673165</v>
      </c>
      <c r="G15" s="22">
        <f>0.002*43*0.505</f>
        <v>0.04343</v>
      </c>
      <c r="H15" s="22">
        <f>0.0015*43*0.505</f>
        <v>0.032572500000000004</v>
      </c>
      <c r="I15" s="131">
        <f t="shared" si="2"/>
        <v>9.033439999999999</v>
      </c>
      <c r="J15" s="132">
        <f t="shared" si="3"/>
        <v>2.0846400000000003</v>
      </c>
      <c r="K15" s="132">
        <f t="shared" si="4"/>
        <v>21.54128</v>
      </c>
      <c r="L15" s="132">
        <f t="shared" si="0"/>
        <v>1.38976</v>
      </c>
      <c r="M15" s="133">
        <f t="shared" si="1"/>
        <v>1.0423200000000001</v>
      </c>
    </row>
    <row r="16" spans="1:13" ht="12.75">
      <c r="A16" s="19" t="s">
        <v>24</v>
      </c>
      <c r="B16" s="20">
        <v>3</v>
      </c>
      <c r="C16" s="21">
        <v>8</v>
      </c>
      <c r="D16" s="22">
        <v>0</v>
      </c>
      <c r="E16" s="22">
        <v>0</v>
      </c>
      <c r="F16" s="22">
        <v>0</v>
      </c>
      <c r="G16" s="22">
        <v>0</v>
      </c>
      <c r="H16" s="29">
        <v>0</v>
      </c>
      <c r="I16" s="131">
        <v>0</v>
      </c>
      <c r="J16" s="132">
        <v>0</v>
      </c>
      <c r="K16" s="132">
        <v>0</v>
      </c>
      <c r="L16" s="132">
        <v>0</v>
      </c>
      <c r="M16" s="133">
        <v>0</v>
      </c>
    </row>
    <row r="17" spans="1:13" ht="12.75">
      <c r="A17" s="19" t="s">
        <v>25</v>
      </c>
      <c r="B17" s="20">
        <v>2</v>
      </c>
      <c r="C17" s="21">
        <v>8</v>
      </c>
      <c r="D17" s="22">
        <v>0.52</v>
      </c>
      <c r="E17" s="22">
        <v>0.17</v>
      </c>
      <c r="F17" s="22">
        <v>1.54</v>
      </c>
      <c r="G17" s="22">
        <v>0.143</v>
      </c>
      <c r="H17" s="29">
        <v>0.093</v>
      </c>
      <c r="I17" s="131">
        <f>B17*C17*D17</f>
        <v>8.32</v>
      </c>
      <c r="J17" s="132">
        <f>B17*C17*E17</f>
        <v>2.72</v>
      </c>
      <c r="K17" s="132">
        <f>B17*C17*F17</f>
        <v>24.64</v>
      </c>
      <c r="L17" s="132">
        <f>B17*C17*G17</f>
        <v>2.288</v>
      </c>
      <c r="M17" s="133">
        <f>B17*C17*H17</f>
        <v>1.488</v>
      </c>
    </row>
    <row r="18" spans="1:13" ht="12.75">
      <c r="A18" s="19" t="s">
        <v>26</v>
      </c>
      <c r="B18" s="20">
        <v>2</v>
      </c>
      <c r="C18" s="21">
        <v>8</v>
      </c>
      <c r="D18" s="22">
        <f>1.479*10*0.74</f>
        <v>10.944600000000001</v>
      </c>
      <c r="E18" s="22">
        <f>0.054*10*0.74</f>
        <v>0.3996</v>
      </c>
      <c r="F18" s="22">
        <f>0.002*10*0.74</f>
        <v>0.0148</v>
      </c>
      <c r="G18" s="22">
        <f>0.0006*10*0.74</f>
        <v>0.0044399999999999995</v>
      </c>
      <c r="H18" s="22">
        <f>0.00025*10*0.74</f>
        <v>0.00185</v>
      </c>
      <c r="I18" s="131">
        <f>B18*C18*D18</f>
        <v>175.11360000000002</v>
      </c>
      <c r="J18" s="132">
        <f>B18*C18*E18</f>
        <v>6.3936</v>
      </c>
      <c r="K18" s="132">
        <f>B18*C18*F18</f>
        <v>0.2368</v>
      </c>
      <c r="L18" s="132">
        <f>B18*C18*G18</f>
        <v>0.07103999999999999</v>
      </c>
      <c r="M18" s="133">
        <f>B18*C18*H18</f>
        <v>0.0296</v>
      </c>
    </row>
    <row r="19" spans="1:13" ht="12.75">
      <c r="A19" s="19" t="s">
        <v>139</v>
      </c>
      <c r="B19" s="20">
        <v>1</v>
      </c>
      <c r="C19" s="21">
        <v>8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131">
        <v>0</v>
      </c>
      <c r="J19" s="132">
        <v>0</v>
      </c>
      <c r="K19" s="132">
        <v>0</v>
      </c>
      <c r="L19" s="132">
        <v>0</v>
      </c>
      <c r="M19" s="133">
        <v>0</v>
      </c>
    </row>
    <row r="20" spans="1:13" ht="12.75">
      <c r="A20" s="19" t="s">
        <v>140</v>
      </c>
      <c r="B20" s="20">
        <v>6</v>
      </c>
      <c r="C20" s="21">
        <v>8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131">
        <f>B20*C20*D20</f>
        <v>0</v>
      </c>
      <c r="J20" s="132">
        <f>B20*C20*E20</f>
        <v>0</v>
      </c>
      <c r="K20" s="132">
        <f>B20*C20*F20</f>
        <v>0</v>
      </c>
      <c r="L20" s="132">
        <f>B20*C20*G20</f>
        <v>0</v>
      </c>
      <c r="M20" s="133">
        <f>B20*C20*H20</f>
        <v>0</v>
      </c>
    </row>
    <row r="21" spans="1:13" ht="12.75">
      <c r="A21" s="19" t="s">
        <v>27</v>
      </c>
      <c r="B21" s="20">
        <v>4</v>
      </c>
      <c r="C21" s="21">
        <v>8</v>
      </c>
      <c r="D21" s="134">
        <v>0.173</v>
      </c>
      <c r="E21" s="134">
        <v>0.032</v>
      </c>
      <c r="F21" s="134">
        <v>0.284</v>
      </c>
      <c r="G21" s="134">
        <v>0.032</v>
      </c>
      <c r="H21" s="134">
        <v>0.016</v>
      </c>
      <c r="I21" s="131">
        <f>B21*C21*D21</f>
        <v>5.536</v>
      </c>
      <c r="J21" s="132">
        <f>B21*C21*E21</f>
        <v>1.024</v>
      </c>
      <c r="K21" s="132">
        <f>B21*C21*F21</f>
        <v>9.088</v>
      </c>
      <c r="L21" s="132">
        <f>B21*C21*G21</f>
        <v>1.024</v>
      </c>
      <c r="M21" s="133">
        <f>B21*C21*H21</f>
        <v>0.512</v>
      </c>
    </row>
    <row r="22" spans="1:13" ht="12.75">
      <c r="A22" s="19" t="s">
        <v>28</v>
      </c>
      <c r="B22" s="20">
        <v>2</v>
      </c>
      <c r="C22" s="21">
        <v>8</v>
      </c>
      <c r="D22" s="22">
        <v>0.675</v>
      </c>
      <c r="E22" s="22">
        <v>0.15</v>
      </c>
      <c r="F22" s="22">
        <v>1.7</v>
      </c>
      <c r="G22" s="22">
        <v>0.143</v>
      </c>
      <c r="H22" s="29">
        <v>0.14</v>
      </c>
      <c r="I22" s="131">
        <f>B22*C22*D22</f>
        <v>10.8</v>
      </c>
      <c r="J22" s="132">
        <f>B22*C22*E22</f>
        <v>2.4</v>
      </c>
      <c r="K22" s="132">
        <f>B22*C22*F22</f>
        <v>27.2</v>
      </c>
      <c r="L22" s="132">
        <f>B22*C22*G22</f>
        <v>2.288</v>
      </c>
      <c r="M22" s="133">
        <f>B22*C22*H22</f>
        <v>2.24</v>
      </c>
    </row>
    <row r="23" spans="1:13" ht="13.5" thickBot="1">
      <c r="A23" s="30" t="s">
        <v>29</v>
      </c>
      <c r="B23" s="31">
        <v>2</v>
      </c>
      <c r="C23" s="32">
        <v>8</v>
      </c>
      <c r="D23" s="33">
        <v>0.675</v>
      </c>
      <c r="E23" s="33">
        <v>0.15</v>
      </c>
      <c r="F23" s="33">
        <v>1.7</v>
      </c>
      <c r="G23" s="22">
        <v>0.143</v>
      </c>
      <c r="H23" s="34">
        <v>0.14</v>
      </c>
      <c r="I23" s="131">
        <f>B23*C23*D23</f>
        <v>10.8</v>
      </c>
      <c r="J23" s="132">
        <f>B23*C23*E23</f>
        <v>2.4</v>
      </c>
      <c r="K23" s="132">
        <f>B23*C23*F23</f>
        <v>27.2</v>
      </c>
      <c r="L23" s="132">
        <f>B23*C23*G23</f>
        <v>2.288</v>
      </c>
      <c r="M23" s="133">
        <f>B23*C23*H23</f>
        <v>2.24</v>
      </c>
    </row>
    <row r="24" spans="1:13" ht="13.5" thickBot="1">
      <c r="A24" s="26"/>
      <c r="B24" s="35"/>
      <c r="C24" s="36"/>
      <c r="D24" s="35"/>
      <c r="E24" s="35"/>
      <c r="F24" s="35"/>
      <c r="G24" s="35"/>
      <c r="H24" s="35"/>
      <c r="I24" s="135"/>
      <c r="J24" s="35"/>
      <c r="K24" s="35"/>
      <c r="L24" s="35"/>
      <c r="M24" s="136"/>
    </row>
    <row r="25" spans="1:13" ht="13.5" thickBot="1">
      <c r="A25" s="40" t="s">
        <v>30</v>
      </c>
      <c r="B25" s="41"/>
      <c r="C25" s="42"/>
      <c r="D25" s="42"/>
      <c r="E25" s="41"/>
      <c r="F25" s="41"/>
      <c r="G25" s="41"/>
      <c r="H25" s="41"/>
      <c r="I25" s="137">
        <f>SUM(I6:I23)</f>
        <v>481.81148</v>
      </c>
      <c r="J25" s="137">
        <f>SUM(J6:J23)</f>
        <v>56.18284</v>
      </c>
      <c r="K25" s="137">
        <f>SUM(K6:K23)</f>
        <v>648.2424800000001</v>
      </c>
      <c r="L25" s="137">
        <f>SUM(L6:L23)</f>
        <v>72.90695999999998</v>
      </c>
      <c r="M25" s="137">
        <f>SUM(M6:M23)</f>
        <v>46.12020000000001</v>
      </c>
    </row>
    <row r="26" spans="1:13" ht="14.25" thickBot="1" thickTop="1">
      <c r="A26" s="45" t="s">
        <v>5</v>
      </c>
      <c r="B26" s="46"/>
      <c r="C26" s="47"/>
      <c r="D26" s="47"/>
      <c r="E26" s="48"/>
      <c r="F26" s="48"/>
      <c r="G26" s="48"/>
      <c r="H26" s="48"/>
      <c r="I26" s="48" t="s">
        <v>5</v>
      </c>
      <c r="J26" s="48" t="s">
        <v>5</v>
      </c>
      <c r="K26" s="48" t="s">
        <v>5</v>
      </c>
      <c r="L26" s="48" t="s">
        <v>5</v>
      </c>
      <c r="M26" s="49" t="s">
        <v>5</v>
      </c>
    </row>
    <row r="27" ht="13.5" thickTop="1"/>
    <row r="28" ht="12.75">
      <c r="A28" s="50" t="s">
        <v>141</v>
      </c>
    </row>
    <row r="29" spans="1:4" ht="12.75">
      <c r="A29" s="50" t="s">
        <v>142</v>
      </c>
      <c r="D29" s="50" t="s">
        <v>143</v>
      </c>
    </row>
    <row r="30" ht="12.75">
      <c r="A30" s="50" t="s">
        <v>144</v>
      </c>
    </row>
    <row r="31" spans="1:5" ht="12.75">
      <c r="A31" s="50" t="s">
        <v>145</v>
      </c>
      <c r="B31" s="50"/>
      <c r="C31" s="50"/>
      <c r="D31" s="50"/>
      <c r="E31" s="51"/>
    </row>
    <row r="34" ht="12.75">
      <c r="A34" s="50" t="s">
        <v>146</v>
      </c>
    </row>
  </sheetData>
  <sheetProtection/>
  <printOptions/>
  <pageMargins left="1" right="0.75" top="1" bottom="1" header="0.5" footer="0.5"/>
  <pageSetup horizontalDpi="300" verticalDpi="300" orientation="landscape" scale="75" r:id="rId1"/>
  <headerFooter alignWithMargins="0">
    <oddHeader>&amp;C&amp;"Arial,Bold"&amp;12Mitigated Construction Equipment Emissions for the Tosco CARB Phase 3 Project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4:A14"/>
  <sheetViews>
    <sheetView zoomScalePageLayoutView="0" workbookViewId="0" topLeftCell="A1">
      <selection activeCell="A25" sqref="A25"/>
    </sheetView>
  </sheetViews>
  <sheetFormatPr defaultColWidth="9.140625" defaultRowHeight="12.75"/>
  <sheetData>
    <row r="14" ht="15">
      <c r="A14" s="139" t="s">
        <v>148</v>
      </c>
    </row>
  </sheetData>
  <sheetProtection/>
  <printOptions/>
  <pageMargins left="0.75" right="0.75" top="1" bottom="1" header="0.5" footer="0.5"/>
  <pageSetup horizontalDpi="400" verticalDpi="4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pane xSplit="4" ySplit="1" topLeftCell="E2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25" sqref="A25"/>
    </sheetView>
  </sheetViews>
  <sheetFormatPr defaultColWidth="9.140625" defaultRowHeight="12.75"/>
  <cols>
    <col min="1" max="1" width="17.28125" style="0" customWidth="1"/>
    <col min="3" max="3" width="22.7109375" style="0" customWidth="1"/>
    <col min="4" max="4" width="12.7109375" style="0" customWidth="1"/>
    <col min="5" max="5" width="13.421875" style="0" customWidth="1"/>
  </cols>
  <sheetData>
    <row r="1" spans="1:11" ht="14.25" thickBot="1" thickTop="1">
      <c r="A1" s="140" t="s">
        <v>1</v>
      </c>
      <c r="B1" s="141" t="s">
        <v>149</v>
      </c>
      <c r="C1" s="141" t="s">
        <v>150</v>
      </c>
      <c r="D1" s="141" t="s">
        <v>151</v>
      </c>
      <c r="E1" s="141" t="s">
        <v>152</v>
      </c>
      <c r="F1" s="141" t="s">
        <v>153</v>
      </c>
      <c r="G1" s="142" t="s">
        <v>154</v>
      </c>
      <c r="H1" s="88"/>
      <c r="I1" s="88"/>
      <c r="J1" s="88"/>
      <c r="K1" s="88"/>
    </row>
    <row r="2" spans="1:7" ht="14.25" thickBot="1" thickTop="1">
      <c r="A2" s="143"/>
      <c r="B2" s="141"/>
      <c r="C2" s="141"/>
      <c r="D2" s="141"/>
      <c r="E2" s="141"/>
      <c r="F2" s="141"/>
      <c r="G2" s="142"/>
    </row>
    <row r="3" spans="1:7" ht="14.25" thickBot="1" thickTop="1">
      <c r="A3" s="144" t="s">
        <v>155</v>
      </c>
      <c r="B3" s="145"/>
      <c r="C3" s="145"/>
      <c r="D3" s="145"/>
      <c r="E3" s="145"/>
      <c r="F3" s="145"/>
      <c r="G3" s="146"/>
    </row>
    <row r="4" spans="1:7" ht="13.5" thickTop="1">
      <c r="A4" s="147"/>
      <c r="B4" s="148"/>
      <c r="C4" s="148"/>
      <c r="D4" s="148"/>
      <c r="E4" s="148"/>
      <c r="F4" s="148"/>
      <c r="G4" s="149"/>
    </row>
    <row r="5" spans="1:7" ht="12.75">
      <c r="A5" s="150" t="s">
        <v>156</v>
      </c>
      <c r="B5" s="151">
        <f>'Alky U-110'!B5+'Acid Plant U-141'!B5+'CLEF U-152'!B5+'Butane Unloading'!B5+'Storage Tank Piping'!B5</f>
        <v>19</v>
      </c>
      <c r="C5" s="152" t="s">
        <v>157</v>
      </c>
      <c r="D5" s="152" t="s">
        <v>158</v>
      </c>
      <c r="E5" s="151">
        <v>104</v>
      </c>
      <c r="F5" s="153">
        <f>E5*B5</f>
        <v>1976</v>
      </c>
      <c r="G5" s="154">
        <f>F5/365</f>
        <v>5.413698630136986</v>
      </c>
    </row>
    <row r="6" spans="1:7" ht="12.75">
      <c r="A6" s="155"/>
      <c r="B6" s="151"/>
      <c r="C6" s="152"/>
      <c r="D6" s="152"/>
      <c r="E6" s="151"/>
      <c r="F6" s="153"/>
      <c r="G6" s="154"/>
    </row>
    <row r="7" spans="1:7" ht="12.75">
      <c r="A7" s="150" t="s">
        <v>159</v>
      </c>
      <c r="B7" s="151">
        <f>'Alky U-110'!B7+'Acid Plant U-141'!B7+'CLEF U-152'!B7+'Butane Unloading'!B7+'Storage Tank Piping'!B7</f>
        <v>1</v>
      </c>
      <c r="C7" s="152" t="s">
        <v>160</v>
      </c>
      <c r="D7" s="20" t="s">
        <v>161</v>
      </c>
      <c r="E7" s="151">
        <v>514</v>
      </c>
      <c r="F7" s="153">
        <f>E7*B7</f>
        <v>514</v>
      </c>
      <c r="G7" s="154">
        <f>F7/365</f>
        <v>1.4082191780821918</v>
      </c>
    </row>
    <row r="8" spans="1:7" ht="12.75">
      <c r="A8" s="156"/>
      <c r="B8" s="157"/>
      <c r="C8" s="158"/>
      <c r="D8" s="158"/>
      <c r="E8" s="157"/>
      <c r="F8" s="159"/>
      <c r="G8" s="160"/>
    </row>
    <row r="9" spans="1:10" ht="12.75">
      <c r="A9" s="161" t="s">
        <v>162</v>
      </c>
      <c r="B9" s="151">
        <f>'Alky U-110'!B9+'Acid Plant U-141'!B9+'CLEF U-152'!B9+'Butane Unloading'!B9+'Storage Tank Piping'!B9</f>
        <v>55</v>
      </c>
      <c r="C9" s="20" t="s">
        <v>163</v>
      </c>
      <c r="D9" s="20" t="s">
        <v>161</v>
      </c>
      <c r="E9" s="162">
        <v>0</v>
      </c>
      <c r="F9" s="163">
        <f aca="true" t="shared" si="0" ref="F9:F14">+B9*E9</f>
        <v>0</v>
      </c>
      <c r="G9" s="164">
        <f aca="true" t="shared" si="1" ref="G9:G14">+F9/365</f>
        <v>0</v>
      </c>
      <c r="J9" s="165"/>
    </row>
    <row r="10" spans="1:7" ht="27" customHeight="1">
      <c r="A10" s="166"/>
      <c r="B10" s="151">
        <f>'Alky U-110'!B10+'Acid Plant U-141'!B10+'CLEF U-152'!B10+'Butane Unloading'!B10+'Storage Tank Piping'!B10</f>
        <v>136</v>
      </c>
      <c r="C10" s="167" t="s">
        <v>164</v>
      </c>
      <c r="D10" s="168" t="s">
        <v>161</v>
      </c>
      <c r="E10" s="169">
        <v>23</v>
      </c>
      <c r="F10" s="170">
        <f t="shared" si="0"/>
        <v>3128</v>
      </c>
      <c r="G10" s="171">
        <f t="shared" si="1"/>
        <v>8.56986301369863</v>
      </c>
    </row>
    <row r="11" spans="1:7" ht="12.75">
      <c r="A11" s="155"/>
      <c r="B11" s="151">
        <f>'Alky U-110'!B11+'Acid Plant U-141'!B11+'CLEF U-152'!B11+'Butane Unloading'!B11+'Storage Tank Piping'!B11</f>
        <v>290</v>
      </c>
      <c r="C11" s="20" t="s">
        <v>163</v>
      </c>
      <c r="D11" s="172" t="s">
        <v>158</v>
      </c>
      <c r="E11" s="162">
        <v>0</v>
      </c>
      <c r="F11" s="163">
        <f t="shared" si="0"/>
        <v>0</v>
      </c>
      <c r="G11" s="164">
        <f t="shared" si="1"/>
        <v>0</v>
      </c>
    </row>
    <row r="12" spans="1:7" ht="28.5" customHeight="1">
      <c r="A12" s="173" t="s">
        <v>5</v>
      </c>
      <c r="B12" s="151">
        <f>'Alky U-110'!B12+'Acid Plant U-141'!B12+'CLEF U-152'!B12+'Butane Unloading'!B12+'Storage Tank Piping'!B12</f>
        <v>691</v>
      </c>
      <c r="C12" s="167" t="s">
        <v>164</v>
      </c>
      <c r="D12" s="152" t="s">
        <v>158</v>
      </c>
      <c r="E12" s="162">
        <v>19</v>
      </c>
      <c r="F12" s="163">
        <f t="shared" si="0"/>
        <v>13129</v>
      </c>
      <c r="G12" s="164">
        <f t="shared" si="1"/>
        <v>35.96986301369863</v>
      </c>
    </row>
    <row r="13" spans="1:7" ht="12.75">
      <c r="A13" s="173"/>
      <c r="B13" s="151">
        <f>'Alky U-110'!B13+'Acid Plant U-141'!B13+'CLEF U-152'!B13+'Butane Unloading'!B13+'Storage Tank Piping'!B13</f>
        <v>0</v>
      </c>
      <c r="C13" s="20" t="s">
        <v>163</v>
      </c>
      <c r="D13" s="20" t="s">
        <v>165</v>
      </c>
      <c r="E13" s="162">
        <v>0</v>
      </c>
      <c r="F13" s="163">
        <f t="shared" si="0"/>
        <v>0</v>
      </c>
      <c r="G13" s="164">
        <f t="shared" si="1"/>
        <v>0</v>
      </c>
    </row>
    <row r="14" spans="1:7" ht="28.5" customHeight="1">
      <c r="A14" s="173"/>
      <c r="B14" s="151">
        <f>'Alky U-110'!B14+'Acid Plant U-141'!B14+'CLEF U-152'!B14+'Butane Unloading'!B14+'Storage Tank Piping'!B14</f>
        <v>3</v>
      </c>
      <c r="C14" s="167" t="s">
        <v>164</v>
      </c>
      <c r="D14" s="168" t="s">
        <v>165</v>
      </c>
      <c r="E14" s="169">
        <v>3</v>
      </c>
      <c r="F14" s="170">
        <f t="shared" si="0"/>
        <v>9</v>
      </c>
      <c r="G14" s="171">
        <f t="shared" si="1"/>
        <v>0.024657534246575342</v>
      </c>
    </row>
    <row r="15" spans="1:7" ht="12.75">
      <c r="A15" s="174"/>
      <c r="B15" s="162"/>
      <c r="C15" s="20"/>
      <c r="D15" s="20"/>
      <c r="E15" s="162"/>
      <c r="F15" s="163"/>
      <c r="G15" s="164"/>
    </row>
    <row r="16" spans="1:7" ht="12.75">
      <c r="A16" s="150" t="s">
        <v>187</v>
      </c>
      <c r="B16" s="151">
        <f>'Alky U-110'!B16+'Acid Plant U-141'!B16+'CLEF U-152'!B16+'Butane Unloading'!B16+'Storage Tank Piping'!B16</f>
        <v>19</v>
      </c>
      <c r="C16" s="152" t="s">
        <v>160</v>
      </c>
      <c r="D16" s="27" t="s">
        <v>166</v>
      </c>
      <c r="E16" s="21">
        <v>0</v>
      </c>
      <c r="F16" s="163">
        <f>+B16*E16</f>
        <v>0</v>
      </c>
      <c r="G16" s="164">
        <f>+F16/365</f>
        <v>0</v>
      </c>
    </row>
    <row r="17" spans="1:7" ht="12.75">
      <c r="A17" s="155"/>
      <c r="B17" s="21"/>
      <c r="C17" s="27"/>
      <c r="D17" s="27"/>
      <c r="E17" s="21"/>
      <c r="F17" s="163"/>
      <c r="G17" s="175"/>
    </row>
    <row r="18" spans="1:7" ht="12.75">
      <c r="A18" s="176" t="s">
        <v>167</v>
      </c>
      <c r="B18" s="151">
        <f>'Alky U-110'!B18+'Acid Plant U-141'!B18+'CLEF U-152'!B18+'Butane Unloading'!B18+'Storage Tank Piping'!B18</f>
        <v>2105</v>
      </c>
      <c r="C18" s="27"/>
      <c r="D18" s="27"/>
      <c r="E18" s="21">
        <v>1.5</v>
      </c>
      <c r="F18" s="163">
        <f>+B18*E18</f>
        <v>3157.5</v>
      </c>
      <c r="G18" s="164">
        <f>+F18/365</f>
        <v>8.650684931506849</v>
      </c>
    </row>
    <row r="19" spans="1:7" ht="12.75">
      <c r="A19" s="177"/>
      <c r="B19" s="36"/>
      <c r="C19" s="35"/>
      <c r="D19" s="35"/>
      <c r="E19" s="36"/>
      <c r="F19" s="178"/>
      <c r="G19" s="179"/>
    </row>
    <row r="20" spans="1:7" ht="12.75">
      <c r="A20" s="150" t="s">
        <v>168</v>
      </c>
      <c r="B20" s="180">
        <f>'Alky U-110'!B20+'Acid Plant U-141'!B20+'CLEF U-152'!B20+'Butane Unloading'!B20+'Storage Tank Piping'!B20</f>
        <v>10</v>
      </c>
      <c r="C20" s="172" t="s">
        <v>169</v>
      </c>
      <c r="D20" s="20" t="s">
        <v>166</v>
      </c>
      <c r="E20" s="162">
        <v>80</v>
      </c>
      <c r="F20" s="163">
        <f>+B20*E20</f>
        <v>800</v>
      </c>
      <c r="G20" s="164">
        <f>+F20/365</f>
        <v>2.191780821917808</v>
      </c>
    </row>
    <row r="21" spans="1:7" ht="12.75">
      <c r="A21" s="155"/>
      <c r="B21" s="181"/>
      <c r="C21" s="182"/>
      <c r="D21" s="35"/>
      <c r="E21" s="36"/>
      <c r="F21" s="178"/>
      <c r="G21" s="175"/>
    </row>
    <row r="22" spans="1:7" ht="12.75">
      <c r="A22" s="150" t="s">
        <v>170</v>
      </c>
      <c r="B22" s="162"/>
      <c r="C22" s="172" t="s">
        <v>171</v>
      </c>
      <c r="D22" s="20" t="s">
        <v>172</v>
      </c>
      <c r="E22" s="162" t="s">
        <v>173</v>
      </c>
      <c r="F22" s="163">
        <f>'Butane Unloading'!F22</f>
        <v>3756</v>
      </c>
      <c r="G22" s="164">
        <f>+F22/365</f>
        <v>10.29041095890411</v>
      </c>
    </row>
    <row r="23" spans="1:7" ht="13.5" thickBot="1">
      <c r="A23" s="155"/>
      <c r="B23" s="36"/>
      <c r="C23" s="35"/>
      <c r="D23" s="35"/>
      <c r="E23" s="36"/>
      <c r="F23" s="178"/>
      <c r="G23" s="175"/>
    </row>
    <row r="24" spans="1:8" ht="14.25" thickBot="1" thickTop="1">
      <c r="A24" s="144" t="s">
        <v>174</v>
      </c>
      <c r="B24" s="183"/>
      <c r="C24" s="184"/>
      <c r="D24" s="184"/>
      <c r="E24" s="183"/>
      <c r="F24" s="185">
        <f>SUM(F5:F22)</f>
        <v>26469.5</v>
      </c>
      <c r="G24" s="186">
        <f>+F24/365</f>
        <v>72.51917808219179</v>
      </c>
      <c r="H24" s="187"/>
    </row>
    <row r="25" spans="1:7" ht="14.25" thickBot="1" thickTop="1">
      <c r="A25" s="188"/>
      <c r="B25" s="184"/>
      <c r="C25" s="184"/>
      <c r="D25" s="184"/>
      <c r="E25" s="184"/>
      <c r="F25" s="189"/>
      <c r="G25" s="190" t="s">
        <v>5</v>
      </c>
    </row>
    <row r="26" spans="1:7" ht="14.25" thickBot="1" thickTop="1">
      <c r="A26" s="191" t="s">
        <v>175</v>
      </c>
      <c r="B26" s="52"/>
      <c r="C26" s="52"/>
      <c r="D26" s="52"/>
      <c r="E26" s="52"/>
      <c r="F26" s="192"/>
      <c r="G26" s="193"/>
    </row>
    <row r="27" spans="1:7" ht="13.5" thickTop="1">
      <c r="A27" s="194"/>
      <c r="B27" s="195"/>
      <c r="C27" s="195"/>
      <c r="D27" s="195"/>
      <c r="E27" s="195"/>
      <c r="F27" s="196"/>
      <c r="G27" s="197"/>
    </row>
    <row r="28" spans="1:7" ht="12.75">
      <c r="A28" s="161" t="s">
        <v>156</v>
      </c>
      <c r="B28" s="180">
        <f>'Alky U-110'!B26+'Acid Plant U-141'!B26+'CLEF U-152'!B26+'Butane Unloading'!B28+'Storage Tank Piping'!B26</f>
        <v>9</v>
      </c>
      <c r="C28" s="172" t="s">
        <v>157</v>
      </c>
      <c r="D28" s="172" t="s">
        <v>158</v>
      </c>
      <c r="E28" s="180">
        <v>104</v>
      </c>
      <c r="F28" s="198">
        <f>E28*B28</f>
        <v>936</v>
      </c>
      <c r="G28" s="199">
        <f>F28/365</f>
        <v>2.5643835616438357</v>
      </c>
    </row>
    <row r="29" spans="1:7" ht="12.75">
      <c r="A29" s="161"/>
      <c r="B29" s="151">
        <f>'Alky U-110'!B27+'Acid Plant U-141'!B27+'CLEF U-152'!B27+'Butane Unloading'!B29+'Storage Tank Piping'!B27</f>
        <v>8</v>
      </c>
      <c r="C29" s="152" t="s">
        <v>176</v>
      </c>
      <c r="D29" s="152" t="s">
        <v>158</v>
      </c>
      <c r="E29" s="151">
        <v>520</v>
      </c>
      <c r="F29" s="198">
        <f>E29*B29</f>
        <v>4160</v>
      </c>
      <c r="G29" s="199">
        <f>F29/365</f>
        <v>11.397260273972602</v>
      </c>
    </row>
    <row r="30" spans="1:7" ht="12.75">
      <c r="A30" s="200"/>
      <c r="B30" s="151"/>
      <c r="C30" s="152"/>
      <c r="D30" s="152"/>
      <c r="E30" s="151"/>
      <c r="F30" s="153"/>
      <c r="G30" s="154"/>
    </row>
    <row r="31" spans="1:7" ht="12.75">
      <c r="A31" s="150" t="s">
        <v>159</v>
      </c>
      <c r="B31" s="151">
        <f>'Alky U-110'!B29+'Acid Plant U-141'!B29+'CLEF U-152'!B29+'Butane Unloading'!B31+'Storage Tank Piping'!B29</f>
        <v>0</v>
      </c>
      <c r="C31" s="152" t="s">
        <v>160</v>
      </c>
      <c r="D31" s="20" t="s">
        <v>161</v>
      </c>
      <c r="E31" s="151">
        <v>514</v>
      </c>
      <c r="F31" s="153">
        <f>E31*B31</f>
        <v>0</v>
      </c>
      <c r="G31" s="154">
        <f>F31/365</f>
        <v>0</v>
      </c>
    </row>
    <row r="32" spans="1:7" ht="12.75">
      <c r="A32" s="156"/>
      <c r="B32" s="157"/>
      <c r="C32" s="158"/>
      <c r="D32" s="158"/>
      <c r="E32" s="157"/>
      <c r="F32" s="159"/>
      <c r="G32" s="160"/>
    </row>
    <row r="33" spans="1:7" ht="12.75">
      <c r="A33" s="161" t="s">
        <v>162</v>
      </c>
      <c r="B33" s="151">
        <f>'Alky U-110'!B31+'Acid Plant U-141'!B31+'CLEF U-152'!B31+'Butane Unloading'!B33+'Storage Tank Piping'!B31</f>
        <v>0</v>
      </c>
      <c r="C33" s="20" t="s">
        <v>163</v>
      </c>
      <c r="D33" s="20" t="s">
        <v>161</v>
      </c>
      <c r="E33" s="162">
        <v>0</v>
      </c>
      <c r="F33" s="163">
        <f>+B33*E33</f>
        <v>0</v>
      </c>
      <c r="G33" s="164">
        <f>+F33/365</f>
        <v>0</v>
      </c>
    </row>
    <row r="34" spans="1:7" ht="28.5" customHeight="1">
      <c r="A34" s="155"/>
      <c r="B34" s="151">
        <f>'Alky U-110'!B32+'Acid Plant U-141'!B32+'CLEF U-152'!B32+'Butane Unloading'!B34+'Storage Tank Piping'!B32</f>
        <v>0</v>
      </c>
      <c r="C34" s="167" t="s">
        <v>164</v>
      </c>
      <c r="D34" s="168" t="s">
        <v>161</v>
      </c>
      <c r="E34" s="169">
        <v>23</v>
      </c>
      <c r="F34" s="170">
        <f>+B34*E34</f>
        <v>0</v>
      </c>
      <c r="G34" s="171">
        <f>+F34/365</f>
        <v>0</v>
      </c>
    </row>
    <row r="35" spans="1:7" ht="12.75" customHeight="1">
      <c r="A35" s="155"/>
      <c r="B35" s="151">
        <f>'Alky U-110'!B33+'Acid Plant U-141'!B33+'CLEF U-152'!B33+'Butane Unloading'!B35+'Storage Tank Piping'!B33</f>
        <v>50</v>
      </c>
      <c r="C35" s="167" t="s">
        <v>177</v>
      </c>
      <c r="D35" s="168" t="s">
        <v>161</v>
      </c>
      <c r="E35" s="169">
        <v>72</v>
      </c>
      <c r="F35" s="198">
        <f>E35*B35</f>
        <v>3600</v>
      </c>
      <c r="G35" s="199">
        <f>F35/365</f>
        <v>9.863013698630137</v>
      </c>
    </row>
    <row r="36" spans="1:7" ht="12.75">
      <c r="A36" s="155"/>
      <c r="B36" s="151">
        <f>'Alky U-110'!B34+'Acid Plant U-141'!B34+'CLEF U-152'!B34+'Butane Unloading'!B36+'Storage Tank Piping'!B34</f>
        <v>8</v>
      </c>
      <c r="C36" s="20" t="s">
        <v>163</v>
      </c>
      <c r="D36" s="172" t="s">
        <v>158</v>
      </c>
      <c r="E36" s="162">
        <v>0</v>
      </c>
      <c r="F36" s="163">
        <f>+B36*E36</f>
        <v>0</v>
      </c>
      <c r="G36" s="164">
        <f>+F36/365</f>
        <v>0</v>
      </c>
    </row>
    <row r="37" spans="1:7" ht="28.5" customHeight="1">
      <c r="A37" s="155"/>
      <c r="B37" s="151">
        <f>'Alky U-110'!B35+'Acid Plant U-141'!B35+'CLEF U-152'!B35+'Butane Unloading'!B37+'Storage Tank Piping'!B35</f>
        <v>0</v>
      </c>
      <c r="C37" s="167" t="s">
        <v>164</v>
      </c>
      <c r="D37" s="152" t="s">
        <v>158</v>
      </c>
      <c r="E37" s="169">
        <v>19</v>
      </c>
      <c r="F37" s="170">
        <f>+B37*E37</f>
        <v>0</v>
      </c>
      <c r="G37" s="171">
        <f>+F37/365</f>
        <v>0</v>
      </c>
    </row>
    <row r="38" spans="1:7" ht="12.75" customHeight="1">
      <c r="A38" s="155"/>
      <c r="B38" s="151">
        <f>'Alky U-110'!B36+'Acid Plant U-141'!B36+'CLEF U-152'!B36+'Butane Unloading'!B38+'Storage Tank Piping'!B36</f>
        <v>534</v>
      </c>
      <c r="C38" s="167" t="s">
        <v>177</v>
      </c>
      <c r="D38" s="152" t="s">
        <v>158</v>
      </c>
      <c r="E38" s="169">
        <v>57</v>
      </c>
      <c r="F38" s="198">
        <f>E38*B38</f>
        <v>30438</v>
      </c>
      <c r="G38" s="199">
        <f>F38/365</f>
        <v>83.3917808219178</v>
      </c>
    </row>
    <row r="39" spans="1:7" ht="12.75">
      <c r="A39" s="173"/>
      <c r="B39" s="151">
        <f>'Alky U-110'!B37+'Acid Plant U-141'!B37+'CLEF U-152'!B37+'Butane Unloading'!B39+'Storage Tank Piping'!B37</f>
        <v>0</v>
      </c>
      <c r="C39" s="20" t="s">
        <v>163</v>
      </c>
      <c r="D39" s="20" t="s">
        <v>165</v>
      </c>
      <c r="E39" s="162">
        <v>0</v>
      </c>
      <c r="F39" s="163">
        <f>+B39*E39</f>
        <v>0</v>
      </c>
      <c r="G39" s="164">
        <f>+F39/365</f>
        <v>0</v>
      </c>
    </row>
    <row r="40" spans="1:7" ht="28.5" customHeight="1">
      <c r="A40" s="173"/>
      <c r="B40" s="151">
        <f>'Alky U-110'!B38+'Acid Plant U-141'!B38+'CLEF U-152'!B38+'Butane Unloading'!B40+'Storage Tank Piping'!B38</f>
        <v>0</v>
      </c>
      <c r="C40" s="201" t="s">
        <v>164</v>
      </c>
      <c r="D40" s="20" t="s">
        <v>165</v>
      </c>
      <c r="E40" s="162">
        <v>3</v>
      </c>
      <c r="F40" s="163">
        <f>+B40*E40</f>
        <v>0</v>
      </c>
      <c r="G40" s="164">
        <f>+F40/365</f>
        <v>0</v>
      </c>
    </row>
    <row r="41" spans="1:7" ht="12.75" customHeight="1">
      <c r="A41" s="173"/>
      <c r="B41" s="151">
        <f>'Alky U-110'!B39+'Acid Plant U-141'!B39+'CLEF U-152'!B39+'Butane Unloading'!B41+'Storage Tank Piping'!B39</f>
        <v>0</v>
      </c>
      <c r="C41" s="201" t="s">
        <v>177</v>
      </c>
      <c r="D41" s="20" t="s">
        <v>165</v>
      </c>
      <c r="E41" s="21">
        <v>4.4</v>
      </c>
      <c r="F41" s="198">
        <f>E41*B41</f>
        <v>0</v>
      </c>
      <c r="G41" s="199">
        <f>F41/365</f>
        <v>0</v>
      </c>
    </row>
    <row r="42" spans="1:7" ht="12.75">
      <c r="A42" s="173"/>
      <c r="B42" s="21"/>
      <c r="C42" s="27"/>
      <c r="D42" s="27"/>
      <c r="E42" s="21"/>
      <c r="F42" s="202"/>
      <c r="G42" s="175"/>
    </row>
    <row r="43" spans="1:7" ht="12.75">
      <c r="A43" s="150" t="s">
        <v>178</v>
      </c>
      <c r="B43" s="151">
        <f>'Alky U-110'!B41+'Acid Plant U-141'!B41+'CLEF U-152'!B41+'Butane Unloading'!B43+'Storage Tank Piping'!B41</f>
        <v>13</v>
      </c>
      <c r="C43" s="152" t="s">
        <v>160</v>
      </c>
      <c r="D43" s="27" t="s">
        <v>166</v>
      </c>
      <c r="E43" s="21">
        <v>0</v>
      </c>
      <c r="F43" s="163">
        <f>+B43*E43</f>
        <v>0</v>
      </c>
      <c r="G43" s="164">
        <f>+F43/365</f>
        <v>0</v>
      </c>
    </row>
    <row r="44" spans="1:7" ht="12.75">
      <c r="A44" s="155"/>
      <c r="B44" s="21"/>
      <c r="C44" s="27"/>
      <c r="D44" s="27"/>
      <c r="E44" s="21"/>
      <c r="F44" s="163"/>
      <c r="G44" s="175"/>
    </row>
    <row r="45" spans="1:7" ht="12.75">
      <c r="A45" s="176" t="s">
        <v>167</v>
      </c>
      <c r="B45" s="151">
        <f>'Alky U-110'!B43+'Acid Plant U-141'!B43+'CLEF U-152'!B43+'Butane Unloading'!B45+'Storage Tank Piping'!B43</f>
        <v>754</v>
      </c>
      <c r="C45" s="27"/>
      <c r="D45" s="27"/>
      <c r="E45" s="21">
        <v>1.5</v>
      </c>
      <c r="F45" s="163">
        <f>+B45*E45</f>
        <v>1131</v>
      </c>
      <c r="G45" s="164">
        <f>+F45/365</f>
        <v>3.0986301369863014</v>
      </c>
    </row>
    <row r="46" spans="1:7" ht="12.75">
      <c r="A46" s="177"/>
      <c r="B46" s="36"/>
      <c r="C46" s="35"/>
      <c r="D46" s="35"/>
      <c r="E46" s="36"/>
      <c r="F46" s="178"/>
      <c r="G46" s="175"/>
    </row>
    <row r="47" spans="1:7" ht="12.75">
      <c r="A47" s="150" t="s">
        <v>168</v>
      </c>
      <c r="B47" s="180">
        <f>'Alky U-110'!B45+'Acid Plant U-141'!B45+'CLEF U-152'!B45+'Butane Unloading'!B47+'Storage Tank Piping'!B45</f>
        <v>0</v>
      </c>
      <c r="C47" s="172" t="s">
        <v>169</v>
      </c>
      <c r="D47" s="20" t="s">
        <v>166</v>
      </c>
      <c r="E47" s="162">
        <v>80</v>
      </c>
      <c r="F47" s="163">
        <f>+B47*E47</f>
        <v>0</v>
      </c>
      <c r="G47" s="164">
        <f>+F47/365</f>
        <v>0</v>
      </c>
    </row>
    <row r="48" spans="1:7" ht="13.5" thickBot="1">
      <c r="A48" s="155"/>
      <c r="B48" s="36"/>
      <c r="C48" s="35"/>
      <c r="D48" s="35"/>
      <c r="E48" s="36"/>
      <c r="F48" s="178"/>
      <c r="G48" s="175"/>
    </row>
    <row r="49" spans="1:7" ht="14.25" thickBot="1" thickTop="1">
      <c r="A49" s="144" t="s">
        <v>179</v>
      </c>
      <c r="B49" s="183"/>
      <c r="C49" s="184"/>
      <c r="D49" s="184"/>
      <c r="E49" s="183"/>
      <c r="F49" s="185">
        <f>SUM(F28:F47)</f>
        <v>40265</v>
      </c>
      <c r="G49" s="186">
        <f>+F49/365</f>
        <v>110.31506849315069</v>
      </c>
    </row>
    <row r="50" spans="1:7" ht="14.25" thickBot="1" thickTop="1">
      <c r="A50" s="203"/>
      <c r="B50" s="96"/>
      <c r="C50" s="52"/>
      <c r="D50" s="52"/>
      <c r="E50" s="96"/>
      <c r="F50" s="52"/>
      <c r="G50" s="204"/>
    </row>
    <row r="51" spans="1:7" ht="14.25" thickBot="1" thickTop="1">
      <c r="A51" s="144" t="s">
        <v>180</v>
      </c>
      <c r="B51" s="205"/>
      <c r="C51" s="145"/>
      <c r="D51" s="145"/>
      <c r="E51" s="205"/>
      <c r="F51" s="145"/>
      <c r="G51" s="206">
        <f>G24-G49</f>
        <v>-37.795890410958904</v>
      </c>
    </row>
    <row r="52" spans="1:7" ht="13.5" thickTop="1">
      <c r="A52" s="188"/>
      <c r="B52" s="96"/>
      <c r="C52" s="52"/>
      <c r="D52" s="52"/>
      <c r="E52" s="96"/>
      <c r="F52" s="52"/>
      <c r="G52" s="207"/>
    </row>
    <row r="53" spans="2:7" ht="12.75">
      <c r="B53" s="52"/>
      <c r="C53" s="52"/>
      <c r="D53" s="52"/>
      <c r="E53" s="52"/>
      <c r="F53" s="52"/>
      <c r="G53" s="207"/>
    </row>
  </sheetData>
  <sheetProtection/>
  <printOptions horizontalCentered="1"/>
  <pageMargins left="0.75" right="0.75" top="1.5" bottom="1" header="0.5" footer="0.5"/>
  <pageSetup fitToHeight="1" fitToWidth="1" horizontalDpi="300" verticalDpi="300" orientation="portrait" scale="79" r:id="rId1"/>
  <headerFooter alignWithMargins="0">
    <oddHeader>&amp;L
&amp;C&amp;"Arial,Bold"&amp;12Tosco Refining Company&amp;"Arial,Regular"
&amp;"Arial,Bold"CARB Phase 3 Total Project
Fugitive ROG Emission Estimate Spreadsheet
CONFIDENTIAL&amp;R
</oddHeader>
    <oddFooter>&amp;L&amp;F&amp;R9/27/00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pane xSplit="4" ySplit="1" topLeftCell="E37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25" sqref="A25"/>
    </sheetView>
  </sheetViews>
  <sheetFormatPr defaultColWidth="9.140625" defaultRowHeight="12.75"/>
  <cols>
    <col min="1" max="1" width="17.28125" style="0" customWidth="1"/>
    <col min="3" max="3" width="22.7109375" style="0" customWidth="1"/>
    <col min="4" max="4" width="12.7109375" style="0" customWidth="1"/>
    <col min="5" max="5" width="13.421875" style="0" customWidth="1"/>
    <col min="8" max="11" width="0" style="0" hidden="1" customWidth="1"/>
  </cols>
  <sheetData>
    <row r="1" spans="1:11" ht="14.25" thickBot="1" thickTop="1">
      <c r="A1" s="140" t="s">
        <v>1</v>
      </c>
      <c r="B1" s="141" t="s">
        <v>149</v>
      </c>
      <c r="C1" s="141" t="s">
        <v>150</v>
      </c>
      <c r="D1" s="141" t="s">
        <v>151</v>
      </c>
      <c r="E1" s="141" t="s">
        <v>152</v>
      </c>
      <c r="F1" s="141" t="s">
        <v>153</v>
      </c>
      <c r="G1" s="142" t="s">
        <v>154</v>
      </c>
      <c r="H1" s="88" t="s">
        <v>181</v>
      </c>
      <c r="I1" s="88" t="s">
        <v>182</v>
      </c>
      <c r="J1" s="88" t="s">
        <v>183</v>
      </c>
      <c r="K1" s="88" t="s">
        <v>184</v>
      </c>
    </row>
    <row r="2" spans="1:7" ht="14.25" thickBot="1" thickTop="1">
      <c r="A2" s="143"/>
      <c r="B2" s="141"/>
      <c r="C2" s="141"/>
      <c r="D2" s="141"/>
      <c r="E2" s="141"/>
      <c r="F2" s="141"/>
      <c r="G2" s="142"/>
    </row>
    <row r="3" spans="1:7" ht="14.25" thickBot="1" thickTop="1">
      <c r="A3" s="144" t="s">
        <v>155</v>
      </c>
      <c r="B3" s="145"/>
      <c r="C3" s="145"/>
      <c r="D3" s="145"/>
      <c r="E3" s="145"/>
      <c r="F3" s="145"/>
      <c r="G3" s="146"/>
    </row>
    <row r="4" spans="1:7" ht="13.5" thickTop="1">
      <c r="A4" s="147"/>
      <c r="B4" s="148"/>
      <c r="C4" s="148"/>
      <c r="D4" s="148"/>
      <c r="E4" s="148"/>
      <c r="F4" s="148"/>
      <c r="G4" s="149"/>
    </row>
    <row r="5" spans="1:7" ht="12.75">
      <c r="A5" s="150" t="s">
        <v>156</v>
      </c>
      <c r="B5" s="151">
        <v>16</v>
      </c>
      <c r="C5" s="152" t="s">
        <v>157</v>
      </c>
      <c r="D5" s="152" t="s">
        <v>158</v>
      </c>
      <c r="E5" s="151">
        <v>104</v>
      </c>
      <c r="F5" s="153">
        <f>E5*B5</f>
        <v>1664</v>
      </c>
      <c r="G5" s="154">
        <f>F5/365</f>
        <v>4.558904109589041</v>
      </c>
    </row>
    <row r="6" spans="1:7" ht="12.75">
      <c r="A6" s="155"/>
      <c r="B6" s="151"/>
      <c r="C6" s="152"/>
      <c r="D6" s="152"/>
      <c r="E6" s="151"/>
      <c r="F6" s="153"/>
      <c r="G6" s="154"/>
    </row>
    <row r="7" spans="1:7" ht="12.75">
      <c r="A7" s="150" t="s">
        <v>159</v>
      </c>
      <c r="B7" s="151">
        <v>1</v>
      </c>
      <c r="C7" s="152" t="s">
        <v>160</v>
      </c>
      <c r="D7" s="20" t="s">
        <v>161</v>
      </c>
      <c r="E7" s="151">
        <v>514</v>
      </c>
      <c r="F7" s="153">
        <f>E7*B7</f>
        <v>514</v>
      </c>
      <c r="G7" s="154">
        <f>F7/365</f>
        <v>1.4082191780821918</v>
      </c>
    </row>
    <row r="8" spans="1:7" ht="12.75">
      <c r="A8" s="156"/>
      <c r="B8" s="157"/>
      <c r="C8" s="158"/>
      <c r="D8" s="158"/>
      <c r="E8" s="157"/>
      <c r="F8" s="159"/>
      <c r="G8" s="160"/>
    </row>
    <row r="9" spans="1:11" ht="12.75">
      <c r="A9" s="161" t="s">
        <v>162</v>
      </c>
      <c r="B9" s="162">
        <f>CEILING(SUM(H9:J9)*(1+$K$9),1)</f>
        <v>35</v>
      </c>
      <c r="C9" s="20" t="s">
        <v>163</v>
      </c>
      <c r="D9" s="20" t="s">
        <v>161</v>
      </c>
      <c r="E9" s="162">
        <v>0</v>
      </c>
      <c r="F9" s="163">
        <f aca="true" t="shared" si="0" ref="F9:F14">+B9*E9</f>
        <v>0</v>
      </c>
      <c r="G9" s="164">
        <f aca="true" t="shared" si="1" ref="G9:G14">+F9/365</f>
        <v>0</v>
      </c>
      <c r="I9">
        <v>30</v>
      </c>
      <c r="J9" s="165"/>
      <c r="K9">
        <v>0.15</v>
      </c>
    </row>
    <row r="10" spans="1:9" ht="27" customHeight="1">
      <c r="A10" s="166"/>
      <c r="B10" s="162">
        <f>CEILING(SUM(H10:J10)*(1+$K$9),1)</f>
        <v>87</v>
      </c>
      <c r="C10" s="167" t="s">
        <v>164</v>
      </c>
      <c r="D10" s="168" t="s">
        <v>161</v>
      </c>
      <c r="E10" s="169">
        <v>23</v>
      </c>
      <c r="F10" s="170">
        <f t="shared" si="0"/>
        <v>2001</v>
      </c>
      <c r="G10" s="171">
        <f t="shared" si="1"/>
        <v>5.482191780821918</v>
      </c>
      <c r="H10">
        <v>49</v>
      </c>
      <c r="I10">
        <v>26</v>
      </c>
    </row>
    <row r="11" spans="1:9" ht="12.75">
      <c r="A11" s="155"/>
      <c r="B11" s="162">
        <f>CEILING(SUM(H11:J11)*(1+$K$9),1)</f>
        <v>255</v>
      </c>
      <c r="C11" s="20" t="s">
        <v>163</v>
      </c>
      <c r="D11" s="172" t="s">
        <v>158</v>
      </c>
      <c r="E11" s="162">
        <v>0</v>
      </c>
      <c r="F11" s="163">
        <f t="shared" si="0"/>
        <v>0</v>
      </c>
      <c r="G11" s="164">
        <f t="shared" si="1"/>
        <v>0</v>
      </c>
      <c r="I11">
        <f>219+2</f>
        <v>221</v>
      </c>
    </row>
    <row r="12" spans="1:9" ht="28.5" customHeight="1">
      <c r="A12" s="173" t="s">
        <v>5</v>
      </c>
      <c r="B12" s="162">
        <f>CEILING(SUM(H12:J12)*(1+$K$9),1)</f>
        <v>666</v>
      </c>
      <c r="C12" s="167" t="s">
        <v>164</v>
      </c>
      <c r="D12" s="152" t="s">
        <v>158</v>
      </c>
      <c r="E12" s="162">
        <v>19</v>
      </c>
      <c r="F12" s="163">
        <f t="shared" si="0"/>
        <v>12654</v>
      </c>
      <c r="G12" s="164">
        <f t="shared" si="1"/>
        <v>34.66849315068493</v>
      </c>
      <c r="H12">
        <f>227+19</f>
        <v>246</v>
      </c>
      <c r="I12">
        <f>283+50</f>
        <v>333</v>
      </c>
    </row>
    <row r="13" spans="1:7" ht="12.75">
      <c r="A13" s="173"/>
      <c r="B13" s="162">
        <v>0</v>
      </c>
      <c r="C13" s="20" t="s">
        <v>163</v>
      </c>
      <c r="D13" s="20" t="s">
        <v>165</v>
      </c>
      <c r="E13" s="162">
        <v>0</v>
      </c>
      <c r="F13" s="163">
        <f t="shared" si="0"/>
        <v>0</v>
      </c>
      <c r="G13" s="164">
        <f t="shared" si="1"/>
        <v>0</v>
      </c>
    </row>
    <row r="14" spans="1:7" ht="28.5" customHeight="1">
      <c r="A14" s="173"/>
      <c r="B14" s="169">
        <v>0</v>
      </c>
      <c r="C14" s="167" t="s">
        <v>164</v>
      </c>
      <c r="D14" s="168" t="s">
        <v>165</v>
      </c>
      <c r="E14" s="169">
        <v>3</v>
      </c>
      <c r="F14" s="170">
        <f t="shared" si="0"/>
        <v>0</v>
      </c>
      <c r="G14" s="171">
        <f t="shared" si="1"/>
        <v>0</v>
      </c>
    </row>
    <row r="15" spans="1:7" ht="12.75">
      <c r="A15" s="174"/>
      <c r="B15" s="162"/>
      <c r="C15" s="20"/>
      <c r="D15" s="20"/>
      <c r="E15" s="162"/>
      <c r="F15" s="163"/>
      <c r="G15" s="164"/>
    </row>
    <row r="16" spans="1:7" ht="12.75">
      <c r="A16" s="150" t="s">
        <v>187</v>
      </c>
      <c r="B16" s="21">
        <v>19</v>
      </c>
      <c r="C16" s="152" t="s">
        <v>160</v>
      </c>
      <c r="D16" s="27" t="s">
        <v>166</v>
      </c>
      <c r="E16" s="21">
        <v>0</v>
      </c>
      <c r="F16" s="163">
        <f>+B16*E16</f>
        <v>0</v>
      </c>
      <c r="G16" s="164">
        <f>+F16/365</f>
        <v>0</v>
      </c>
    </row>
    <row r="17" spans="1:7" ht="12.75">
      <c r="A17" s="155"/>
      <c r="B17" s="21"/>
      <c r="C17" s="27"/>
      <c r="D17" s="27"/>
      <c r="E17" s="21"/>
      <c r="F17" s="163"/>
      <c r="G17" s="175"/>
    </row>
    <row r="18" spans="1:11" ht="12.75">
      <c r="A18" s="176" t="s">
        <v>167</v>
      </c>
      <c r="B18" s="162">
        <f>CEILING(((J18)*(1+$K$18)+H18),1)</f>
        <v>1982</v>
      </c>
      <c r="C18" s="27"/>
      <c r="D18" s="27"/>
      <c r="E18" s="21">
        <v>1.5</v>
      </c>
      <c r="F18" s="163">
        <f>+B18*E18</f>
        <v>2973</v>
      </c>
      <c r="G18" s="164">
        <f>+F18/365</f>
        <v>8.145205479452056</v>
      </c>
      <c r="H18">
        <f>SUM(H9:H14)*(1+K9)*2</f>
        <v>678.5</v>
      </c>
      <c r="J18">
        <f>1005+81</f>
        <v>1086</v>
      </c>
      <c r="K18">
        <v>0.2</v>
      </c>
    </row>
    <row r="19" spans="1:7" ht="12.75">
      <c r="A19" s="177"/>
      <c r="B19" s="36"/>
      <c r="C19" s="35"/>
      <c r="D19" s="35"/>
      <c r="E19" s="36"/>
      <c r="F19" s="178"/>
      <c r="G19" s="179"/>
    </row>
    <row r="20" spans="1:7" ht="12.75">
      <c r="A20" s="150" t="s">
        <v>168</v>
      </c>
      <c r="B20" s="162">
        <v>10</v>
      </c>
      <c r="C20" s="172" t="s">
        <v>169</v>
      </c>
      <c r="D20" s="20" t="s">
        <v>166</v>
      </c>
      <c r="E20" s="162">
        <v>80</v>
      </c>
      <c r="F20" s="163">
        <f>+B20*E20</f>
        <v>800</v>
      </c>
      <c r="G20" s="164">
        <f>+F20/365</f>
        <v>2.191780821917808</v>
      </c>
    </row>
    <row r="21" spans="1:7" ht="13.5" thickBot="1">
      <c r="A21" s="155"/>
      <c r="B21" s="36"/>
      <c r="C21" s="35"/>
      <c r="D21" s="35"/>
      <c r="E21" s="36"/>
      <c r="F21" s="178"/>
      <c r="G21" s="175"/>
    </row>
    <row r="22" spans="1:7" ht="14.25" thickBot="1" thickTop="1">
      <c r="A22" s="144" t="s">
        <v>174</v>
      </c>
      <c r="B22" s="183"/>
      <c r="C22" s="184"/>
      <c r="D22" s="184"/>
      <c r="E22" s="183"/>
      <c r="F22" s="189">
        <f>SUM(F5:F20)</f>
        <v>20606</v>
      </c>
      <c r="G22" s="186">
        <f>+F22/365</f>
        <v>56.45479452054794</v>
      </c>
    </row>
    <row r="23" spans="1:7" ht="14.25" thickBot="1" thickTop="1">
      <c r="A23" s="188"/>
      <c r="B23" s="184"/>
      <c r="C23" s="184"/>
      <c r="D23" s="184"/>
      <c r="E23" s="184"/>
      <c r="F23" s="189"/>
      <c r="G23" s="190" t="s">
        <v>5</v>
      </c>
    </row>
    <row r="24" spans="1:7" ht="14.25" thickBot="1" thickTop="1">
      <c r="A24" s="191" t="s">
        <v>175</v>
      </c>
      <c r="B24" s="52"/>
      <c r="C24" s="52"/>
      <c r="D24" s="52"/>
      <c r="E24" s="52"/>
      <c r="F24" s="192"/>
      <c r="G24" s="193"/>
    </row>
    <row r="25" spans="1:7" ht="13.5" thickTop="1">
      <c r="A25" s="194"/>
      <c r="B25" s="195"/>
      <c r="C25" s="195"/>
      <c r="D25" s="195"/>
      <c r="E25" s="195"/>
      <c r="F25" s="196"/>
      <c r="G25" s="197"/>
    </row>
    <row r="26" spans="1:7" ht="12.75">
      <c r="A26" s="161" t="s">
        <v>156</v>
      </c>
      <c r="B26" s="180">
        <v>3</v>
      </c>
      <c r="C26" s="172" t="s">
        <v>157</v>
      </c>
      <c r="D26" s="172" t="s">
        <v>158</v>
      </c>
      <c r="E26" s="180">
        <v>104</v>
      </c>
      <c r="F26" s="198">
        <f>E26*B26</f>
        <v>312</v>
      </c>
      <c r="G26" s="199">
        <f>F26/365</f>
        <v>0.8547945205479452</v>
      </c>
    </row>
    <row r="27" spans="1:7" ht="12.75">
      <c r="A27" s="161"/>
      <c r="B27" s="151">
        <v>4</v>
      </c>
      <c r="C27" s="152" t="s">
        <v>176</v>
      </c>
      <c r="D27" s="152" t="s">
        <v>158</v>
      </c>
      <c r="E27" s="151">
        <v>520</v>
      </c>
      <c r="F27" s="198">
        <f>E27*B27</f>
        <v>2080</v>
      </c>
      <c r="G27" s="199">
        <f>F27/365</f>
        <v>5.698630136986301</v>
      </c>
    </row>
    <row r="28" spans="1:7" ht="12.75">
      <c r="A28" s="200"/>
      <c r="B28" s="151"/>
      <c r="C28" s="152"/>
      <c r="D28" s="152"/>
      <c r="E28" s="151"/>
      <c r="F28" s="153"/>
      <c r="G28" s="154"/>
    </row>
    <row r="29" spans="1:7" ht="12.75">
      <c r="A29" s="150" t="s">
        <v>159</v>
      </c>
      <c r="B29" s="151">
        <v>0</v>
      </c>
      <c r="C29" s="152" t="s">
        <v>160</v>
      </c>
      <c r="D29" s="20" t="s">
        <v>161</v>
      </c>
      <c r="E29" s="151">
        <v>514</v>
      </c>
      <c r="F29" s="153">
        <f>E29*B29</f>
        <v>0</v>
      </c>
      <c r="G29" s="154">
        <f>F29/365</f>
        <v>0</v>
      </c>
    </row>
    <row r="30" spans="1:7" ht="12.75">
      <c r="A30" s="156"/>
      <c r="B30" s="157"/>
      <c r="C30" s="158"/>
      <c r="D30" s="158"/>
      <c r="E30" s="157"/>
      <c r="F30" s="159"/>
      <c r="G30" s="160"/>
    </row>
    <row r="31" spans="1:9" ht="12.75">
      <c r="A31" s="161" t="s">
        <v>162</v>
      </c>
      <c r="B31" s="162">
        <f>SUM(H31:I31)</f>
        <v>0</v>
      </c>
      <c r="C31" s="20" t="s">
        <v>163</v>
      </c>
      <c r="D31" s="20" t="s">
        <v>161</v>
      </c>
      <c r="E31" s="162">
        <v>0</v>
      </c>
      <c r="F31" s="163">
        <f>+B31*E31</f>
        <v>0</v>
      </c>
      <c r="G31" s="164">
        <f>+F31/365</f>
        <v>0</v>
      </c>
      <c r="I31">
        <v>0</v>
      </c>
    </row>
    <row r="32" spans="1:7" ht="28.5" customHeight="1">
      <c r="A32" s="155"/>
      <c r="B32" s="162">
        <v>0</v>
      </c>
      <c r="C32" s="167" t="s">
        <v>164</v>
      </c>
      <c r="D32" s="168" t="s">
        <v>161</v>
      </c>
      <c r="E32" s="169">
        <v>23</v>
      </c>
      <c r="F32" s="170">
        <f>+B32*E32</f>
        <v>0</v>
      </c>
      <c r="G32" s="171">
        <f>+F32/365</f>
        <v>0</v>
      </c>
    </row>
    <row r="33" spans="1:9" ht="12.75" customHeight="1">
      <c r="A33" s="155"/>
      <c r="B33" s="162">
        <f>SUM(H33:I33)</f>
        <v>15</v>
      </c>
      <c r="C33" s="167" t="s">
        <v>177</v>
      </c>
      <c r="D33" s="168" t="s">
        <v>161</v>
      </c>
      <c r="E33" s="169">
        <v>72</v>
      </c>
      <c r="F33" s="198">
        <f>E33*B33</f>
        <v>1080</v>
      </c>
      <c r="G33" s="199">
        <f>F33/365</f>
        <v>2.958904109589041</v>
      </c>
      <c r="H33">
        <v>5</v>
      </c>
      <c r="I33">
        <v>10</v>
      </c>
    </row>
    <row r="34" spans="1:9" ht="12.75">
      <c r="A34" s="155"/>
      <c r="B34" s="162">
        <f>SUM(H34:I34)</f>
        <v>8</v>
      </c>
      <c r="C34" s="20" t="s">
        <v>163</v>
      </c>
      <c r="D34" s="172" t="s">
        <v>158</v>
      </c>
      <c r="E34" s="162">
        <v>0</v>
      </c>
      <c r="F34" s="163">
        <f>+B34*E34</f>
        <v>0</v>
      </c>
      <c r="G34" s="164">
        <f>+F34/365</f>
        <v>0</v>
      </c>
      <c r="I34">
        <v>8</v>
      </c>
    </row>
    <row r="35" spans="1:7" ht="28.5" customHeight="1">
      <c r="A35" s="155"/>
      <c r="B35" s="162">
        <f>SUM(H35:I35)</f>
        <v>0</v>
      </c>
      <c r="C35" s="167" t="s">
        <v>164</v>
      </c>
      <c r="D35" s="152" t="s">
        <v>158</v>
      </c>
      <c r="E35" s="169">
        <v>19</v>
      </c>
      <c r="F35" s="170">
        <f>+B35*E35</f>
        <v>0</v>
      </c>
      <c r="G35" s="171">
        <f>+F35/365</f>
        <v>0</v>
      </c>
    </row>
    <row r="36" spans="1:9" ht="12.75" customHeight="1">
      <c r="A36" s="155"/>
      <c r="B36" s="162">
        <f>SUM(H36:I36)</f>
        <v>500</v>
      </c>
      <c r="C36" s="167" t="s">
        <v>177</v>
      </c>
      <c r="D36" s="152" t="s">
        <v>158</v>
      </c>
      <c r="E36" s="169">
        <v>57</v>
      </c>
      <c r="F36" s="198">
        <f>E36*B36</f>
        <v>28500</v>
      </c>
      <c r="G36" s="199">
        <f>F36/365</f>
        <v>78.08219178082192</v>
      </c>
      <c r="H36">
        <v>117</v>
      </c>
      <c r="I36">
        <f>322+61</f>
        <v>383</v>
      </c>
    </row>
    <row r="37" spans="1:7" ht="12.75">
      <c r="A37" s="173"/>
      <c r="B37" s="162">
        <f>SUM(H37:I37)</f>
        <v>0</v>
      </c>
      <c r="C37" s="20" t="s">
        <v>163</v>
      </c>
      <c r="D37" s="20" t="s">
        <v>165</v>
      </c>
      <c r="E37" s="162">
        <v>0</v>
      </c>
      <c r="F37" s="163">
        <f>+B37*E37</f>
        <v>0</v>
      </c>
      <c r="G37" s="164">
        <f>+F37/365</f>
        <v>0</v>
      </c>
    </row>
    <row r="38" spans="1:7" ht="28.5" customHeight="1">
      <c r="A38" s="173"/>
      <c r="B38" s="162">
        <v>0</v>
      </c>
      <c r="C38" s="201" t="s">
        <v>164</v>
      </c>
      <c r="D38" s="20" t="s">
        <v>165</v>
      </c>
      <c r="E38" s="162">
        <v>3</v>
      </c>
      <c r="F38" s="163">
        <f>+B38*E38</f>
        <v>0</v>
      </c>
      <c r="G38" s="164">
        <f>+F38/365</f>
        <v>0</v>
      </c>
    </row>
    <row r="39" spans="1:7" ht="12.75" customHeight="1">
      <c r="A39" s="173"/>
      <c r="B39" s="21">
        <v>0</v>
      </c>
      <c r="C39" s="201" t="s">
        <v>177</v>
      </c>
      <c r="D39" s="20" t="s">
        <v>165</v>
      </c>
      <c r="E39" s="21">
        <v>4.4</v>
      </c>
      <c r="F39" s="198">
        <f>E39*B39</f>
        <v>0</v>
      </c>
      <c r="G39" s="199">
        <f>F39/365</f>
        <v>0</v>
      </c>
    </row>
    <row r="40" spans="1:7" ht="12.75">
      <c r="A40" s="173"/>
      <c r="B40" s="21"/>
      <c r="C40" s="27"/>
      <c r="D40" s="27"/>
      <c r="E40" s="21"/>
      <c r="F40" s="202"/>
      <c r="G40" s="175"/>
    </row>
    <row r="41" spans="1:7" ht="12.75">
      <c r="A41" s="150" t="s">
        <v>178</v>
      </c>
      <c r="B41" s="21">
        <v>12</v>
      </c>
      <c r="C41" s="152" t="s">
        <v>160</v>
      </c>
      <c r="D41" s="27" t="s">
        <v>166</v>
      </c>
      <c r="E41" s="21">
        <v>0</v>
      </c>
      <c r="F41" s="163">
        <f>+B41*E41</f>
        <v>0</v>
      </c>
      <c r="G41" s="164">
        <f>+F41/365</f>
        <v>0</v>
      </c>
    </row>
    <row r="42" spans="1:7" ht="12.75">
      <c r="A42" s="155"/>
      <c r="B42" s="21"/>
      <c r="C42" s="27"/>
      <c r="D42" s="27"/>
      <c r="E42" s="21"/>
      <c r="F42" s="163"/>
      <c r="G42" s="175"/>
    </row>
    <row r="43" spans="1:10" ht="12.75">
      <c r="A43" s="176" t="s">
        <v>167</v>
      </c>
      <c r="B43" s="162">
        <f>J43+H43</f>
        <v>698</v>
      </c>
      <c r="C43" s="27"/>
      <c r="D43" s="27"/>
      <c r="E43" s="21">
        <v>1.5</v>
      </c>
      <c r="F43" s="163">
        <f>+B43*E43</f>
        <v>1047</v>
      </c>
      <c r="G43" s="164">
        <f>+F43/365</f>
        <v>2.8684931506849316</v>
      </c>
      <c r="H43">
        <f>SUM(H31:H38)*2</f>
        <v>244</v>
      </c>
      <c r="J43">
        <f>400+54</f>
        <v>454</v>
      </c>
    </row>
    <row r="44" spans="1:7" ht="12.75">
      <c r="A44" s="177"/>
      <c r="B44" s="36"/>
      <c r="C44" s="35"/>
      <c r="D44" s="35"/>
      <c r="E44" s="36"/>
      <c r="F44" s="178"/>
      <c r="G44" s="175"/>
    </row>
    <row r="45" spans="1:7" ht="12.75">
      <c r="A45" s="150" t="s">
        <v>168</v>
      </c>
      <c r="B45" s="162">
        <v>0</v>
      </c>
      <c r="C45" s="172" t="s">
        <v>169</v>
      </c>
      <c r="D45" s="20" t="s">
        <v>166</v>
      </c>
      <c r="E45" s="162">
        <v>80</v>
      </c>
      <c r="F45" s="163">
        <f>+B45*E45</f>
        <v>0</v>
      </c>
      <c r="G45" s="164">
        <f>+F45/365</f>
        <v>0</v>
      </c>
    </row>
    <row r="46" spans="1:7" ht="13.5" thickBot="1">
      <c r="A46" s="155"/>
      <c r="B46" s="36"/>
      <c r="C46" s="35"/>
      <c r="D46" s="35"/>
      <c r="E46" s="36"/>
      <c r="F46" s="178"/>
      <c r="G46" s="175"/>
    </row>
    <row r="47" spans="1:7" ht="14.25" thickBot="1" thickTop="1">
      <c r="A47" s="144" t="s">
        <v>179</v>
      </c>
      <c r="B47" s="183"/>
      <c r="C47" s="184"/>
      <c r="D47" s="184"/>
      <c r="E47" s="183"/>
      <c r="F47" s="189">
        <f>SUM(F26:F45)</f>
        <v>33019</v>
      </c>
      <c r="G47" s="186">
        <f>+F47/365</f>
        <v>90.46301369863014</v>
      </c>
    </row>
    <row r="48" spans="1:7" ht="14.25" thickBot="1" thickTop="1">
      <c r="A48" s="203"/>
      <c r="B48" s="96"/>
      <c r="C48" s="52"/>
      <c r="D48" s="52"/>
      <c r="E48" s="96"/>
      <c r="F48" s="52"/>
      <c r="G48" s="204"/>
    </row>
    <row r="49" spans="1:7" ht="14.25" thickBot="1" thickTop="1">
      <c r="A49" s="144" t="s">
        <v>180</v>
      </c>
      <c r="B49" s="205"/>
      <c r="C49" s="145"/>
      <c r="D49" s="145"/>
      <c r="E49" s="205"/>
      <c r="F49" s="145"/>
      <c r="G49" s="206">
        <f>G22-G47</f>
        <v>-34.00821917808219</v>
      </c>
    </row>
    <row r="50" spans="1:7" ht="13.5" thickTop="1">
      <c r="A50" s="188"/>
      <c r="B50" s="96"/>
      <c r="C50" s="52"/>
      <c r="D50" s="52"/>
      <c r="E50" s="96"/>
      <c r="F50" s="52"/>
      <c r="G50" s="207"/>
    </row>
    <row r="51" spans="2:7" ht="12.75">
      <c r="B51" s="52"/>
      <c r="C51" s="52"/>
      <c r="D51" s="52"/>
      <c r="E51" s="52"/>
      <c r="F51" s="52"/>
      <c r="G51" s="207"/>
    </row>
  </sheetData>
  <sheetProtection/>
  <printOptions horizontalCentered="1"/>
  <pageMargins left="0.75" right="0.75" top="1.5" bottom="1" header="0.5" footer="0.5"/>
  <pageSetup fitToHeight="1" fitToWidth="1" horizontalDpi="300" verticalDpi="300" orientation="portrait" scale="81" r:id="rId1"/>
  <headerFooter alignWithMargins="0">
    <oddHeader>&amp;L
&amp;C&amp;"Arial,Bold"&amp;12Tosco Refining Company&amp;"Arial,Regular"
&amp;"Arial,Bold"CARB Phase 3 Project
Alkylation Unit 110
Fugitive ROG Emission Estimate &amp;R
</oddHeader>
    <oddFooter>&amp;L&amp;F&amp;R9/27/00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appB</dc:title>
  <dc:subject/>
  <dc:creator>Denise Sasaki</dc:creator>
  <cp:keywords/>
  <dc:description/>
  <cp:lastModifiedBy>dsasaki</cp:lastModifiedBy>
  <cp:lastPrinted>2001-01-17T23:27:04Z</cp:lastPrinted>
  <dcterms:created xsi:type="dcterms:W3CDTF">2001-01-17T21:58:33Z</dcterms:created>
  <dcterms:modified xsi:type="dcterms:W3CDTF">2014-08-06T19:05:55Z</dcterms:modified>
  <cp:category/>
  <cp:version/>
  <cp:contentType/>
  <cp:contentStatus/>
</cp:coreProperties>
</file>