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firstSheet="1" activeTab="3"/>
  </bookViews>
  <sheets>
    <sheet name="Criteria Pollu. Emissions" sheetId="1" r:id="rId1"/>
    <sheet name="Air Toxics Emissions" sheetId="2" r:id="rId2"/>
    <sheet name="EF Criteria " sheetId="3" r:id="rId3"/>
    <sheet name="Stack Calc" sheetId="4" r:id="rId4"/>
    <sheet name="Air Toxics EF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<sst xmlns="http://schemas.openxmlformats.org/spreadsheetml/2006/main" count="467" uniqueCount="271">
  <si>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</si>
  <si>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</si>
  <si>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</si>
  <si>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</si>
  <si>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</si>
  <si>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</si>
  <si>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</si>
  <si>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</si>
  <si>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</si>
  <si>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(Btu/scf)</t>
  </si>
  <si>
    <t>Pollutant</t>
  </si>
  <si>
    <t>EL</t>
  </si>
  <si>
    <t>CO</t>
  </si>
  <si>
    <t>EF</t>
  </si>
  <si>
    <t>(lb/MMscf)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</si>
  <si>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</si>
  <si>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</si>
  <si>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</si>
  <si>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</si>
  <si>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(Natural Gas Use by the Combustion Turbines)</t>
  </si>
  <si>
    <t>(ppmv)</t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</si>
  <si>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</si>
  <si>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</si>
  <si>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>Sulfur</t>
  </si>
  <si>
    <t>(wt%)</t>
  </si>
  <si>
    <t>NA</t>
  </si>
  <si>
    <t>Convert Emission Limit (EL) in lb/MMBtu to Emission Factor in lb/MMscf, EF = EL x HHV (Btu/scf)</t>
  </si>
  <si>
    <t>0.94S</t>
  </si>
  <si>
    <t>Device ID Number:</t>
  </si>
  <si>
    <t>Process Description:</t>
  </si>
  <si>
    <t/>
  </si>
  <si>
    <t>No. of Devices:</t>
  </si>
  <si>
    <t>Process Equipment Description:</t>
  </si>
  <si>
    <t>Fuel Type:</t>
  </si>
  <si>
    <t>Natural Gas</t>
  </si>
  <si>
    <t>Process Units:</t>
  </si>
  <si>
    <t>Control Equipment: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</si>
  <si>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</si>
  <si>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</si>
  <si>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</si>
  <si>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</si>
  <si>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</si>
  <si>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</si>
  <si>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Process Operation Schedule</t>
  </si>
  <si>
    <t xml:space="preserve">Species Name </t>
  </si>
  <si>
    <t>Emissions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</si>
  <si>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</si>
  <si>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</si>
  <si>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</si>
  <si>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</si>
  <si>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</si>
  <si>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</si>
  <si>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</si>
  <si>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</si>
  <si>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</si>
  <si>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t>WT% S</t>
  </si>
  <si>
    <t>MW of S</t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</si>
  <si>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</si>
  <si>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Sulfur in Natural Gas (S)</t>
  </si>
  <si>
    <r>
      <t>WT% S = 100 x S in ppmv in natural gas x MW of S /(MW of Natural Gas x 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) </t>
    </r>
  </si>
  <si>
    <t>(lb/lb-mole)</t>
  </si>
  <si>
    <t>Conc.</t>
  </si>
  <si>
    <t>(DSCF/MMBtu)</t>
  </si>
  <si>
    <t>Oxygen</t>
  </si>
  <si>
    <t>(%)</t>
  </si>
  <si>
    <t>Exhaust Vol</t>
  </si>
  <si>
    <t>MW</t>
  </si>
  <si>
    <t>Calculate Maximum Firing Rate (MFR) for the CT in Btu/hr</t>
  </si>
  <si>
    <t>Combustion Turbine #1</t>
  </si>
  <si>
    <t>Natural Gas Use by the Combustion Turbine</t>
  </si>
  <si>
    <t>1,000,000 x 379</t>
  </si>
  <si>
    <t>Calculate Molecular Weight of Natural Gas</t>
  </si>
  <si>
    <t>Compound</t>
  </si>
  <si>
    <t>Weighted MW</t>
  </si>
  <si>
    <t>methane</t>
  </si>
  <si>
    <t>ethane</t>
  </si>
  <si>
    <t>propane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</si>
  <si>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</si>
  <si>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</si>
  <si>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Exhaust Volume (DSCF/MMBtu) = 8710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</si>
  <si>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(1)  Specification provided by LA DWP from Request for Proposal dated September 25, 2000 and</t>
  </si>
  <si>
    <t>(7) EPA Method 19, 40 CFR Part 60.</t>
  </si>
  <si>
    <t>(grams/sec)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</si>
  <si>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(controlled operations).</t>
    </r>
  </si>
  <si>
    <t>water-steam injection for controlled operation.</t>
  </si>
  <si>
    <t>Time</t>
  </si>
  <si>
    <t>(minutes)</t>
  </si>
  <si>
    <t>0 to 5</t>
  </si>
  <si>
    <t>ZERO TO FIVE MINUTES</t>
  </si>
  <si>
    <t>(lbs/MMBtu)</t>
  </si>
  <si>
    <t xml:space="preserve">      S &amp; S Energy Products' Specifications sheet.</t>
  </si>
  <si>
    <r>
      <t>NOx as NO</t>
    </r>
    <r>
      <rPr>
        <vertAlign val="subscript"/>
        <sz val="10"/>
        <rFont val="Arial"/>
        <family val="2"/>
      </rPr>
      <t>2</t>
    </r>
  </si>
  <si>
    <t>DEVELOPMENT OF START-UP EMISSION FACTORS</t>
  </si>
  <si>
    <t xml:space="preserve">6.  Emission limits are 5 ppmv for oxides of nitrogen (NOx), 6 ppmv for carbon monoxide (CO), </t>
  </si>
  <si>
    <r>
      <t>7.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</si>
  <si>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 xml:space="preserve">HHV </t>
  </si>
  <si>
    <t>Maximum Hourly Fuel Consumption Rate (MMscf) = MFR/(LHV x 1,000,000)</t>
  </si>
  <si>
    <t xml:space="preserve">Maximum Hourly Fuel Consumption Rate (MMscf/hr) = </t>
  </si>
  <si>
    <t>MMscf/hr</t>
  </si>
  <si>
    <t>(MMscf)</t>
  </si>
  <si>
    <t>Convert  Emission Factors from lbs/MMBtu to lbs/MMscf</t>
  </si>
  <si>
    <t>EF (lbs/Mgal) = EF (lbs/MMBtu) x HHV (Btu/scf)</t>
  </si>
  <si>
    <t>(lbs/MMscf)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</si>
  <si>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all times</t>
    </r>
  </si>
  <si>
    <t>minutes at no control</t>
  </si>
  <si>
    <t>minutes with water inection</t>
  </si>
  <si>
    <t xml:space="preserve">Initial (5 min.) </t>
  </si>
  <si>
    <t>(lbs/hour)</t>
  </si>
  <si>
    <t xml:space="preserve">      AP-42 Combustion Turbine Emission Factor Development Document, Table 3.4-1.</t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</si>
  <si>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for controlled operations.</t>
    </r>
  </si>
  <si>
    <t>(3) Specifications from LA DWP (Generation - 2000 Project Overview)</t>
  </si>
  <si>
    <t>(4)  SCR Bid specification (no. 9628) from LA DWP.  Natural gas LHV calculated to be 953 Btu/scf.</t>
  </si>
  <si>
    <t>(5) Taken from AP-42, Section 3.1.  Emission factors are all load emission factors</t>
  </si>
  <si>
    <t>(6) Taken from SCAQMD Title V Technical Guidance Manual, page A-20, 1998.</t>
  </si>
  <si>
    <r>
      <t xml:space="preserve">EF </t>
    </r>
    <r>
      <rPr>
        <b/>
        <vertAlign val="superscript"/>
        <sz val="10"/>
        <rFont val="Arial"/>
        <family val="2"/>
      </rPr>
      <t>(5)</t>
    </r>
  </si>
  <si>
    <r>
      <t>Mole%</t>
    </r>
    <r>
      <rPr>
        <b/>
        <vertAlign val="superscript"/>
        <sz val="10"/>
        <rFont val="Arial"/>
        <family val="2"/>
      </rPr>
      <t xml:space="preserve">  (4)</t>
    </r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</si>
  <si>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(6)</t>
    </r>
  </si>
  <si>
    <r>
      <t>PM10</t>
    </r>
    <r>
      <rPr>
        <vertAlign val="superscript"/>
        <sz val="10"/>
        <rFont val="Arial"/>
        <family val="2"/>
      </rPr>
      <t xml:space="preserve"> (5)</t>
    </r>
  </si>
  <si>
    <r>
      <t xml:space="preserve">Max.S in ppmv </t>
    </r>
    <r>
      <rPr>
        <b/>
        <vertAlign val="superscript"/>
        <sz val="10"/>
        <rFont val="Arial"/>
        <family val="2"/>
      </rPr>
      <t>(4)</t>
    </r>
  </si>
  <si>
    <t xml:space="preserve">Selective Catalytic Reduction, CO Catalyst, and  </t>
  </si>
  <si>
    <t>6 to 30</t>
  </si>
  <si>
    <t>NORMAL START-UP SCENARIO</t>
  </si>
  <si>
    <t>NORMAL START-UP</t>
  </si>
  <si>
    <t>(MMBtu)</t>
  </si>
  <si>
    <t>Fuel Consumption during normal start-up</t>
  </si>
  <si>
    <t>Fuel Burned in First 5 minutes =</t>
  </si>
  <si>
    <t>MMscf</t>
  </si>
  <si>
    <r>
      <t xml:space="preserve">MMscf </t>
    </r>
    <r>
      <rPr>
        <b/>
        <vertAlign val="superscript"/>
        <sz val="10"/>
        <rFont val="Arial"/>
        <family val="2"/>
      </rPr>
      <t>(2)</t>
    </r>
  </si>
  <si>
    <t>Fuel Burned in from 6 to 25 minutes =</t>
  </si>
  <si>
    <t>Fuel Burned from 6 to 60 minutes = Fuel Burned from 6 to 25 minutes X (55/25)</t>
  </si>
  <si>
    <t>Fue Burned from 6 to 60 minutes =</t>
  </si>
  <si>
    <t>Fuel Use</t>
  </si>
  <si>
    <t>Heat Input</t>
  </si>
  <si>
    <t>6 to 60</t>
  </si>
  <si>
    <t>AFTER FIRST HOUR (CONTROLLED OPERATIONS)</t>
  </si>
  <si>
    <t>SIX TO 60 MINUTES</t>
  </si>
  <si>
    <t>55 minute</t>
  </si>
  <si>
    <t>Note:  Start-up emissions are for one CT,  5 minutes uncontrolled, 55 minutes water injection.  After first hour full control.</t>
  </si>
  <si>
    <r>
      <t>4.  Water injection will begin after 5 minutes. SCR and CO catylst operation will begin at 60 minutes.</t>
    </r>
    <r>
      <rPr>
        <vertAlign val="superscript"/>
        <sz val="10"/>
        <rFont val="Arial"/>
        <family val="2"/>
      </rPr>
      <t>(2)</t>
    </r>
  </si>
  <si>
    <t>8.  Manufacturers value for VOC emissions used for all cases since AP-42 factors are less.</t>
  </si>
  <si>
    <t>Full Control</t>
  </si>
  <si>
    <t>F1 = Fuel, Time 0 to 5 minutes</t>
  </si>
  <si>
    <t>F2 = Fuel, Time 6 to 30 minutes</t>
  </si>
  <si>
    <t>F3 = Fuel, Time 6 to 60 minutes</t>
  </si>
  <si>
    <r>
      <t xml:space="preserve">          There is no change in the emission factors for PM10, VOC and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during controlled and uncontrolled operations.</t>
    </r>
  </si>
  <si>
    <t>(2) Information provided by LA DWP in an e-mail to Krishna Nand on 11/01/00.</t>
  </si>
  <si>
    <t>MMSCF</t>
  </si>
  <si>
    <t>lbs/MMSCF</t>
  </si>
  <si>
    <t>Normal</t>
  </si>
  <si>
    <t>Start-Up</t>
  </si>
  <si>
    <t xml:space="preserve">Stack Gas Flow Rate, ACF = </t>
  </si>
  <si>
    <t>Stack Gas Flow (SCF) x</t>
  </si>
  <si>
    <t>Unit</t>
  </si>
  <si>
    <t>Exhaust Flow</t>
  </si>
  <si>
    <t>Stack Temp.</t>
  </si>
  <si>
    <t>(WSCF/MMBtu)</t>
  </si>
  <si>
    <t>(MMBtu/time)</t>
  </si>
  <si>
    <t>(WSCF)</t>
  </si>
  <si>
    <t>(WACF)</t>
  </si>
  <si>
    <t>(WACFS)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</si>
  <si>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</si>
  <si>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</si>
  <si>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</si>
  <si>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</si>
  <si>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</si>
  <si>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</si>
  <si>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</si>
  <si>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t xml:space="preserve">      and S &amp; S Energy Products' Specifications sheet.</t>
  </si>
  <si>
    <t xml:space="preserve">(2)  SCR Bid specification (no. 9628) from LA DWP and information in an e-mail to Krishna Nand </t>
  </si>
  <si>
    <t>(4) EPA Method 19, 40 CFR Part 60.</t>
  </si>
  <si>
    <r>
      <t>6.  The assumed stack gas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content is 15%.</t>
    </r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</si>
  <si>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</si>
  <si>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</si>
  <si>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b/>
        <sz val="10"/>
        <rFont val="Arial"/>
        <family val="2"/>
      </rPr>
      <t xml:space="preserve">R =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+ 460</t>
    </r>
  </si>
  <si>
    <r>
      <t xml:space="preserve">Standard Temp = 60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</si>
  <si>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</si>
  <si>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t>DEVELOPMENT OF THE STACK GAS FLOW RATE NORMAL START-UP</t>
  </si>
  <si>
    <t>Maximum Hourly Fuel Consumption Rate (Mgal) = MFR/(LHV x 1,000,000)</t>
  </si>
  <si>
    <r>
      <t>Exhaust Volume (WSCF/MMBtu) = 10,610 WSCF/MMBtu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(3)(4)</t>
    </r>
  </si>
  <si>
    <t xml:space="preserve">      received on 11/01/00.</t>
  </si>
  <si>
    <t>(3) Taken from SCAQMD Title V Technical Guidance Manual, page A-20, 1998.  Used natural gas F factor, wet.</t>
  </si>
  <si>
    <r>
      <t>Stack Inside Diameter</t>
    </r>
    <r>
      <rPr>
        <b/>
        <vertAlign val="superscript"/>
        <sz val="10"/>
        <rFont val="Arial"/>
        <family val="2"/>
      </rPr>
      <t>(5)</t>
    </r>
  </si>
  <si>
    <r>
      <t>Stack Height</t>
    </r>
    <r>
      <rPr>
        <b/>
        <vertAlign val="superscript"/>
        <sz val="10"/>
        <rFont val="Arial"/>
        <family val="2"/>
      </rPr>
      <t>(5)</t>
    </r>
  </si>
  <si>
    <t xml:space="preserve">(5) Information regarding stack characteristics provided by DWP in an e-mail to Krishna Nand on 10/18/00. </t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</si>
  <si>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)/water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</si>
  <si>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)/scr</t>
    </r>
  </si>
  <si>
    <r>
      <t>MW of Natural Gas</t>
    </r>
    <r>
      <rPr>
        <b/>
        <vertAlign val="superscript"/>
        <sz val="10"/>
        <rFont val="Arial"/>
        <family val="2"/>
      </rPr>
      <t xml:space="preserve"> (4)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</si>
  <si>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)/Water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</si>
  <si>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)/SCR</t>
    </r>
  </si>
  <si>
    <t xml:space="preserve">    PM10 and Sulfur Dioxide emission factor is from AP-42, Table 3.1-2a.  NOx factor derived from GE guarantee of 25 ppmv.</t>
  </si>
  <si>
    <t>FOR COMBUSTION TURBINE AT THE VALLEY PLANT</t>
  </si>
  <si>
    <r>
      <t>1.  The new combustion turbine (CT) is a 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</si>
  <si>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r>
      <t xml:space="preserve">3.  The CT will take 60 minutes to reach full power. </t>
    </r>
    <r>
      <rPr>
        <vertAlign val="superscript"/>
        <sz val="10"/>
        <rFont val="Arial"/>
        <family val="2"/>
      </rPr>
      <t>(2)</t>
    </r>
  </si>
  <si>
    <r>
      <t xml:space="preserve">5.  The CT will use natural gas with a HHV of 1050 Btu/scf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</si>
  <si>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>CT #1, 5min</t>
  </si>
  <si>
    <t>CT #1, 6 to 30min</t>
  </si>
  <si>
    <t>CT#1, 0 to 60min</t>
  </si>
  <si>
    <t>FOR THE COMBUSTION TURBINE AT THE VALLEY PLANT</t>
  </si>
  <si>
    <t>(Natural Gasl Fuel Use by the Combustion Turbine)</t>
  </si>
  <si>
    <r>
      <t>1.  The new combustion turbines (CT) is a GE LM6000 Sprints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</si>
  <si>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DWP VALLEY  STATION -- CRITERIA POLLUTANT EMISSIONS</t>
  </si>
  <si>
    <t>Start-Up Hrly</t>
  </si>
  <si>
    <t>DWP VALLEY STATION -- AIR TOXICS EMISSIONS</t>
  </si>
  <si>
    <r>
      <t xml:space="preserve">1 </t>
    </r>
    <r>
      <rPr>
        <vertAlign val="superscript"/>
        <sz val="10"/>
        <rFont val="Arial"/>
        <family val="2"/>
      </rPr>
      <t>(1)</t>
    </r>
  </si>
  <si>
    <t>MMCF</t>
  </si>
  <si>
    <t>Selective Catalytic Reduction and CO Catalyst</t>
  </si>
  <si>
    <t>Air Toxic</t>
  </si>
  <si>
    <t>Hourly Max</t>
  </si>
  <si>
    <t>Annual</t>
  </si>
  <si>
    <t>CAS Number</t>
  </si>
  <si>
    <t>(lbs/hr)</t>
  </si>
  <si>
    <t>(lbs/yr)</t>
  </si>
  <si>
    <t>(tons/yr)</t>
  </si>
  <si>
    <t>Ammonia</t>
  </si>
  <si>
    <t>1.  One new combustion turbine will be installed at the Valley facility.</t>
  </si>
  <si>
    <t xml:space="preserve">2.  Mean Emission factors for all the air toxics except for ammonia are from the latest California Air  </t>
  </si>
  <si>
    <t xml:space="preserve">     Resources Board's (CARB) air toxics emission data base.  The emission factors were provided by  </t>
  </si>
  <si>
    <t xml:space="preserve">     CARB to Parsons Engineering Science on 10/12/00.</t>
  </si>
  <si>
    <t xml:space="preserve">3. The emissions are quantified for only those air toxics which are listed in Table 1 of the SCAQMD's </t>
  </si>
  <si>
    <t xml:space="preserve">     Rule 1401 (Amended August 2000).</t>
  </si>
  <si>
    <t>CARB AIR TOXICS EMISSION FACTORS</t>
  </si>
  <si>
    <t>COMBUSTION TURBINES -- NATURAL GAS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</si>
  <si>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</si>
  <si>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</si>
  <si>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catalysts.  The data were provided by CARB on 10/12/00 (fax from Kirk Rosenkranz to Krishna</t>
  </si>
  <si>
    <t>Nand Tel. No. 916/322-7673).</t>
  </si>
  <si>
    <t xml:space="preserve">Substance </t>
  </si>
  <si>
    <t>CAS No.</t>
  </si>
  <si>
    <t>Rule 1401</t>
  </si>
  <si>
    <t>Mean Emission</t>
  </si>
  <si>
    <t>Category</t>
  </si>
  <si>
    <t>Listed Air</t>
  </si>
  <si>
    <t>Toxic (Y/N)</t>
  </si>
  <si>
    <t>(lbs/MMSCF)</t>
  </si>
  <si>
    <t>1,3-Butadiene</t>
  </si>
  <si>
    <t>Y</t>
  </si>
  <si>
    <t>SVOC</t>
  </si>
  <si>
    <t>2-Chloronaphthalene</t>
  </si>
  <si>
    <t>N</t>
  </si>
  <si>
    <t>2-Methylnaphthalene</t>
  </si>
  <si>
    <t>PAH</t>
  </si>
  <si>
    <t>Acenaphthene (PAH)</t>
  </si>
  <si>
    <t>Acenaphthylene (PAH)</t>
  </si>
  <si>
    <t>Acetaldehyde</t>
  </si>
  <si>
    <t>Acrolein</t>
  </si>
  <si>
    <t>Anthracene (PAH)</t>
  </si>
  <si>
    <t>Benz(a)anthracene (PAH)</t>
  </si>
  <si>
    <t>Benzene</t>
  </si>
  <si>
    <t>Benzo(a)pyrene (PAH)</t>
  </si>
  <si>
    <t>Benzo(b)fluoranthene (PAH)</t>
  </si>
  <si>
    <t>Benzo(e)pyrene (PAH)</t>
  </si>
  <si>
    <t>Benzo(g,h,i)perylene (PAH)</t>
  </si>
  <si>
    <t>Benzo(k)fluoranthene (PAH)</t>
  </si>
  <si>
    <t>Chrysene (PAH)</t>
  </si>
  <si>
    <t>Dibenz(a,h)anthracene (PAH)</t>
  </si>
  <si>
    <t>Ethylbenzene</t>
  </si>
  <si>
    <t>Fluoranthene (PAH)</t>
  </si>
  <si>
    <t>Fluorene (PAH)</t>
  </si>
  <si>
    <t>Formaldehyde</t>
  </si>
  <si>
    <t>Hexane</t>
  </si>
  <si>
    <t>Indeno(1,2,3-cd)pyrene (PAH)</t>
  </si>
  <si>
    <t>Naphthalene (PAH)</t>
  </si>
  <si>
    <t>Perylene</t>
  </si>
  <si>
    <t>Phenanthrene (PAH)</t>
  </si>
  <si>
    <t>Propylene</t>
  </si>
  <si>
    <t>Propylene Oxide</t>
  </si>
  <si>
    <t>Pyrene (PAH)</t>
  </si>
  <si>
    <t>Toluene</t>
  </si>
  <si>
    <t>Xylene(Total)</t>
  </si>
  <si>
    <t>F4 = Fuel, Total for Start-up</t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</si>
  <si>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Annual Fuel Burned (one CT) 365 Starts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</si>
</sst>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left"/>
      <protection/>
    </xf>
    <xf numFmtId="0" fontId="0" fillId="0" borderId="22" xfId="0" applyBorder="1" applyAlignment="1">
      <alignment horizontal="centerContinuous"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0" fontId="2" fillId="0" borderId="33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2" fillId="0" borderId="3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4" borderId="17" xfId="0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 applyAlignment="1" applyProtection="1">
      <alignment horizontal="center"/>
      <protection/>
    </xf>
    <xf numFmtId="2" fontId="2" fillId="0" borderId="44" xfId="0" applyNumberFormat="1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 horizontal="center"/>
      <protection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39" xfId="0" applyFill="1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48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 horizontal="center"/>
      <protection/>
    </xf>
    <xf numFmtId="2" fontId="2" fillId="0" borderId="51" xfId="0" applyNumberFormat="1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/>
    </xf>
    <xf numFmtId="0" fontId="2" fillId="0" borderId="53" xfId="0" applyFont="1" applyBorder="1" applyAlignment="1">
      <alignment horizontal="center"/>
    </xf>
    <xf numFmtId="0" fontId="0" fillId="1" borderId="11" xfId="0" applyFill="1" applyBorder="1" applyAlignment="1">
      <alignment horizontal="left"/>
    </xf>
    <xf numFmtId="0" fontId="0" fillId="1" borderId="12" xfId="0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35" borderId="15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quotePrefix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8" xfId="0" applyFont="1" applyBorder="1" applyAlignment="1" applyProtection="1">
      <alignment horizontal="center"/>
      <protection/>
    </xf>
    <xf numFmtId="0" fontId="2" fillId="0" borderId="4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59" xfId="0" applyFont="1" applyBorder="1" applyAlignment="1" applyProtection="1">
      <alignment horizontal="left"/>
      <protection/>
    </xf>
    <xf numFmtId="0" fontId="0" fillId="0" borderId="45" xfId="0" applyFont="1" applyBorder="1" applyAlignment="1">
      <alignment horizontal="center"/>
    </xf>
    <xf numFmtId="11" fontId="0" fillId="0" borderId="45" xfId="0" applyNumberFormat="1" applyFont="1" applyBorder="1" applyAlignment="1" applyProtection="1">
      <alignment horizontal="center"/>
      <protection/>
    </xf>
    <xf numFmtId="11" fontId="0" fillId="0" borderId="34" xfId="0" applyNumberFormat="1" applyFont="1" applyBorder="1" applyAlignment="1" applyProtection="1">
      <alignment horizontal="center"/>
      <protection/>
    </xf>
    <xf numFmtId="11" fontId="0" fillId="0" borderId="51" xfId="0" applyNumberFormat="1" applyFont="1" applyBorder="1" applyAlignment="1">
      <alignment horizontal="center"/>
    </xf>
    <xf numFmtId="11" fontId="0" fillId="0" borderId="43" xfId="0" applyNumberFormat="1" applyBorder="1" applyAlignment="1">
      <alignment horizontal="center"/>
    </xf>
    <xf numFmtId="0" fontId="0" fillId="0" borderId="31" xfId="0" applyFont="1" applyBorder="1" applyAlignment="1" applyProtection="1">
      <alignment horizontal="left"/>
      <protection/>
    </xf>
    <xf numFmtId="0" fontId="0" fillId="0" borderId="34" xfId="0" applyFont="1" applyBorder="1" applyAlignment="1">
      <alignment horizontal="center"/>
    </xf>
    <xf numFmtId="11" fontId="0" fillId="0" borderId="50" xfId="0" applyNumberFormat="1" applyFont="1" applyBorder="1" applyAlignment="1">
      <alignment horizontal="center"/>
    </xf>
    <xf numFmtId="0" fontId="0" fillId="0" borderId="60" xfId="0" applyFont="1" applyBorder="1" applyAlignment="1" applyProtection="1">
      <alignment horizontal="left"/>
      <protection/>
    </xf>
    <xf numFmtId="0" fontId="0" fillId="0" borderId="44" xfId="0" applyFont="1" applyBorder="1" applyAlignment="1">
      <alignment horizontal="center"/>
    </xf>
    <xf numFmtId="11" fontId="0" fillId="0" borderId="44" xfId="0" applyNumberFormat="1" applyFont="1" applyBorder="1" applyAlignment="1" applyProtection="1">
      <alignment horizontal="center"/>
      <protection/>
    </xf>
    <xf numFmtId="11" fontId="0" fillId="0" borderId="49" xfId="0" applyNumberFormat="1" applyFont="1" applyBorder="1" applyAlignment="1">
      <alignment horizontal="center"/>
    </xf>
    <xf numFmtId="11" fontId="0" fillId="0" borderId="61" xfId="0" applyNumberFormat="1" applyBorder="1" applyAlignment="1">
      <alignment horizontal="center"/>
    </xf>
    <xf numFmtId="0" fontId="0" fillId="0" borderId="62" xfId="0" applyFont="1" applyBorder="1" applyAlignment="1">
      <alignment horizontal="center"/>
    </xf>
    <xf numFmtId="11" fontId="0" fillId="0" borderId="62" xfId="0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11" fontId="0" fillId="0" borderId="34" xfId="0" applyNumberFormat="1" applyBorder="1" applyAlignment="1">
      <alignment horizontal="center"/>
    </xf>
    <xf numFmtId="11" fontId="0" fillId="0" borderId="5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11" fontId="0" fillId="0" borderId="33" xfId="0" applyNumberFormat="1" applyBorder="1" applyAlignment="1">
      <alignment horizontal="center"/>
    </xf>
    <xf numFmtId="11" fontId="0" fillId="0" borderId="52" xfId="0" applyNumberFormat="1" applyBorder="1" applyAlignment="1">
      <alignment horizontal="center"/>
    </xf>
    <xf numFmtId="11" fontId="0" fillId="0" borderId="41" xfId="0" applyNumberFormat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1" fontId="11" fillId="36" borderId="0" xfId="0" applyNumberFormat="1" applyFont="1" applyFill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1" borderId="16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63" xfId="0" applyFill="1" applyBorder="1" applyAlignment="1">
      <alignment/>
    </xf>
    <xf numFmtId="0" fontId="0" fillId="1" borderId="64" xfId="0" applyFill="1" applyBorder="1" applyAlignment="1">
      <alignment/>
    </xf>
    <xf numFmtId="0" fontId="0" fillId="1" borderId="65" xfId="0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37" borderId="68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63" xfId="0" applyFill="1" applyBorder="1" applyAlignment="1">
      <alignment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11" fontId="0" fillId="0" borderId="41" xfId="0" applyNumberFormat="1" applyBorder="1" applyAlignment="1">
      <alignment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168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/>
    </xf>
    <xf numFmtId="0" fontId="7" fillId="1" borderId="54" xfId="0" applyFont="1" applyFill="1" applyBorder="1" applyAlignment="1">
      <alignment horizontal="center"/>
    </xf>
    <xf numFmtId="0" fontId="7" fillId="1" borderId="55" xfId="0" applyFont="1" applyFill="1" applyBorder="1" applyAlignment="1">
      <alignment horizontal="center"/>
    </xf>
    <xf numFmtId="0" fontId="7" fillId="1" borderId="5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1" borderId="10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38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791325"/>
          <a:ext cx="7343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791325"/>
          <a:ext cx="7343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791325"/>
          <a:ext cx="6591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136</xdr:row>
      <xdr:rowOff>0</xdr:rowOff>
    </xdr:from>
    <xdr:to>
      <xdr:col>7</xdr:col>
      <xdr:colOff>0</xdr:colOff>
      <xdr:row>136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23526750"/>
          <a:ext cx="674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0</xdr:rowOff>
    </xdr:from>
    <xdr:to>
      <xdr:col>7</xdr:col>
      <xdr:colOff>0</xdr:colOff>
      <xdr:row>67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12011025"/>
          <a:ext cx="6515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1/nonaqmd/ladwp/Final_EIR/VNORM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a Pollu. Emissions (2)"/>
      <sheetName val="Criteria Pollu. Emissions"/>
      <sheetName val="Air Toxics Emissions"/>
      <sheetName val="Air Toxics Grams per second"/>
      <sheetName val="EF Criteria "/>
      <sheetName val="stack"/>
      <sheetName val="Air Toxics EF"/>
    </sheetNames>
    <sheetDataSet>
      <sheetData sheetId="4">
        <row r="71">
          <cell r="E71">
            <v>7.25</v>
          </cell>
        </row>
      </sheetData>
      <sheetData sheetId="6">
        <row r="14">
          <cell r="B14" t="str">
            <v>1,3-Butadiene</v>
          </cell>
          <cell r="C14">
            <v>106990</v>
          </cell>
          <cell r="E14">
            <v>0.000127</v>
          </cell>
        </row>
        <row r="19">
          <cell r="B19" t="str">
            <v>Acetaldehyde</v>
          </cell>
          <cell r="C19">
            <v>75070</v>
          </cell>
          <cell r="E19">
            <v>0.137</v>
          </cell>
        </row>
        <row r="20">
          <cell r="B20" t="str">
            <v>Acrolein</v>
          </cell>
          <cell r="C20">
            <v>107028</v>
          </cell>
          <cell r="E20">
            <v>0.0189</v>
          </cell>
        </row>
        <row r="22">
          <cell r="B22" t="str">
            <v>Benz(a)anthracene (PAH)</v>
          </cell>
          <cell r="C22">
            <v>56553</v>
          </cell>
          <cell r="E22">
            <v>2.26E-05</v>
          </cell>
        </row>
        <row r="23">
          <cell r="B23" t="str">
            <v>Benzene</v>
          </cell>
          <cell r="C23">
            <v>71432</v>
          </cell>
          <cell r="E23">
            <v>0.0133</v>
          </cell>
        </row>
        <row r="24">
          <cell r="B24" t="str">
            <v>Benzo(a)pyrene (PAH)</v>
          </cell>
          <cell r="C24">
            <v>50328</v>
          </cell>
          <cell r="E24">
            <v>1.39E-05</v>
          </cell>
        </row>
        <row r="25">
          <cell r="B25" t="str">
            <v>Benzo(b)fluoranthene (PAH)</v>
          </cell>
          <cell r="C25">
            <v>205992</v>
          </cell>
          <cell r="E25">
            <v>1.13E-05</v>
          </cell>
        </row>
        <row r="28">
          <cell r="B28" t="str">
            <v>Benzo(k)fluoranthene (PAH)</v>
          </cell>
          <cell r="C28">
            <v>207089</v>
          </cell>
          <cell r="E28">
            <v>1.1E-05</v>
          </cell>
        </row>
        <row r="29">
          <cell r="B29" t="str">
            <v>Chrysene (PAH)</v>
          </cell>
          <cell r="C29">
            <v>218019</v>
          </cell>
          <cell r="E29">
            <v>2.52E-05</v>
          </cell>
        </row>
        <row r="30">
          <cell r="B30" t="str">
            <v>Dibenz(a,h)anthracene (PAH)</v>
          </cell>
          <cell r="C30">
            <v>53703</v>
          </cell>
          <cell r="E30">
            <v>2.35E-05</v>
          </cell>
        </row>
        <row r="31">
          <cell r="B31" t="str">
            <v>Ethylbenzene</v>
          </cell>
          <cell r="C31">
            <v>100414</v>
          </cell>
          <cell r="E31">
            <v>0.0179</v>
          </cell>
        </row>
        <row r="34">
          <cell r="B34" t="str">
            <v>Formaldehyde</v>
          </cell>
          <cell r="C34">
            <v>50000</v>
          </cell>
          <cell r="E34">
            <v>0.917</v>
          </cell>
        </row>
        <row r="35">
          <cell r="B35" t="str">
            <v>Hexane</v>
          </cell>
          <cell r="C35">
            <v>110543</v>
          </cell>
          <cell r="E35">
            <v>0.259</v>
          </cell>
        </row>
        <row r="36">
          <cell r="B36" t="str">
            <v>Indeno(1,2,3-cd)pyrene (PAH)</v>
          </cell>
          <cell r="C36">
            <v>193395</v>
          </cell>
          <cell r="E36">
            <v>2.35E-05</v>
          </cell>
        </row>
        <row r="37">
          <cell r="B37" t="str">
            <v>Naphthalene (PAH)</v>
          </cell>
          <cell r="C37">
            <v>91203</v>
          </cell>
          <cell r="E37">
            <v>0.00166</v>
          </cell>
        </row>
        <row r="40">
          <cell r="B40" t="str">
            <v>Propylene</v>
          </cell>
          <cell r="C40">
            <v>115071</v>
          </cell>
          <cell r="E40">
            <v>0.771</v>
          </cell>
        </row>
        <row r="41">
          <cell r="B41" t="str">
            <v>Propylene Oxide</v>
          </cell>
          <cell r="C41">
            <v>75569</v>
          </cell>
          <cell r="E41">
            <v>0.0478</v>
          </cell>
        </row>
        <row r="43">
          <cell r="B43" t="str">
            <v>Toluene</v>
          </cell>
          <cell r="C43">
            <v>108883</v>
          </cell>
          <cell r="E43">
            <v>0.071</v>
          </cell>
        </row>
        <row r="44">
          <cell r="B44" t="str">
            <v>Xylene(Total)</v>
          </cell>
          <cell r="C44">
            <v>1330207</v>
          </cell>
          <cell r="E44">
            <v>0.0261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5" zoomScaleNormal="75" zoomScalePageLayoutView="0" workbookViewId="0" topLeftCell="A23">
      <selection activeCell="D26" sqref="D26"/>
    </sheetView>
  </sheetViews>
  <sheetFormatPr defaultColWidth="9.140625" defaultRowHeight="12.75"/>
  <cols>
    <col min="1" max="1" width="29.7109375" style="71" customWidth="1"/>
    <col min="2" max="2" width="14.57421875" style="0" customWidth="1"/>
    <col min="3" max="3" width="15.140625" style="0" customWidth="1"/>
    <col min="4" max="4" width="14.28125" style="0" customWidth="1"/>
    <col min="5" max="5" width="11.710937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200</v>
      </c>
      <c r="B2" s="23"/>
      <c r="C2" s="23"/>
      <c r="D2" s="24"/>
      <c r="E2" s="24"/>
      <c r="F2" s="25"/>
    </row>
    <row r="3" spans="1:6" ht="17.25">
      <c r="A3" s="22" t="s">
        <v>121</v>
      </c>
      <c r="B3" s="23"/>
      <c r="C3" s="23"/>
      <c r="D3" s="24"/>
      <c r="E3" s="24"/>
      <c r="F3" s="25"/>
    </row>
    <row r="4" spans="1:6" ht="17.25" customHeight="1" thickBot="1">
      <c r="A4" s="26" t="s">
        <v>69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28</v>
      </c>
      <c r="B6" s="35" t="s">
        <v>68</v>
      </c>
      <c r="C6" s="35"/>
      <c r="D6" s="36"/>
      <c r="E6" s="36"/>
      <c r="F6" s="39"/>
    </row>
    <row r="7" spans="1:6" ht="12.75" hidden="1">
      <c r="A7" s="34" t="s">
        <v>29</v>
      </c>
      <c r="B7" s="38" t="s">
        <v>30</v>
      </c>
      <c r="C7" s="38"/>
      <c r="D7" s="37"/>
      <c r="E7" s="37"/>
      <c r="F7" s="93"/>
    </row>
    <row r="8" spans="1:6" ht="12.75">
      <c r="A8" s="34" t="s">
        <v>31</v>
      </c>
      <c r="B8" s="35"/>
      <c r="C8" s="35"/>
      <c r="D8" s="37"/>
      <c r="E8" s="37"/>
      <c r="F8" s="39"/>
    </row>
    <row r="9" spans="1:6" ht="12.75">
      <c r="A9" s="34"/>
      <c r="B9" s="35"/>
      <c r="C9" s="35"/>
      <c r="D9" s="37"/>
      <c r="E9" s="37"/>
      <c r="F9" s="39"/>
    </row>
    <row r="10" spans="1:6" ht="12.75">
      <c r="A10" s="34" t="s">
        <v>32</v>
      </c>
      <c r="B10" s="37" t="s">
        <v>49</v>
      </c>
      <c r="C10" s="37"/>
      <c r="D10" s="37"/>
      <c r="E10" s="37"/>
      <c r="F10" s="39"/>
    </row>
    <row r="11" spans="1:6" ht="12.75">
      <c r="A11" s="34" t="s">
        <v>33</v>
      </c>
      <c r="B11" s="35" t="s">
        <v>34</v>
      </c>
      <c r="C11" s="35"/>
      <c r="D11" s="37"/>
      <c r="E11" s="37"/>
      <c r="F11" s="39"/>
    </row>
    <row r="12" spans="1:6" ht="12.75">
      <c r="A12" s="34" t="s">
        <v>35</v>
      </c>
      <c r="B12" s="35" t="s">
        <v>146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36</v>
      </c>
      <c r="B15" s="4" t="s">
        <v>119</v>
      </c>
      <c r="C15" s="4"/>
      <c r="D15" s="4"/>
      <c r="E15" s="4"/>
      <c r="F15" s="48"/>
    </row>
    <row r="16" spans="1:6" ht="12.75">
      <c r="A16" s="47"/>
      <c r="B16" s="4" t="s">
        <v>84</v>
      </c>
      <c r="C16" s="4"/>
      <c r="D16" s="4"/>
      <c r="E16" s="4"/>
      <c r="F16" s="48"/>
    </row>
    <row r="17" spans="1:6" ht="15">
      <c r="A17" s="47"/>
      <c r="B17" s="98"/>
      <c r="C17" s="4"/>
      <c r="D17" s="4"/>
      <c r="E17" s="4"/>
      <c r="F17" s="48"/>
    </row>
    <row r="18" spans="1:6" ht="15">
      <c r="A18" s="47" t="s">
        <v>37</v>
      </c>
      <c r="B18" s="4" t="s">
        <v>38</v>
      </c>
      <c r="C18" s="4"/>
      <c r="D18" s="4"/>
      <c r="E18" s="4"/>
      <c r="F18" s="48"/>
    </row>
    <row r="19" spans="1:6" ht="15">
      <c r="A19" s="47" t="s">
        <v>39</v>
      </c>
      <c r="B19" s="4" t="s">
        <v>40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41</v>
      </c>
      <c r="B21" s="53"/>
      <c r="C21" s="53"/>
      <c r="D21" s="54" t="s">
        <v>42</v>
      </c>
      <c r="E21" s="54"/>
      <c r="F21" s="94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54</v>
      </c>
      <c r="B23" s="4"/>
      <c r="C23" s="4"/>
      <c r="D23" s="74" t="s">
        <v>25</v>
      </c>
      <c r="E23" s="4" t="s">
        <v>146</v>
      </c>
      <c r="F23" s="48"/>
    </row>
    <row r="24" spans="1:6" ht="12.75">
      <c r="A24" s="47" t="s">
        <v>141</v>
      </c>
      <c r="B24" s="4"/>
      <c r="C24" s="4"/>
      <c r="D24" s="82">
        <f>'EF Criteria '!D35</f>
        <v>0.01</v>
      </c>
      <c r="E24" s="4" t="s">
        <v>146</v>
      </c>
      <c r="F24" s="48"/>
    </row>
    <row r="25" spans="1:6" ht="12.75">
      <c r="A25" s="47" t="s">
        <v>142</v>
      </c>
      <c r="B25" s="4"/>
      <c r="C25" s="4"/>
      <c r="D25" s="82">
        <f>'EF Criteria '!D36</f>
        <v>0.103</v>
      </c>
      <c r="E25" s="4" t="s">
        <v>146</v>
      </c>
      <c r="F25" s="48"/>
    </row>
    <row r="26" spans="1:6" ht="12.75">
      <c r="A26" s="47" t="s">
        <v>143</v>
      </c>
      <c r="B26" s="4"/>
      <c r="C26" s="4"/>
      <c r="D26" s="82">
        <f>'EF Criteria '!D38</f>
        <v>0.227</v>
      </c>
      <c r="E26" s="4" t="s">
        <v>146</v>
      </c>
      <c r="F26" s="48"/>
    </row>
    <row r="27" spans="1:6" ht="12.75">
      <c r="A27" s="47" t="s">
        <v>51</v>
      </c>
      <c r="B27" s="4"/>
      <c r="C27" s="4"/>
      <c r="D27" s="55" t="s">
        <v>50</v>
      </c>
      <c r="E27" s="4" t="s">
        <v>147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43</v>
      </c>
      <c r="D29" s="4">
        <v>5</v>
      </c>
      <c r="E29" s="4" t="s">
        <v>104</v>
      </c>
      <c r="F29" s="48"/>
    </row>
    <row r="30" spans="1:6" ht="12.75">
      <c r="A30" s="56"/>
      <c r="D30" s="4">
        <v>55</v>
      </c>
      <c r="E30" s="4" t="s">
        <v>105</v>
      </c>
      <c r="F30" s="48"/>
    </row>
    <row r="31" spans="1:6" ht="12.75">
      <c r="A31" s="56"/>
      <c r="D31" s="4"/>
      <c r="E31" s="4"/>
      <c r="F31" s="57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56"/>
      <c r="B33" s="58" t="s">
        <v>106</v>
      </c>
      <c r="C33" s="58" t="s">
        <v>136</v>
      </c>
      <c r="D33" s="58" t="s">
        <v>140</v>
      </c>
      <c r="E33" s="12" t="s">
        <v>148</v>
      </c>
      <c r="F33" s="118" t="s">
        <v>148</v>
      </c>
    </row>
    <row r="34" spans="1:7" ht="12.75">
      <c r="A34" s="99" t="s">
        <v>47</v>
      </c>
      <c r="B34" s="60" t="s">
        <v>22</v>
      </c>
      <c r="C34" s="60" t="s">
        <v>22</v>
      </c>
      <c r="D34" s="61" t="s">
        <v>22</v>
      </c>
      <c r="E34" s="110" t="s">
        <v>149</v>
      </c>
      <c r="F34" s="75" t="s">
        <v>201</v>
      </c>
      <c r="G34"/>
    </row>
    <row r="35" spans="1:7" ht="12.75">
      <c r="A35" s="59" t="s">
        <v>44</v>
      </c>
      <c r="B35" s="60" t="s">
        <v>3</v>
      </c>
      <c r="C35" s="60" t="s">
        <v>3</v>
      </c>
      <c r="D35" s="61" t="s">
        <v>3</v>
      </c>
      <c r="E35" s="110" t="s">
        <v>45</v>
      </c>
      <c r="F35" s="75" t="s">
        <v>45</v>
      </c>
      <c r="G35"/>
    </row>
    <row r="36" spans="1:7" ht="13.5" thickBot="1">
      <c r="A36" s="62"/>
      <c r="B36" s="63" t="s">
        <v>14</v>
      </c>
      <c r="C36" s="63" t="s">
        <v>14</v>
      </c>
      <c r="D36" s="64" t="s">
        <v>102</v>
      </c>
      <c r="E36" s="111" t="s">
        <v>107</v>
      </c>
      <c r="F36" s="76" t="s">
        <v>82</v>
      </c>
      <c r="G36"/>
    </row>
    <row r="37" spans="1:7" ht="13.5" thickTop="1">
      <c r="A37" s="65" t="s">
        <v>46</v>
      </c>
      <c r="B37" s="73">
        <f>'EF Criteria '!E58</f>
        <v>309.75</v>
      </c>
      <c r="C37" s="73">
        <f>'EF Criteria '!E66</f>
        <v>98.28</v>
      </c>
      <c r="D37" s="100">
        <f>'EF Criteria '!E103</f>
        <v>19.64</v>
      </c>
      <c r="E37" s="112">
        <f>ROUND(($D$24*B37)+($D$26*C37),2)</f>
        <v>25.41</v>
      </c>
      <c r="F37" s="96">
        <f>ROUND(E37*454/3600,2)</f>
        <v>3.2</v>
      </c>
      <c r="G37"/>
    </row>
    <row r="38" spans="1:7" ht="12.75">
      <c r="A38" s="66" t="s">
        <v>12</v>
      </c>
      <c r="B38" s="72">
        <f>'EF Criteria '!E59</f>
        <v>185.85</v>
      </c>
      <c r="C38" s="72">
        <f>'EF Criteria '!E67</f>
        <v>35.07</v>
      </c>
      <c r="D38" s="101">
        <f>'EF Criteria '!E104</f>
        <v>14.39</v>
      </c>
      <c r="E38" s="113">
        <f>ROUND(($D$24*B38)+($D$26*C38),2)</f>
        <v>9.82</v>
      </c>
      <c r="F38" s="97">
        <f>ROUND(E38*454/3600,2)</f>
        <v>1.24</v>
      </c>
      <c r="G38"/>
    </row>
    <row r="39" spans="1:7" ht="12.75">
      <c r="A39" s="66" t="s">
        <v>48</v>
      </c>
      <c r="B39" s="72">
        <f>'EF Criteria '!E105</f>
        <v>2.73</v>
      </c>
      <c r="C39" s="72">
        <f>'EF Criteria '!E105</f>
        <v>2.73</v>
      </c>
      <c r="D39" s="101">
        <f>'EF Criteria '!E105</f>
        <v>2.73</v>
      </c>
      <c r="E39" s="113">
        <f>ROUND(($D$24*B39)+($D$26*C39),2)</f>
        <v>0.65</v>
      </c>
      <c r="F39" s="97">
        <f>ROUND(E39*454/3600,2)</f>
        <v>0.08</v>
      </c>
      <c r="G39"/>
    </row>
    <row r="40" spans="1:7" ht="12.75">
      <c r="A40" s="66" t="s">
        <v>52</v>
      </c>
      <c r="B40" s="72">
        <f>'EF Criteria '!E114</f>
        <v>6.93</v>
      </c>
      <c r="C40" s="72">
        <f>'EF Criteria '!E114</f>
        <v>6.93</v>
      </c>
      <c r="D40" s="72">
        <f>'EF Criteria '!E114</f>
        <v>6.93</v>
      </c>
      <c r="E40" s="114">
        <f>ROUND(($D$24*B40)+($D$26*C40),2)</f>
        <v>1.64</v>
      </c>
      <c r="F40" s="97">
        <f>ROUND(E40*454/3600,2)</f>
        <v>0.21</v>
      </c>
      <c r="G40"/>
    </row>
    <row r="41" spans="1:7" ht="15">
      <c r="A41" s="66" t="s">
        <v>53</v>
      </c>
      <c r="B41" s="72">
        <f>'EF Criteria '!E115</f>
        <v>1.48</v>
      </c>
      <c r="C41" s="72">
        <f>'EF Criteria '!E115</f>
        <v>1.48</v>
      </c>
      <c r="D41" s="102">
        <f>'EF Criteria '!E115</f>
        <v>1.48</v>
      </c>
      <c r="E41" s="115">
        <f>ROUND(($D$24*B41)+($D$26*C41),2)</f>
        <v>0.35</v>
      </c>
      <c r="F41" s="97">
        <f>ROUND(E41*454/3600,2)</f>
        <v>0.04</v>
      </c>
      <c r="G41"/>
    </row>
    <row r="42" spans="1:7" ht="13.5" thickBot="1">
      <c r="A42" s="67"/>
      <c r="B42" s="68"/>
      <c r="C42" s="68"/>
      <c r="D42" s="69"/>
      <c r="E42" s="116"/>
      <c r="F42" s="95"/>
      <c r="G42"/>
    </row>
    <row r="43" spans="1:6" ht="13.5" thickTop="1">
      <c r="A43" s="4"/>
      <c r="B43" s="55"/>
      <c r="C43" s="55"/>
      <c r="D43" s="70"/>
      <c r="E43" s="70"/>
      <c r="F43" s="70"/>
    </row>
    <row r="44" ht="12.75">
      <c r="A44" s="71" t="s">
        <v>137</v>
      </c>
    </row>
    <row r="45" ht="15">
      <c r="A45" s="71" t="s">
        <v>144</v>
      </c>
    </row>
  </sheetData>
  <sheetProtection/>
  <printOptions horizontalCentered="1"/>
  <pageMargins left="0.75" right="0.25" top="0.69" bottom="0.65" header="0.5" footer="0.29"/>
  <pageSetup fitToHeight="1" fitToWidth="1" horizontalDpi="600" verticalDpi="600" orientation="portrait" scale="88" r:id="rId2"/>
  <headerFooter alignWithMargins="0">
    <oddFooter>&amp;L&amp;6K:\REPORTS\R1350\valley\&amp;F\&amp;A&amp;C&amp;P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5.7109375" style="71" customWidth="1"/>
    <col min="2" max="2" width="15.7109375" style="0" customWidth="1"/>
    <col min="3" max="3" width="12.7109375" style="0" customWidth="1"/>
    <col min="4" max="4" width="11.7109375" style="0" customWidth="1"/>
    <col min="5" max="5" width="14.00390625" style="0" customWidth="1"/>
    <col min="6" max="6" width="10.00390625" style="0" customWidth="1"/>
  </cols>
  <sheetData>
    <row r="1" spans="1:6" ht="7.5" customHeight="1" thickTop="1">
      <c r="A1" s="18"/>
      <c r="B1" s="19"/>
      <c r="C1" s="19"/>
      <c r="D1" s="20"/>
      <c r="E1" s="20"/>
      <c r="F1" s="133"/>
    </row>
    <row r="2" spans="1:6" ht="17.25">
      <c r="A2" s="201" t="s">
        <v>202</v>
      </c>
      <c r="B2" s="202"/>
      <c r="C2" s="202"/>
      <c r="D2" s="202"/>
      <c r="E2" s="202"/>
      <c r="F2" s="203"/>
    </row>
    <row r="3" spans="1:6" ht="17.25" customHeight="1">
      <c r="A3" s="201" t="s">
        <v>121</v>
      </c>
      <c r="B3" s="202"/>
      <c r="C3" s="202"/>
      <c r="D3" s="202"/>
      <c r="E3" s="202"/>
      <c r="F3" s="203"/>
    </row>
    <row r="4" spans="1:6" ht="17.25" customHeight="1" thickBot="1">
      <c r="A4" s="204" t="s">
        <v>69</v>
      </c>
      <c r="B4" s="205"/>
      <c r="C4" s="205"/>
      <c r="D4" s="205"/>
      <c r="E4" s="205"/>
      <c r="F4" s="206"/>
    </row>
    <row r="5" spans="1:6" ht="13.5" thickTop="1">
      <c r="A5" s="34" t="s">
        <v>28</v>
      </c>
      <c r="C5" s="35" t="s">
        <v>68</v>
      </c>
      <c r="D5" s="36"/>
      <c r="E5" s="134"/>
      <c r="F5" s="48"/>
    </row>
    <row r="6" spans="1:6" ht="12.75" hidden="1">
      <c r="A6" s="34" t="s">
        <v>29</v>
      </c>
      <c r="C6" s="38" t="s">
        <v>30</v>
      </c>
      <c r="D6" s="37"/>
      <c r="E6" s="37"/>
      <c r="F6" s="48"/>
    </row>
    <row r="7" spans="1:6" ht="15">
      <c r="A7" s="34" t="s">
        <v>31</v>
      </c>
      <c r="C7" s="135" t="s">
        <v>203</v>
      </c>
      <c r="D7" s="37"/>
      <c r="E7" s="37"/>
      <c r="F7" s="48"/>
    </row>
    <row r="8" spans="1:6" ht="12.75">
      <c r="A8" s="34" t="s">
        <v>32</v>
      </c>
      <c r="C8" s="37" t="s">
        <v>49</v>
      </c>
      <c r="D8" s="37"/>
      <c r="E8" s="37"/>
      <c r="F8" s="48"/>
    </row>
    <row r="9" spans="1:6" ht="12.75">
      <c r="A9" s="34" t="s">
        <v>33</v>
      </c>
      <c r="C9" s="35" t="s">
        <v>34</v>
      </c>
      <c r="D9" s="37"/>
      <c r="E9" s="37"/>
      <c r="F9" s="48"/>
    </row>
    <row r="10" spans="1:6" ht="12.75">
      <c r="A10" s="34" t="s">
        <v>35</v>
      </c>
      <c r="C10" s="35" t="s">
        <v>204</v>
      </c>
      <c r="D10" s="36"/>
      <c r="E10" s="136"/>
      <c r="F10" s="48"/>
    </row>
    <row r="11" spans="1:6" ht="7.5" customHeight="1" thickBot="1">
      <c r="A11" s="40"/>
      <c r="B11" s="41"/>
      <c r="C11" s="41"/>
      <c r="D11" s="42"/>
      <c r="E11" s="42"/>
      <c r="F11" s="51"/>
    </row>
    <row r="12" spans="1:6" ht="7.5" customHeight="1" thickTop="1">
      <c r="A12" s="44"/>
      <c r="B12" s="45"/>
      <c r="C12" s="45"/>
      <c r="D12" s="45"/>
      <c r="E12" s="45"/>
      <c r="F12" s="46"/>
    </row>
    <row r="13" spans="1:6" ht="12.75">
      <c r="A13" s="47" t="s">
        <v>36</v>
      </c>
      <c r="C13" s="4" t="s">
        <v>205</v>
      </c>
      <c r="D13" s="4"/>
      <c r="E13" s="4"/>
      <c r="F13" s="48"/>
    </row>
    <row r="14" spans="1:6" ht="15">
      <c r="A14" s="47" t="s">
        <v>37</v>
      </c>
      <c r="C14" s="4" t="s">
        <v>38</v>
      </c>
      <c r="D14" s="4"/>
      <c r="E14" s="4"/>
      <c r="F14" s="48"/>
    </row>
    <row r="15" spans="1:6" ht="15">
      <c r="A15" s="47" t="s">
        <v>39</v>
      </c>
      <c r="C15" s="4" t="s">
        <v>40</v>
      </c>
      <c r="D15" s="4"/>
      <c r="E15" s="4"/>
      <c r="F15" s="48"/>
    </row>
    <row r="16" spans="1:6" ht="7.5" customHeight="1" thickBot="1">
      <c r="A16" s="49"/>
      <c r="B16" s="50"/>
      <c r="C16" s="50"/>
      <c r="D16" s="50"/>
      <c r="E16" s="50"/>
      <c r="F16" s="51"/>
    </row>
    <row r="17" spans="1:6" ht="18" customHeight="1" thickBot="1" thickTop="1">
      <c r="A17" s="52" t="s">
        <v>41</v>
      </c>
      <c r="B17" s="53"/>
      <c r="C17" s="53"/>
      <c r="D17" s="53"/>
      <c r="E17" s="137"/>
      <c r="F17" s="138"/>
    </row>
    <row r="18" spans="1:6" ht="7.5" customHeight="1" thickTop="1">
      <c r="A18" s="44"/>
      <c r="B18" s="45"/>
      <c r="C18" s="45"/>
      <c r="D18" s="45"/>
      <c r="E18" s="45"/>
      <c r="F18" s="46"/>
    </row>
    <row r="19" spans="1:7" ht="15">
      <c r="A19" s="47" t="s">
        <v>270</v>
      </c>
      <c r="B19" s="4"/>
      <c r="C19" s="4"/>
      <c r="D19" s="74">
        <f>365*D23</f>
        <v>86.50500000000001</v>
      </c>
      <c r="E19" s="4" t="s">
        <v>146</v>
      </c>
      <c r="F19" s="48"/>
      <c r="G19" s="1"/>
    </row>
    <row r="20" spans="1:7" ht="12.75">
      <c r="A20" s="47" t="s">
        <v>141</v>
      </c>
      <c r="B20" s="4"/>
      <c r="C20" s="4"/>
      <c r="D20" s="82">
        <f>'EF Criteria '!D35</f>
        <v>0.01</v>
      </c>
      <c r="E20" s="4" t="s">
        <v>146</v>
      </c>
      <c r="F20" s="48"/>
      <c r="G20" s="1"/>
    </row>
    <row r="21" spans="1:7" ht="12.75">
      <c r="A21" s="47" t="s">
        <v>142</v>
      </c>
      <c r="B21" s="4"/>
      <c r="C21" s="4"/>
      <c r="D21" s="82">
        <f>'EF Criteria '!D36</f>
        <v>0.103</v>
      </c>
      <c r="E21" s="4" t="s">
        <v>146</v>
      </c>
      <c r="F21" s="48"/>
      <c r="G21" s="1"/>
    </row>
    <row r="22" spans="1:7" ht="12.75">
      <c r="A22" s="47" t="s">
        <v>143</v>
      </c>
      <c r="B22" s="4"/>
      <c r="C22" s="4"/>
      <c r="D22" s="82">
        <f>'EF Criteria '!D38</f>
        <v>0.227</v>
      </c>
      <c r="E22" s="4" t="s">
        <v>146</v>
      </c>
      <c r="F22" s="48"/>
      <c r="G22" s="1"/>
    </row>
    <row r="23" spans="1:7" ht="12.75">
      <c r="A23" s="47" t="s">
        <v>269</v>
      </c>
      <c r="B23" s="4"/>
      <c r="C23" s="4"/>
      <c r="D23" s="82">
        <f>D22+D20</f>
        <v>0.23700000000000002</v>
      </c>
      <c r="E23" s="4" t="s">
        <v>146</v>
      </c>
      <c r="F23" s="48"/>
      <c r="G23" s="1"/>
    </row>
    <row r="24" spans="1:7" ht="12.75">
      <c r="A24" s="47" t="s">
        <v>51</v>
      </c>
      <c r="B24" s="4"/>
      <c r="C24" s="4"/>
      <c r="D24" s="55" t="s">
        <v>50</v>
      </c>
      <c r="E24" s="4" t="s">
        <v>147</v>
      </c>
      <c r="F24" s="48"/>
      <c r="G24" s="1"/>
    </row>
    <row r="25" spans="1:7" ht="12.75">
      <c r="A25" s="47"/>
      <c r="B25" s="4"/>
      <c r="C25" s="4"/>
      <c r="D25" s="55"/>
      <c r="E25" s="4"/>
      <c r="F25" s="48"/>
      <c r="G25" s="1"/>
    </row>
    <row r="26" spans="1:7" ht="12.75">
      <c r="A26" s="47"/>
      <c r="B26" s="4"/>
      <c r="C26" s="4"/>
      <c r="D26" s="55"/>
      <c r="E26" s="4"/>
      <c r="F26" s="48"/>
      <c r="G26" s="1"/>
    </row>
    <row r="27" spans="1:6" ht="12.75">
      <c r="A27" s="56"/>
      <c r="B27" s="4"/>
      <c r="C27" s="4"/>
      <c r="D27" s="4">
        <v>5</v>
      </c>
      <c r="E27" s="4" t="s">
        <v>104</v>
      </c>
      <c r="F27" s="48"/>
    </row>
    <row r="28" spans="1:6" ht="12.75">
      <c r="A28" s="56"/>
      <c r="B28" s="4"/>
      <c r="C28" s="4"/>
      <c r="D28" s="4">
        <v>55</v>
      </c>
      <c r="E28" s="4" t="s">
        <v>105</v>
      </c>
      <c r="F28" s="48"/>
    </row>
    <row r="29" spans="1:6" ht="7.5" customHeight="1" thickBot="1">
      <c r="A29" s="49"/>
      <c r="B29" s="50"/>
      <c r="C29" s="50"/>
      <c r="D29" s="50"/>
      <c r="E29" s="50"/>
      <c r="F29" s="51"/>
    </row>
    <row r="30" spans="1:6" ht="7.5" customHeight="1" thickBot="1" thickTop="1">
      <c r="A30" s="56"/>
      <c r="B30" s="4"/>
      <c r="C30" s="4"/>
      <c r="D30" s="4"/>
      <c r="E30" s="4"/>
      <c r="F30" s="48"/>
    </row>
    <row r="31" spans="1:6" ht="13.5" thickTop="1">
      <c r="A31" s="139"/>
      <c r="B31" s="140" t="s">
        <v>206</v>
      </c>
      <c r="C31" s="141" t="s">
        <v>22</v>
      </c>
      <c r="D31" s="141" t="s">
        <v>207</v>
      </c>
      <c r="E31" s="142" t="s">
        <v>208</v>
      </c>
      <c r="F31" s="118" t="s">
        <v>208</v>
      </c>
    </row>
    <row r="32" spans="1:6" ht="12.75">
      <c r="A32" s="59" t="s">
        <v>206</v>
      </c>
      <c r="B32" s="143" t="s">
        <v>209</v>
      </c>
      <c r="C32" s="60" t="s">
        <v>3</v>
      </c>
      <c r="D32" s="60" t="s">
        <v>45</v>
      </c>
      <c r="E32" s="110" t="s">
        <v>45</v>
      </c>
      <c r="F32" s="75" t="s">
        <v>45</v>
      </c>
    </row>
    <row r="33" spans="1:6" ht="13.5" thickBot="1">
      <c r="A33" s="62"/>
      <c r="B33" s="144"/>
      <c r="C33" s="63" t="s">
        <v>14</v>
      </c>
      <c r="D33" s="63" t="s">
        <v>210</v>
      </c>
      <c r="E33" s="111" t="s">
        <v>211</v>
      </c>
      <c r="F33" s="76" t="s">
        <v>212</v>
      </c>
    </row>
    <row r="34" spans="1:6" ht="13.5" thickTop="1">
      <c r="A34" s="145" t="str">
        <f>'[1]Air Toxics EF'!B14</f>
        <v>1,3-Butadiene</v>
      </c>
      <c r="B34" s="146">
        <f>'[1]Air Toxics EF'!C14</f>
        <v>106990</v>
      </c>
      <c r="C34" s="147">
        <f>'[1]Air Toxics EF'!E14</f>
        <v>0.000127</v>
      </c>
      <c r="D34" s="148">
        <f>$D$23*C34</f>
        <v>3.0099E-05</v>
      </c>
      <c r="E34" s="149">
        <f aca="true" t="shared" si="0" ref="E34:E53">$D$19*C34</f>
        <v>0.010986135000000001</v>
      </c>
      <c r="F34" s="150">
        <f>(E34/2000)</f>
        <v>5.4930675E-06</v>
      </c>
    </row>
    <row r="35" spans="1:6" ht="12.75">
      <c r="A35" s="151" t="str">
        <f>'[1]Air Toxics EF'!B19</f>
        <v>Acetaldehyde</v>
      </c>
      <c r="B35" s="152">
        <f>'[1]Air Toxics EF'!C19</f>
        <v>75070</v>
      </c>
      <c r="C35" s="148">
        <f>'[1]Air Toxics EF'!E19</f>
        <v>0.137</v>
      </c>
      <c r="D35" s="148">
        <f aca="true" t="shared" si="1" ref="D35:D53">$D$23*C35</f>
        <v>0.032469000000000005</v>
      </c>
      <c r="E35" s="153">
        <f t="shared" si="0"/>
        <v>11.851185000000003</v>
      </c>
      <c r="F35" s="150">
        <f>(E35/2000)</f>
        <v>0.005925592500000001</v>
      </c>
    </row>
    <row r="36" spans="1:6" ht="12.75">
      <c r="A36" s="154" t="str">
        <f>'[1]Air Toxics EF'!B20</f>
        <v>Acrolein</v>
      </c>
      <c r="B36" s="155">
        <f>'[1]Air Toxics EF'!C20</f>
        <v>107028</v>
      </c>
      <c r="C36" s="156">
        <f>'[1]Air Toxics EF'!E20</f>
        <v>0.0189</v>
      </c>
      <c r="D36" s="156">
        <f t="shared" si="1"/>
        <v>0.0044793</v>
      </c>
      <c r="E36" s="157">
        <f t="shared" si="0"/>
        <v>1.6349445000000002</v>
      </c>
      <c r="F36" s="158">
        <f>(E36/2000)</f>
        <v>0.0008174722500000002</v>
      </c>
    </row>
    <row r="37" spans="1:6" ht="12.75">
      <c r="A37" s="151" t="s">
        <v>213</v>
      </c>
      <c r="B37" s="159">
        <v>7664417</v>
      </c>
      <c r="C37" s="160">
        <f>+'[1]EF Criteria '!E71</f>
        <v>7.25</v>
      </c>
      <c r="D37" s="148">
        <f t="shared" si="1"/>
        <v>1.71825</v>
      </c>
      <c r="E37" s="153">
        <f t="shared" si="0"/>
        <v>627.1612500000001</v>
      </c>
      <c r="F37" s="150">
        <f>ROUND(E37/2000,2)</f>
        <v>0.31</v>
      </c>
    </row>
    <row r="38" spans="1:6" ht="12.75">
      <c r="A38" s="151" t="str">
        <f>'[1]Air Toxics EF'!B22</f>
        <v>Benz(a)anthracene (PAH)</v>
      </c>
      <c r="B38" s="152">
        <f>'[1]Air Toxics EF'!C22</f>
        <v>56553</v>
      </c>
      <c r="C38" s="148">
        <f>'[1]Air Toxics EF'!E22</f>
        <v>2.26E-05</v>
      </c>
      <c r="D38" s="148">
        <f t="shared" si="1"/>
        <v>5.3562000000000005E-06</v>
      </c>
      <c r="E38" s="153">
        <f t="shared" si="0"/>
        <v>0.0019550130000000002</v>
      </c>
      <c r="F38" s="150">
        <f aca="true" t="shared" si="2" ref="F38:F53">(E38/2000)</f>
        <v>9.775065E-07</v>
      </c>
    </row>
    <row r="39" spans="1:6" ht="12.75">
      <c r="A39" s="151" t="str">
        <f>'[1]Air Toxics EF'!B23</f>
        <v>Benzene</v>
      </c>
      <c r="B39" s="152">
        <f>'[1]Air Toxics EF'!C23</f>
        <v>71432</v>
      </c>
      <c r="C39" s="148">
        <f>'[1]Air Toxics EF'!E23</f>
        <v>0.0133</v>
      </c>
      <c r="D39" s="148">
        <f t="shared" si="1"/>
        <v>0.0031521</v>
      </c>
      <c r="E39" s="153">
        <f t="shared" si="0"/>
        <v>1.1505165000000002</v>
      </c>
      <c r="F39" s="150">
        <f t="shared" si="2"/>
        <v>0.0005752582500000001</v>
      </c>
    </row>
    <row r="40" spans="1:6" ht="12.75">
      <c r="A40" s="151" t="str">
        <f>'[1]Air Toxics EF'!B24</f>
        <v>Benzo(a)pyrene (PAH)</v>
      </c>
      <c r="B40" s="152">
        <f>'[1]Air Toxics EF'!C24</f>
        <v>50328</v>
      </c>
      <c r="C40" s="148">
        <f>'[1]Air Toxics EF'!E24</f>
        <v>1.39E-05</v>
      </c>
      <c r="D40" s="148">
        <f t="shared" si="1"/>
        <v>3.2943000000000004E-06</v>
      </c>
      <c r="E40" s="153">
        <f t="shared" si="0"/>
        <v>0.0012024195</v>
      </c>
      <c r="F40" s="150">
        <f t="shared" si="2"/>
        <v>6.012097500000001E-07</v>
      </c>
    </row>
    <row r="41" spans="1:6" ht="12.75">
      <c r="A41" s="154" t="str">
        <f>'[1]Air Toxics EF'!B25</f>
        <v>Benzo(b)fluoranthene (PAH)</v>
      </c>
      <c r="B41" s="155">
        <f>'[1]Air Toxics EF'!C25</f>
        <v>205992</v>
      </c>
      <c r="C41" s="156">
        <f>'[1]Air Toxics EF'!E25</f>
        <v>1.13E-05</v>
      </c>
      <c r="D41" s="148">
        <f t="shared" si="1"/>
        <v>2.6781000000000002E-06</v>
      </c>
      <c r="E41" s="157">
        <f t="shared" si="0"/>
        <v>0.0009775065000000001</v>
      </c>
      <c r="F41" s="150">
        <f t="shared" si="2"/>
        <v>4.8875325E-07</v>
      </c>
    </row>
    <row r="42" spans="1:6" ht="12.75">
      <c r="A42" s="161" t="str">
        <f>'[1]Air Toxics EF'!B28</f>
        <v>Benzo(k)fluoranthene (PAH)</v>
      </c>
      <c r="B42" s="162">
        <f>'[1]Air Toxics EF'!C28</f>
        <v>207089</v>
      </c>
      <c r="C42" s="163">
        <f>'[1]Air Toxics EF'!E28</f>
        <v>1.1E-05</v>
      </c>
      <c r="D42" s="163">
        <f t="shared" si="1"/>
        <v>2.607E-06</v>
      </c>
      <c r="E42" s="164">
        <f t="shared" si="0"/>
        <v>0.0009515550000000001</v>
      </c>
      <c r="F42" s="150">
        <f t="shared" si="2"/>
        <v>4.757775E-07</v>
      </c>
    </row>
    <row r="43" spans="1:6" ht="12.75">
      <c r="A43" s="161" t="str">
        <f>'[1]Air Toxics EF'!B29</f>
        <v>Chrysene (PAH)</v>
      </c>
      <c r="B43" s="162">
        <f>'[1]Air Toxics EF'!C29</f>
        <v>218019</v>
      </c>
      <c r="C43" s="163">
        <f>'[1]Air Toxics EF'!E29</f>
        <v>2.52E-05</v>
      </c>
      <c r="D43" s="163">
        <f t="shared" si="1"/>
        <v>5.972400000000001E-06</v>
      </c>
      <c r="E43" s="164">
        <f t="shared" si="0"/>
        <v>0.002179926</v>
      </c>
      <c r="F43" s="150">
        <f t="shared" si="2"/>
        <v>1.089963E-06</v>
      </c>
    </row>
    <row r="44" spans="1:6" ht="12.75">
      <c r="A44" s="161" t="str">
        <f>'[1]Air Toxics EF'!B30</f>
        <v>Dibenz(a,h)anthracene (PAH)</v>
      </c>
      <c r="B44" s="162">
        <f>'[1]Air Toxics EF'!C30</f>
        <v>53703</v>
      </c>
      <c r="C44" s="163">
        <f>'[1]Air Toxics EF'!E30</f>
        <v>2.35E-05</v>
      </c>
      <c r="D44" s="163">
        <f t="shared" si="1"/>
        <v>5.5695E-06</v>
      </c>
      <c r="E44" s="164">
        <f t="shared" si="0"/>
        <v>0.0020328675</v>
      </c>
      <c r="F44" s="150">
        <f t="shared" si="2"/>
        <v>1.01643375E-06</v>
      </c>
    </row>
    <row r="45" spans="1:6" ht="12.75">
      <c r="A45" s="161" t="str">
        <f>'[1]Air Toxics EF'!B31</f>
        <v>Ethylbenzene</v>
      </c>
      <c r="B45" s="162">
        <f>'[1]Air Toxics EF'!C31</f>
        <v>100414</v>
      </c>
      <c r="C45" s="163">
        <f>'[1]Air Toxics EF'!E31</f>
        <v>0.0179</v>
      </c>
      <c r="D45" s="163">
        <f t="shared" si="1"/>
        <v>0.0042423</v>
      </c>
      <c r="E45" s="164">
        <f t="shared" si="0"/>
        <v>1.5484395000000002</v>
      </c>
      <c r="F45" s="150">
        <f t="shared" si="2"/>
        <v>0.0007742197500000001</v>
      </c>
    </row>
    <row r="46" spans="1:6" ht="12.75">
      <c r="A46" s="161" t="str">
        <f>'[1]Air Toxics EF'!B34</f>
        <v>Formaldehyde</v>
      </c>
      <c r="B46" s="162">
        <f>'[1]Air Toxics EF'!C34</f>
        <v>50000</v>
      </c>
      <c r="C46" s="163">
        <f>'[1]Air Toxics EF'!E34</f>
        <v>0.917</v>
      </c>
      <c r="D46" s="163">
        <f t="shared" si="1"/>
        <v>0.21732900000000002</v>
      </c>
      <c r="E46" s="164">
        <f t="shared" si="0"/>
        <v>79.32508500000002</v>
      </c>
      <c r="F46" s="150">
        <f t="shared" si="2"/>
        <v>0.03966254250000001</v>
      </c>
    </row>
    <row r="47" spans="1:6" ht="12.75">
      <c r="A47" s="161" t="str">
        <f>'[1]Air Toxics EF'!B35</f>
        <v>Hexane</v>
      </c>
      <c r="B47" s="162">
        <f>'[1]Air Toxics EF'!C35</f>
        <v>110543</v>
      </c>
      <c r="C47" s="163">
        <f>'[1]Air Toxics EF'!E35</f>
        <v>0.259</v>
      </c>
      <c r="D47" s="163">
        <f t="shared" si="1"/>
        <v>0.06138300000000001</v>
      </c>
      <c r="E47" s="164">
        <f t="shared" si="0"/>
        <v>22.404795000000004</v>
      </c>
      <c r="F47" s="150">
        <f t="shared" si="2"/>
        <v>0.011202397500000003</v>
      </c>
    </row>
    <row r="48" spans="1:6" ht="12.75">
      <c r="A48" s="161" t="str">
        <f>'[1]Air Toxics EF'!B36</f>
        <v>Indeno(1,2,3-cd)pyrene (PAH)</v>
      </c>
      <c r="B48" s="162">
        <f>'[1]Air Toxics EF'!C36</f>
        <v>193395</v>
      </c>
      <c r="C48" s="163">
        <f>'[1]Air Toxics EF'!E36</f>
        <v>2.35E-05</v>
      </c>
      <c r="D48" s="163">
        <f t="shared" si="1"/>
        <v>5.5695E-06</v>
      </c>
      <c r="E48" s="164">
        <f t="shared" si="0"/>
        <v>0.0020328675</v>
      </c>
      <c r="F48" s="150">
        <f t="shared" si="2"/>
        <v>1.01643375E-06</v>
      </c>
    </row>
    <row r="49" spans="1:6" ht="12.75">
      <c r="A49" s="161" t="str">
        <f>'[1]Air Toxics EF'!B37</f>
        <v>Naphthalene (PAH)</v>
      </c>
      <c r="B49" s="162">
        <f>'[1]Air Toxics EF'!C37</f>
        <v>91203</v>
      </c>
      <c r="C49" s="163">
        <f>'[1]Air Toxics EF'!E37</f>
        <v>0.00166</v>
      </c>
      <c r="D49" s="163">
        <f t="shared" si="1"/>
        <v>0.00039342</v>
      </c>
      <c r="E49" s="164">
        <f t="shared" si="0"/>
        <v>0.1435983</v>
      </c>
      <c r="F49" s="150">
        <f t="shared" si="2"/>
        <v>7.179915E-05</v>
      </c>
    </row>
    <row r="50" spans="1:6" ht="12.75">
      <c r="A50" s="161" t="str">
        <f>'[1]Air Toxics EF'!B40</f>
        <v>Propylene</v>
      </c>
      <c r="B50" s="162">
        <f>'[1]Air Toxics EF'!C40</f>
        <v>115071</v>
      </c>
      <c r="C50" s="163">
        <f>'[1]Air Toxics EF'!E40</f>
        <v>0.771</v>
      </c>
      <c r="D50" s="163">
        <f t="shared" si="1"/>
        <v>0.18272700000000003</v>
      </c>
      <c r="E50" s="164">
        <f t="shared" si="0"/>
        <v>66.695355</v>
      </c>
      <c r="F50" s="150">
        <f t="shared" si="2"/>
        <v>0.033347677500000006</v>
      </c>
    </row>
    <row r="51" spans="1:6" ht="12.75">
      <c r="A51" s="161" t="str">
        <f>'[1]Air Toxics EF'!B41</f>
        <v>Propylene Oxide</v>
      </c>
      <c r="B51" s="162">
        <f>'[1]Air Toxics EF'!C41</f>
        <v>75569</v>
      </c>
      <c r="C51" s="163">
        <f>'[1]Air Toxics EF'!E41</f>
        <v>0.0478</v>
      </c>
      <c r="D51" s="163">
        <f t="shared" si="1"/>
        <v>0.011328600000000001</v>
      </c>
      <c r="E51" s="164">
        <f t="shared" si="0"/>
        <v>4.134939000000001</v>
      </c>
      <c r="F51" s="150">
        <f t="shared" si="2"/>
        <v>0.0020674695000000003</v>
      </c>
    </row>
    <row r="52" spans="1:6" ht="12.75">
      <c r="A52" s="161" t="str">
        <f>'[1]Air Toxics EF'!B43</f>
        <v>Toluene</v>
      </c>
      <c r="B52" s="162">
        <f>'[1]Air Toxics EF'!C43</f>
        <v>108883</v>
      </c>
      <c r="C52" s="163">
        <f>'[1]Air Toxics EF'!E43</f>
        <v>0.071</v>
      </c>
      <c r="D52" s="163">
        <f t="shared" si="1"/>
        <v>0.016826999999999998</v>
      </c>
      <c r="E52" s="164">
        <f t="shared" si="0"/>
        <v>6.1418550000000005</v>
      </c>
      <c r="F52" s="150">
        <f t="shared" si="2"/>
        <v>0.0030709275000000004</v>
      </c>
    </row>
    <row r="53" spans="1:6" ht="13.5" thickBot="1">
      <c r="A53" s="165" t="str">
        <f>'[1]Air Toxics EF'!B44</f>
        <v>Xylene(Total)</v>
      </c>
      <c r="B53" s="166">
        <f>'[1]Air Toxics EF'!C44</f>
        <v>1330207</v>
      </c>
      <c r="C53" s="167">
        <f>'[1]Air Toxics EF'!E44</f>
        <v>0.0261</v>
      </c>
      <c r="D53" s="167">
        <f t="shared" si="1"/>
        <v>0.006185700000000001</v>
      </c>
      <c r="E53" s="168">
        <f t="shared" si="0"/>
        <v>2.2577805000000004</v>
      </c>
      <c r="F53" s="169">
        <f t="shared" si="2"/>
        <v>0.00112889025</v>
      </c>
    </row>
    <row r="54" spans="1:5" ht="13.5" thickTop="1">
      <c r="A54" s="170" t="s">
        <v>214</v>
      </c>
      <c r="B54" s="171"/>
      <c r="C54" s="171"/>
      <c r="D54" s="171"/>
      <c r="E54" s="172"/>
    </row>
    <row r="55" ht="12.75">
      <c r="A55" t="s">
        <v>215</v>
      </c>
    </row>
    <row r="56" spans="1:5" ht="12.75">
      <c r="A56" t="s">
        <v>216</v>
      </c>
      <c r="E56" s="173"/>
    </row>
    <row r="57" ht="12.75">
      <c r="A57" s="71" t="s">
        <v>217</v>
      </c>
    </row>
    <row r="58" ht="12.75">
      <c r="A58" s="71" t="s">
        <v>218</v>
      </c>
    </row>
    <row r="59" ht="12.75">
      <c r="A59" t="s">
        <v>219</v>
      </c>
    </row>
    <row r="60" ht="15">
      <c r="A60" s="174"/>
    </row>
    <row r="63" ht="12.75">
      <c r="A63"/>
    </row>
    <row r="64" ht="15">
      <c r="A64" s="174"/>
    </row>
    <row r="66" ht="3" customHeight="1"/>
  </sheetData>
  <sheetProtection/>
  <mergeCells count="3"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600" verticalDpi="600" orientation="portrait" scale="95" r:id="rId1"/>
  <headerFooter alignWithMargins="0">
    <oddFooter>&amp;L&amp;8K:\reports\R1350\valley\&amp;F\&amp;A&amp;C&amp;P of &amp;N&amp;R&amp;6&amp;D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30">
      <selection activeCell="A15" sqref="A15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7" width="13.7109375" style="0" customWidth="1"/>
  </cols>
  <sheetData>
    <row r="1" spans="1:7" ht="17.25">
      <c r="A1" s="212" t="s">
        <v>92</v>
      </c>
      <c r="B1" s="213"/>
      <c r="C1" s="213"/>
      <c r="D1" s="213"/>
      <c r="E1" s="213"/>
      <c r="F1" s="213"/>
      <c r="G1" s="214"/>
    </row>
    <row r="2" spans="1:7" ht="17.25">
      <c r="A2" s="216" t="s">
        <v>122</v>
      </c>
      <c r="B2" s="217"/>
      <c r="C2" s="217"/>
      <c r="D2" s="217"/>
      <c r="E2" s="217"/>
      <c r="F2" s="217"/>
      <c r="G2" s="218"/>
    </row>
    <row r="3" spans="1:7" ht="17.25">
      <c r="A3" s="216" t="s">
        <v>190</v>
      </c>
      <c r="B3" s="217"/>
      <c r="C3" s="217"/>
      <c r="D3" s="217"/>
      <c r="E3" s="217"/>
      <c r="F3" s="217"/>
      <c r="G3" s="218"/>
    </row>
    <row r="4" spans="1:7" ht="17.25">
      <c r="A4" s="216" t="s">
        <v>19</v>
      </c>
      <c r="B4" s="217"/>
      <c r="C4" s="217"/>
      <c r="D4" s="217"/>
      <c r="E4" s="217"/>
      <c r="F4" s="217"/>
      <c r="G4" s="218"/>
    </row>
    <row r="5" spans="1:7" ht="13.5" thickBot="1">
      <c r="A5" s="103"/>
      <c r="B5" s="104"/>
      <c r="C5" s="104"/>
      <c r="D5" s="104"/>
      <c r="E5" s="104"/>
      <c r="F5" s="104"/>
      <c r="G5" s="105"/>
    </row>
    <row r="6" spans="1:7" ht="15">
      <c r="A6" s="3" t="s">
        <v>191</v>
      </c>
      <c r="B6" s="4"/>
      <c r="C6" s="4"/>
      <c r="D6" s="4"/>
      <c r="E6" s="4"/>
      <c r="F6" s="4"/>
      <c r="G6" s="87"/>
    </row>
    <row r="7" spans="1:7" ht="15">
      <c r="A7" s="3" t="s">
        <v>18</v>
      </c>
      <c r="B7" s="4"/>
      <c r="C7" s="4"/>
      <c r="D7" s="4"/>
      <c r="E7" s="4"/>
      <c r="F7" s="4"/>
      <c r="G7" s="87"/>
    </row>
    <row r="8" spans="1:7" ht="15">
      <c r="A8" s="3" t="s">
        <v>192</v>
      </c>
      <c r="B8" s="4"/>
      <c r="C8" s="4"/>
      <c r="D8" s="4"/>
      <c r="E8" s="4"/>
      <c r="F8" s="4"/>
      <c r="G8" s="87"/>
    </row>
    <row r="9" spans="1:7" ht="15">
      <c r="A9" s="3" t="s">
        <v>138</v>
      </c>
      <c r="B9" s="4"/>
      <c r="C9" s="4"/>
      <c r="D9" s="4"/>
      <c r="E9" s="4"/>
      <c r="F9" s="4"/>
      <c r="G9" s="87"/>
    </row>
    <row r="10" spans="1:7" ht="15">
      <c r="A10" s="3" t="s">
        <v>193</v>
      </c>
      <c r="B10" s="4"/>
      <c r="C10" s="4"/>
      <c r="D10" s="4"/>
      <c r="E10" s="4"/>
      <c r="F10" s="4"/>
      <c r="G10" s="87"/>
    </row>
    <row r="11" spans="1:7" ht="12.75">
      <c r="A11" s="3" t="s">
        <v>93</v>
      </c>
      <c r="B11" s="4"/>
      <c r="C11" s="4"/>
      <c r="D11" s="4"/>
      <c r="E11" s="4"/>
      <c r="F11" s="4"/>
      <c r="G11" s="87"/>
    </row>
    <row r="12" spans="1:7" ht="16.5">
      <c r="A12" s="3" t="s">
        <v>109</v>
      </c>
      <c r="B12" s="4"/>
      <c r="C12" s="4"/>
      <c r="D12" s="4"/>
      <c r="E12" s="4"/>
      <c r="F12" s="4"/>
      <c r="G12" s="87"/>
    </row>
    <row r="13" spans="1:7" ht="15">
      <c r="A13" s="3" t="s">
        <v>94</v>
      </c>
      <c r="B13" s="4"/>
      <c r="C13" s="4"/>
      <c r="D13" s="4"/>
      <c r="E13" s="4"/>
      <c r="F13" s="4"/>
      <c r="G13" s="87"/>
    </row>
    <row r="14" spans="1:7" ht="12.75">
      <c r="A14" s="3" t="s">
        <v>139</v>
      </c>
      <c r="B14" s="4"/>
      <c r="C14" s="4"/>
      <c r="D14" s="4"/>
      <c r="E14" s="4"/>
      <c r="F14" s="4"/>
      <c r="G14" s="87"/>
    </row>
    <row r="15" spans="1:7" ht="12.75">
      <c r="A15" s="3"/>
      <c r="B15" s="4"/>
      <c r="C15" s="4"/>
      <c r="D15" s="4"/>
      <c r="E15" s="4"/>
      <c r="F15" s="4"/>
      <c r="G15" s="87"/>
    </row>
    <row r="16" spans="1:7" ht="13.5" thickBot="1">
      <c r="A16" s="5"/>
      <c r="B16" s="6"/>
      <c r="C16" s="6"/>
      <c r="D16" s="6"/>
      <c r="E16" s="6"/>
      <c r="F16" s="6"/>
      <c r="G16" s="88"/>
    </row>
    <row r="17" spans="1:7" ht="12.75">
      <c r="A17" s="4"/>
      <c r="B17" s="4"/>
      <c r="C17" s="4"/>
      <c r="D17" s="4"/>
      <c r="E17" s="4"/>
      <c r="F17" s="4"/>
      <c r="G17" s="4"/>
    </row>
    <row r="18" spans="2:7" ht="12.75">
      <c r="B18" s="89"/>
      <c r="C18" s="89"/>
      <c r="D18" s="90"/>
      <c r="E18" s="91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4:7" ht="12.75">
      <c r="D20" s="4"/>
      <c r="E20" s="4"/>
      <c r="F20" s="4"/>
      <c r="G20" s="4"/>
    </row>
    <row r="21" spans="1:5" ht="12.75">
      <c r="A21" s="215" t="s">
        <v>67</v>
      </c>
      <c r="B21" s="215"/>
      <c r="C21" s="215"/>
      <c r="D21" s="215"/>
      <c r="E21" s="215"/>
    </row>
    <row r="22" spans="4:5" ht="12.75">
      <c r="D22" s="1"/>
      <c r="E22" s="1"/>
    </row>
    <row r="23" ht="12.75">
      <c r="A23" s="7" t="s">
        <v>0</v>
      </c>
    </row>
    <row r="25" spans="1:5" ht="12.75">
      <c r="A25" s="1" t="s">
        <v>1</v>
      </c>
      <c r="B25" s="1" t="s">
        <v>2</v>
      </c>
      <c r="C25" s="1" t="s">
        <v>3</v>
      </c>
      <c r="D25" s="1" t="s">
        <v>4</v>
      </c>
      <c r="E25" s="1" t="s">
        <v>95</v>
      </c>
    </row>
    <row r="26" spans="1:5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9</v>
      </c>
    </row>
    <row r="27" spans="1:5" ht="12.75">
      <c r="A27" s="8">
        <f>B27*C27</f>
        <v>390225000</v>
      </c>
      <c r="B27" s="2">
        <v>47300</v>
      </c>
      <c r="C27" s="2">
        <v>8250</v>
      </c>
      <c r="D27" s="8">
        <v>953</v>
      </c>
      <c r="E27" s="8">
        <v>1050</v>
      </c>
    </row>
    <row r="28" ht="12.75">
      <c r="A28" s="9"/>
    </row>
    <row r="29" ht="12.75">
      <c r="A29" s="17" t="s">
        <v>96</v>
      </c>
    </row>
    <row r="30" ht="12.75">
      <c r="A30" s="9"/>
    </row>
    <row r="31" spans="1:6" ht="12.75">
      <c r="A31" s="17" t="s">
        <v>97</v>
      </c>
      <c r="E31" s="7">
        <f>ROUND(A27/(D27*1000000),3)</f>
        <v>0.409</v>
      </c>
      <c r="F31" s="7" t="s">
        <v>98</v>
      </c>
    </row>
    <row r="32" spans="1:6" ht="12.75">
      <c r="A32" s="17"/>
      <c r="E32" s="7"/>
      <c r="F32" s="7"/>
    </row>
    <row r="33" spans="1:6" ht="12.75">
      <c r="A33" s="17" t="s">
        <v>124</v>
      </c>
      <c r="E33" s="7"/>
      <c r="F33" s="7"/>
    </row>
    <row r="34" spans="1:6" ht="12.75">
      <c r="A34" s="17"/>
      <c r="E34" s="7"/>
      <c r="F34" s="7"/>
    </row>
    <row r="35" spans="1:6" ht="15">
      <c r="A35" s="17" t="s">
        <v>125</v>
      </c>
      <c r="D35" s="7">
        <v>0.01</v>
      </c>
      <c r="E35" s="7" t="s">
        <v>127</v>
      </c>
      <c r="F35" s="7"/>
    </row>
    <row r="36" spans="1:6" ht="15">
      <c r="A36" s="17" t="s">
        <v>128</v>
      </c>
      <c r="D36" s="7">
        <v>0.103</v>
      </c>
      <c r="E36" s="7" t="s">
        <v>127</v>
      </c>
      <c r="F36" s="7"/>
    </row>
    <row r="37" spans="1:6" ht="12.75">
      <c r="A37" s="17" t="s">
        <v>129</v>
      </c>
      <c r="E37" s="7"/>
      <c r="F37" s="7"/>
    </row>
    <row r="38" spans="1:6" ht="12.75">
      <c r="A38" s="17" t="s">
        <v>130</v>
      </c>
      <c r="D38" s="7">
        <f>ROUND(D36*55/25,3)</f>
        <v>0.227</v>
      </c>
      <c r="E38" s="7" t="s">
        <v>126</v>
      </c>
      <c r="F38" s="7"/>
    </row>
    <row r="39" spans="1:6" ht="12.75">
      <c r="A39" s="17"/>
      <c r="E39" s="7"/>
      <c r="F39" s="7"/>
    </row>
    <row r="40" spans="1:6" ht="12.75">
      <c r="A40" s="17"/>
      <c r="E40" s="7"/>
      <c r="F40" s="7"/>
    </row>
    <row r="41" spans="1:6" ht="12.75">
      <c r="A41" s="83" t="s">
        <v>85</v>
      </c>
      <c r="B41" s="1" t="s">
        <v>131</v>
      </c>
      <c r="C41" s="1" t="s">
        <v>132</v>
      </c>
      <c r="D41" s="1"/>
      <c r="E41" s="7"/>
      <c r="F41" s="7"/>
    </row>
    <row r="42" spans="1:6" ht="12.75">
      <c r="A42" s="83" t="s">
        <v>86</v>
      </c>
      <c r="B42" s="1" t="s">
        <v>99</v>
      </c>
      <c r="C42" s="1" t="s">
        <v>123</v>
      </c>
      <c r="D42" s="1"/>
      <c r="E42" s="7"/>
      <c r="F42" s="7"/>
    </row>
    <row r="43" spans="1:6" ht="12.75">
      <c r="A43" s="17"/>
      <c r="E43" s="7"/>
      <c r="F43" s="7"/>
    </row>
    <row r="44" spans="1:6" ht="12.75">
      <c r="A44" s="83" t="s">
        <v>87</v>
      </c>
      <c r="B44" s="85">
        <f>D35</f>
        <v>0.01</v>
      </c>
      <c r="C44" s="117">
        <f>ROUND(B44*$E$27,1)</f>
        <v>10.5</v>
      </c>
      <c r="D44" s="1"/>
      <c r="E44" s="7"/>
      <c r="F44" s="7"/>
    </row>
    <row r="45" spans="1:6" ht="12.75">
      <c r="A45" s="83" t="s">
        <v>120</v>
      </c>
      <c r="B45" s="85">
        <f>D36</f>
        <v>0.103</v>
      </c>
      <c r="C45" s="117">
        <f>ROUND(B45*$E$27,1)</f>
        <v>108.2</v>
      </c>
      <c r="D45" s="1"/>
      <c r="E45" s="7"/>
      <c r="F45" s="7"/>
    </row>
    <row r="46" spans="1:6" ht="12.75">
      <c r="A46" s="83" t="s">
        <v>133</v>
      </c>
      <c r="B46" s="85">
        <f>D38</f>
        <v>0.227</v>
      </c>
      <c r="C46" s="117">
        <f>ROUND(B46*$E$27,1)</f>
        <v>238.4</v>
      </c>
      <c r="D46" s="1"/>
      <c r="E46" s="7"/>
      <c r="F46" s="7"/>
    </row>
    <row r="49" spans="1:5" ht="15">
      <c r="A49" s="84" t="s">
        <v>100</v>
      </c>
      <c r="B49" s="12"/>
      <c r="C49" s="10"/>
      <c r="E49" s="11"/>
    </row>
    <row r="50" spans="1:5" ht="15">
      <c r="A50" s="84"/>
      <c r="B50" s="12"/>
      <c r="C50" s="10"/>
      <c r="E50" s="11"/>
    </row>
    <row r="51" spans="1:5" ht="15">
      <c r="A51" s="106"/>
      <c r="B51" s="107" t="s">
        <v>101</v>
      </c>
      <c r="C51" s="10"/>
      <c r="E51" s="11"/>
    </row>
    <row r="52" spans="1:5" ht="15">
      <c r="A52" s="106"/>
      <c r="B52" s="107"/>
      <c r="C52" s="10"/>
      <c r="E52" s="11"/>
    </row>
    <row r="53" spans="1:5" ht="15">
      <c r="A53" s="106"/>
      <c r="B53" s="107"/>
      <c r="C53" s="210" t="s">
        <v>88</v>
      </c>
      <c r="D53" s="211"/>
      <c r="E53" s="11"/>
    </row>
    <row r="54" spans="1:11" ht="12.75">
      <c r="A54" s="7"/>
      <c r="C54" s="7"/>
      <c r="D54" s="7"/>
      <c r="E54" s="7"/>
      <c r="F54" s="7"/>
      <c r="G54" s="7"/>
      <c r="J54" s="4"/>
      <c r="K54" s="12"/>
    </row>
    <row r="55" spans="1:11" ht="15">
      <c r="A55" s="1"/>
      <c r="B55" s="83" t="s">
        <v>10</v>
      </c>
      <c r="C55" s="83" t="s">
        <v>114</v>
      </c>
      <c r="D55" s="1" t="s">
        <v>5</v>
      </c>
      <c r="E55" s="1" t="s">
        <v>13</v>
      </c>
      <c r="F55" s="1"/>
      <c r="G55" s="1"/>
      <c r="J55" s="4"/>
      <c r="K55" s="4"/>
    </row>
    <row r="56" spans="2:7" ht="12.75">
      <c r="B56" s="83"/>
      <c r="C56" s="83" t="s">
        <v>89</v>
      </c>
      <c r="D56" s="1" t="s">
        <v>9</v>
      </c>
      <c r="E56" s="1" t="s">
        <v>102</v>
      </c>
      <c r="F56" s="1"/>
      <c r="G56" s="1"/>
    </row>
    <row r="57" spans="2:7" ht="12.75">
      <c r="B57" s="83"/>
      <c r="C57" s="83"/>
      <c r="D57" s="1"/>
      <c r="E57" s="1"/>
      <c r="F57" s="1"/>
      <c r="G57" s="1"/>
    </row>
    <row r="58" spans="2:7" ht="15">
      <c r="B58" s="108" t="s">
        <v>91</v>
      </c>
      <c r="C58" s="109">
        <v>0.295</v>
      </c>
      <c r="D58" s="108">
        <f>$E$27</f>
        <v>1050</v>
      </c>
      <c r="E58" s="1">
        <f>ROUND(D58*C58,2)</f>
        <v>309.75</v>
      </c>
      <c r="F58" s="1"/>
      <c r="G58" s="1"/>
    </row>
    <row r="59" spans="2:7" ht="12.75">
      <c r="B59" s="108" t="s">
        <v>12</v>
      </c>
      <c r="C59" s="109">
        <v>0.177</v>
      </c>
      <c r="D59" s="108">
        <f>$E$27</f>
        <v>1050</v>
      </c>
      <c r="E59" s="1">
        <f>ROUND(D59*C59,2)</f>
        <v>185.85</v>
      </c>
      <c r="F59" s="1"/>
      <c r="G59" s="1"/>
    </row>
    <row r="60" spans="2:7" ht="12.75">
      <c r="B60" s="108"/>
      <c r="C60" s="109"/>
      <c r="D60" s="108"/>
      <c r="E60" s="1"/>
      <c r="F60" s="1"/>
      <c r="G60" s="1"/>
    </row>
    <row r="61" spans="2:7" ht="12.75">
      <c r="B61" s="108"/>
      <c r="C61" s="109"/>
      <c r="D61" s="108"/>
      <c r="E61" s="1"/>
      <c r="F61" s="1"/>
      <c r="G61" s="1"/>
    </row>
    <row r="62" spans="2:7" ht="12.75">
      <c r="B62" s="108"/>
      <c r="C62" s="207" t="s">
        <v>135</v>
      </c>
      <c r="D62" s="207"/>
      <c r="E62" s="1"/>
      <c r="F62" s="1"/>
      <c r="G62" s="1"/>
    </row>
    <row r="63" spans="2:7" ht="15">
      <c r="B63" s="83" t="s">
        <v>10</v>
      </c>
      <c r="C63" s="83" t="s">
        <v>114</v>
      </c>
      <c r="D63" s="1" t="s">
        <v>5</v>
      </c>
      <c r="E63" s="1" t="s">
        <v>13</v>
      </c>
      <c r="F63" s="1"/>
      <c r="G63" s="1"/>
    </row>
    <row r="64" spans="2:7" ht="12.75">
      <c r="B64" s="83"/>
      <c r="C64" s="83" t="s">
        <v>89</v>
      </c>
      <c r="D64" s="1" t="s">
        <v>9</v>
      </c>
      <c r="E64" s="1" t="s">
        <v>102</v>
      </c>
      <c r="F64" s="1"/>
      <c r="G64" s="1"/>
    </row>
    <row r="65" spans="2:7" ht="12.75">
      <c r="B65" s="108"/>
      <c r="C65" s="109"/>
      <c r="D65" s="108"/>
      <c r="E65" s="1"/>
      <c r="F65" s="1"/>
      <c r="G65" s="1"/>
    </row>
    <row r="66" spans="2:7" ht="15">
      <c r="B66" s="108" t="s">
        <v>91</v>
      </c>
      <c r="C66" s="109">
        <f>C102</f>
        <v>0.0936</v>
      </c>
      <c r="D66" s="108">
        <f>$E$27</f>
        <v>1050</v>
      </c>
      <c r="E66" s="1">
        <v>98.28</v>
      </c>
      <c r="F66" s="1"/>
      <c r="G66" s="1"/>
    </row>
    <row r="67" spans="2:7" ht="12.75">
      <c r="B67" s="108" t="s">
        <v>12</v>
      </c>
      <c r="C67" s="109">
        <v>0.0334</v>
      </c>
      <c r="D67" s="108">
        <f>$E$27</f>
        <v>1050</v>
      </c>
      <c r="E67" s="1">
        <f>ROUND(D67*C67,2)</f>
        <v>35.07</v>
      </c>
      <c r="F67" s="1"/>
      <c r="G67" s="1"/>
    </row>
    <row r="68" spans="2:7" ht="12.75">
      <c r="B68" s="108"/>
      <c r="C68" s="109"/>
      <c r="D68" s="108"/>
      <c r="E68" s="1"/>
      <c r="F68" s="1"/>
      <c r="G68" s="1"/>
    </row>
    <row r="69" spans="1:7" ht="12.75">
      <c r="A69" s="207" t="s">
        <v>134</v>
      </c>
      <c r="B69" s="208"/>
      <c r="C69" s="208"/>
      <c r="D69" s="208"/>
      <c r="E69" s="208"/>
      <c r="F69" s="208"/>
      <c r="G69" s="1"/>
    </row>
    <row r="70" spans="1:7" ht="12.75">
      <c r="A70" s="7" t="s">
        <v>71</v>
      </c>
      <c r="D70" s="4"/>
      <c r="E70" s="4"/>
      <c r="F70" s="1"/>
      <c r="G70" s="1"/>
    </row>
    <row r="71" spans="4:7" ht="12.75">
      <c r="D71" s="4"/>
      <c r="E71" s="4"/>
      <c r="F71" s="1"/>
      <c r="G71" s="1"/>
    </row>
    <row r="72" spans="2:7" ht="15">
      <c r="B72" s="78" t="s">
        <v>72</v>
      </c>
      <c r="C72" s="78" t="s">
        <v>115</v>
      </c>
      <c r="D72" s="92" t="s">
        <v>66</v>
      </c>
      <c r="E72" s="91" t="s">
        <v>73</v>
      </c>
      <c r="F72" s="1"/>
      <c r="G72" s="1"/>
    </row>
    <row r="73" spans="2:7" ht="12.75">
      <c r="B73" s="89" t="s">
        <v>74</v>
      </c>
      <c r="C73" s="89">
        <v>94</v>
      </c>
      <c r="D73" s="90">
        <v>16</v>
      </c>
      <c r="E73" s="91">
        <f>ROUND(C73*D73/100,1)</f>
        <v>15</v>
      </c>
      <c r="F73" s="1"/>
      <c r="G73" s="1"/>
    </row>
    <row r="74" spans="2:7" ht="12.75">
      <c r="B74" s="89" t="s">
        <v>75</v>
      </c>
      <c r="C74" s="89">
        <v>3</v>
      </c>
      <c r="D74" s="90">
        <v>30</v>
      </c>
      <c r="E74" s="91">
        <f>ROUND(C74*D74/100,1)</f>
        <v>0.9</v>
      </c>
      <c r="F74" s="1"/>
      <c r="G74" s="1"/>
    </row>
    <row r="75" spans="2:7" ht="12.75">
      <c r="B75" s="89" t="s">
        <v>76</v>
      </c>
      <c r="C75" s="89">
        <v>2</v>
      </c>
      <c r="D75" s="90">
        <v>44</v>
      </c>
      <c r="E75" s="91">
        <f>ROUND(C75*D75/100,1)</f>
        <v>0.9</v>
      </c>
      <c r="F75" s="1"/>
      <c r="G75" s="1"/>
    </row>
    <row r="76" spans="2:7" ht="15">
      <c r="B76" s="89" t="s">
        <v>78</v>
      </c>
      <c r="C76" s="89">
        <v>1</v>
      </c>
      <c r="D76" s="90">
        <v>44</v>
      </c>
      <c r="E76" s="91">
        <f>ROUND(C76*D76/100,1)</f>
        <v>0.4</v>
      </c>
      <c r="F76" s="1"/>
      <c r="G76" s="1"/>
    </row>
    <row r="77" spans="2:7" ht="12.75">
      <c r="B77" s="89"/>
      <c r="C77" s="89"/>
      <c r="D77" s="90"/>
      <c r="E77" s="91"/>
      <c r="F77" s="1"/>
      <c r="G77" s="1"/>
    </row>
    <row r="78" spans="2:7" ht="12.75">
      <c r="B78" s="1" t="s">
        <v>77</v>
      </c>
      <c r="C78" s="2"/>
      <c r="D78" s="55"/>
      <c r="E78" s="12">
        <f>SUM(E73:E77)</f>
        <v>17.2</v>
      </c>
      <c r="F78" s="1"/>
      <c r="G78" s="1"/>
    </row>
    <row r="79" spans="2:7" ht="12.75">
      <c r="B79" s="1"/>
      <c r="C79" s="2"/>
      <c r="D79" s="55"/>
      <c r="E79" s="12"/>
      <c r="F79" s="1"/>
      <c r="G79" s="1"/>
    </row>
    <row r="80" spans="1:5" ht="15">
      <c r="A80" s="7" t="s">
        <v>83</v>
      </c>
      <c r="B80" s="7"/>
      <c r="C80" s="7"/>
      <c r="D80" s="7"/>
      <c r="E80" s="7"/>
    </row>
    <row r="82" spans="1:5" ht="15">
      <c r="A82" s="84" t="s">
        <v>116</v>
      </c>
      <c r="B82" s="12"/>
      <c r="C82" s="10"/>
      <c r="E82" s="11"/>
    </row>
    <row r="83" spans="1:8" ht="12.75">
      <c r="A83" s="83"/>
      <c r="B83" s="12"/>
      <c r="C83" s="209" t="s">
        <v>70</v>
      </c>
      <c r="D83" s="209"/>
      <c r="E83" s="11"/>
      <c r="F83" s="11"/>
      <c r="G83" s="11"/>
      <c r="H83" s="11"/>
    </row>
    <row r="84" spans="1:8" ht="12.75">
      <c r="A84" s="83"/>
      <c r="C84" s="11"/>
      <c r="D84" s="11"/>
      <c r="E84" s="11"/>
      <c r="F84" s="11"/>
      <c r="G84" s="11"/>
      <c r="H84" s="11"/>
    </row>
    <row r="85" spans="1:8" ht="12.75">
      <c r="A85" s="83"/>
      <c r="B85" s="7"/>
      <c r="C85" s="7"/>
      <c r="D85" s="7"/>
      <c r="E85" s="7"/>
      <c r="F85" s="11"/>
      <c r="G85" s="11"/>
      <c r="H85" s="11"/>
    </row>
    <row r="86" spans="1:7" ht="16.5">
      <c r="A86" s="84" t="s">
        <v>79</v>
      </c>
      <c r="B86" s="7"/>
      <c r="C86" s="7"/>
      <c r="D86" s="7"/>
      <c r="E86" s="7"/>
      <c r="F86" s="1"/>
      <c r="G86" s="1"/>
    </row>
    <row r="87" spans="1:7" ht="12.75">
      <c r="A87" s="83"/>
      <c r="B87" s="7"/>
      <c r="C87" s="7"/>
      <c r="D87" s="7"/>
      <c r="E87" s="7"/>
      <c r="F87" s="1"/>
      <c r="G87" s="1"/>
    </row>
    <row r="88" spans="1:7" ht="12.75">
      <c r="A88" s="83"/>
      <c r="B88" s="7"/>
      <c r="C88" s="7"/>
      <c r="D88" s="7"/>
      <c r="E88" s="7"/>
      <c r="F88" s="1"/>
      <c r="G88" s="1"/>
    </row>
    <row r="89" spans="1:7" ht="12.75">
      <c r="A89" s="83"/>
      <c r="B89" s="7"/>
      <c r="C89" s="7"/>
      <c r="D89" s="7"/>
      <c r="E89" s="7"/>
      <c r="F89" s="1"/>
      <c r="G89" s="1"/>
    </row>
    <row r="90" spans="1:7" ht="12.75">
      <c r="A90" s="1" t="s">
        <v>10</v>
      </c>
      <c r="B90" s="83" t="s">
        <v>63</v>
      </c>
      <c r="C90" s="83" t="s">
        <v>65</v>
      </c>
      <c r="D90" s="1" t="s">
        <v>61</v>
      </c>
      <c r="E90" s="1" t="s">
        <v>66</v>
      </c>
      <c r="F90" s="1"/>
      <c r="G90" s="1" t="s">
        <v>11</v>
      </c>
    </row>
    <row r="91" spans="2:7" ht="12.75">
      <c r="B91" s="83" t="s">
        <v>64</v>
      </c>
      <c r="C91" s="83" t="s">
        <v>62</v>
      </c>
      <c r="D91" s="1" t="s">
        <v>20</v>
      </c>
      <c r="E91" s="1" t="s">
        <v>60</v>
      </c>
      <c r="F91" s="1"/>
      <c r="G91" s="1" t="s">
        <v>15</v>
      </c>
    </row>
    <row r="92" spans="1:7" ht="15">
      <c r="A92" s="11" t="s">
        <v>184</v>
      </c>
      <c r="B92" s="2">
        <v>15</v>
      </c>
      <c r="C92" s="83">
        <f>8710*20.9/(20.9-B92)</f>
        <v>30854.067796610176</v>
      </c>
      <c r="D92" s="2">
        <v>25</v>
      </c>
      <c r="E92" s="86">
        <v>46</v>
      </c>
      <c r="F92" s="85"/>
      <c r="G92" s="1">
        <f>ROUND(C92*D92*E92/(1000000*379),4)</f>
        <v>0.0936</v>
      </c>
    </row>
    <row r="93" spans="1:7" ht="15">
      <c r="A93" s="11" t="s">
        <v>185</v>
      </c>
      <c r="B93" s="2">
        <v>15</v>
      </c>
      <c r="C93" s="83">
        <f>8710*20.9/(20.9-B93)</f>
        <v>30854.067796610176</v>
      </c>
      <c r="D93" s="2">
        <v>5</v>
      </c>
      <c r="E93" s="86">
        <v>46</v>
      </c>
      <c r="F93" s="85"/>
      <c r="G93" s="1">
        <f>ROUND(C93*D93*E93/(1000000*379),4)</f>
        <v>0.0187</v>
      </c>
    </row>
    <row r="94" spans="1:7" ht="12.75">
      <c r="A94" t="s">
        <v>12</v>
      </c>
      <c r="B94" s="2">
        <v>15</v>
      </c>
      <c r="C94" s="83">
        <f>8710*20.9/(20.9-B94)</f>
        <v>30854.067796610176</v>
      </c>
      <c r="D94" s="2">
        <v>6</v>
      </c>
      <c r="E94" s="86">
        <v>28</v>
      </c>
      <c r="F94" s="85"/>
      <c r="G94" s="1">
        <f>ROUND(C94*D94*E94/(1000000*379),4)</f>
        <v>0.0137</v>
      </c>
    </row>
    <row r="95" spans="1:7" ht="15">
      <c r="A95" t="s">
        <v>17</v>
      </c>
      <c r="B95" s="2">
        <v>15</v>
      </c>
      <c r="C95" s="83">
        <f>8710*20.9/(20.9-B95)</f>
        <v>30854.067796610176</v>
      </c>
      <c r="D95" s="2">
        <v>2</v>
      </c>
      <c r="E95" s="86">
        <v>16</v>
      </c>
      <c r="F95" s="85"/>
      <c r="G95" s="1">
        <f>ROUND(C95*D95*E95/(1000000*379),4)</f>
        <v>0.0026</v>
      </c>
    </row>
    <row r="96" spans="1:7" ht="15">
      <c r="A96" t="s">
        <v>16</v>
      </c>
      <c r="B96" s="2">
        <v>15</v>
      </c>
      <c r="C96" s="83">
        <f>8710*20.9/(20.9-B96)</f>
        <v>30854.067796610176</v>
      </c>
      <c r="D96" s="2">
        <v>5</v>
      </c>
      <c r="E96" s="86">
        <v>17</v>
      </c>
      <c r="F96" s="85"/>
      <c r="G96" s="1">
        <f>ROUND(C96*D96*E96/(1000000*379),4)</f>
        <v>0.0069</v>
      </c>
    </row>
    <row r="97" spans="2:7" ht="12.75">
      <c r="B97" s="108"/>
      <c r="C97" s="109"/>
      <c r="D97" s="108"/>
      <c r="E97" s="1"/>
      <c r="F97" s="1"/>
      <c r="G97" s="1"/>
    </row>
    <row r="98" ht="12.75">
      <c r="A98" s="7" t="s">
        <v>26</v>
      </c>
    </row>
    <row r="99" spans="1:5" ht="12.75">
      <c r="A99" s="14"/>
      <c r="B99" s="14"/>
      <c r="C99" s="14"/>
      <c r="D99" s="14"/>
      <c r="E99" s="14"/>
    </row>
    <row r="100" spans="2:6" ht="12.75">
      <c r="B100" s="1" t="s">
        <v>10</v>
      </c>
      <c r="C100" s="1" t="s">
        <v>11</v>
      </c>
      <c r="D100" s="1" t="s">
        <v>5</v>
      </c>
      <c r="E100" s="1" t="s">
        <v>13</v>
      </c>
      <c r="F100" s="1"/>
    </row>
    <row r="101" spans="2:6" ht="12.75">
      <c r="B101" s="1"/>
      <c r="C101" s="1" t="s">
        <v>15</v>
      </c>
      <c r="D101" s="1" t="s">
        <v>9</v>
      </c>
      <c r="E101" s="1" t="s">
        <v>14</v>
      </c>
      <c r="F101" s="1"/>
    </row>
    <row r="102" spans="2:5" ht="15">
      <c r="B102" s="11" t="s">
        <v>187</v>
      </c>
      <c r="C102" s="13">
        <f>G92</f>
        <v>0.0936</v>
      </c>
      <c r="D102" s="2">
        <v>1050</v>
      </c>
      <c r="E102" s="15">
        <f>ROUND(D102*C102,2)</f>
        <v>98.28</v>
      </c>
    </row>
    <row r="103" spans="2:6" ht="15">
      <c r="B103" s="11" t="s">
        <v>188</v>
      </c>
      <c r="C103" s="13">
        <f>G93</f>
        <v>0.0187</v>
      </c>
      <c r="D103" s="2">
        <v>1050</v>
      </c>
      <c r="E103" s="15">
        <f>ROUND(D103*C103,2)</f>
        <v>19.64</v>
      </c>
      <c r="F103" s="15"/>
    </row>
    <row r="104" spans="2:6" ht="12.75">
      <c r="B104" s="11" t="s">
        <v>12</v>
      </c>
      <c r="C104" s="13">
        <f>G94</f>
        <v>0.0137</v>
      </c>
      <c r="D104" s="2">
        <v>1050</v>
      </c>
      <c r="E104" s="15">
        <f>ROUND(D104*C104,2)</f>
        <v>14.39</v>
      </c>
      <c r="F104" s="15"/>
    </row>
    <row r="105" spans="2:6" ht="15">
      <c r="B105" s="11" t="s">
        <v>21</v>
      </c>
      <c r="C105" s="13">
        <f>G95</f>
        <v>0.0026</v>
      </c>
      <c r="D105" s="2">
        <v>1050</v>
      </c>
      <c r="E105" s="15">
        <f>ROUND(D105*C105,2)</f>
        <v>2.73</v>
      </c>
      <c r="F105" s="15"/>
    </row>
    <row r="106" spans="2:6" ht="15">
      <c r="B106" s="11" t="s">
        <v>16</v>
      </c>
      <c r="C106" s="13">
        <f>G96</f>
        <v>0.0069</v>
      </c>
      <c r="D106" s="2">
        <v>1050</v>
      </c>
      <c r="E106" s="15">
        <f>ROUND(D106*C106,2)</f>
        <v>7.25</v>
      </c>
      <c r="F106" s="15"/>
    </row>
    <row r="107" spans="2:6" ht="12.75">
      <c r="B107" s="11"/>
      <c r="C107" s="13"/>
      <c r="D107" s="2"/>
      <c r="E107" s="15"/>
      <c r="F107" s="15"/>
    </row>
    <row r="108" spans="1:6" ht="15">
      <c r="A108" s="7" t="s">
        <v>103</v>
      </c>
      <c r="B108" s="7"/>
      <c r="C108" s="16"/>
      <c r="D108" s="1"/>
      <c r="E108" s="15"/>
      <c r="F108" s="15"/>
    </row>
    <row r="109" spans="1:6" ht="12.75">
      <c r="A109" s="7"/>
      <c r="B109" s="7"/>
      <c r="C109" s="16"/>
      <c r="D109" s="1"/>
      <c r="E109" s="15"/>
      <c r="F109" s="15"/>
    </row>
    <row r="110" spans="1:6" ht="12.75">
      <c r="A110" s="7"/>
      <c r="B110" s="7" t="s">
        <v>10</v>
      </c>
      <c r="C110" s="16" t="s">
        <v>22</v>
      </c>
      <c r="D110" s="1" t="s">
        <v>5</v>
      </c>
      <c r="E110" s="16" t="s">
        <v>22</v>
      </c>
      <c r="F110" s="15" t="s">
        <v>23</v>
      </c>
    </row>
    <row r="111" spans="1:6" ht="12.75">
      <c r="A111" s="7"/>
      <c r="B111" s="7"/>
      <c r="C111" s="16" t="s">
        <v>3</v>
      </c>
      <c r="D111" s="1" t="s">
        <v>9</v>
      </c>
      <c r="E111" s="16" t="s">
        <v>3</v>
      </c>
      <c r="F111" s="15"/>
    </row>
    <row r="112" spans="2:6" ht="12.75">
      <c r="B112" s="11"/>
      <c r="C112" s="16" t="s">
        <v>15</v>
      </c>
      <c r="D112" s="2"/>
      <c r="E112" s="16" t="s">
        <v>14</v>
      </c>
      <c r="F112" s="15" t="s">
        <v>24</v>
      </c>
    </row>
    <row r="113" spans="2:6" ht="12.75">
      <c r="B113" s="11"/>
      <c r="C113" s="16"/>
      <c r="D113" s="2"/>
      <c r="E113" s="15"/>
      <c r="F113" s="15"/>
    </row>
    <row r="114" spans="2:6" ht="15">
      <c r="B114" s="11" t="s">
        <v>117</v>
      </c>
      <c r="C114" s="2">
        <v>0.0066</v>
      </c>
      <c r="D114" s="2">
        <v>1050</v>
      </c>
      <c r="E114" s="15">
        <f>ROUND(D114*C114,2)</f>
        <v>6.93</v>
      </c>
      <c r="F114" s="80" t="s">
        <v>25</v>
      </c>
    </row>
    <row r="115" spans="2:6" ht="16.5">
      <c r="B115" s="11" t="s">
        <v>57</v>
      </c>
      <c r="C115" s="2" t="s">
        <v>27</v>
      </c>
      <c r="D115" s="2">
        <v>1050</v>
      </c>
      <c r="E115" s="15">
        <f>ROUND(D115*0.94*F115,2)</f>
        <v>1.48</v>
      </c>
      <c r="F115" s="81">
        <f>+F123</f>
        <v>0.0015</v>
      </c>
    </row>
    <row r="118" ht="12.75">
      <c r="A118" s="7" t="s">
        <v>58</v>
      </c>
    </row>
    <row r="120" ht="15">
      <c r="B120" s="7" t="s">
        <v>59</v>
      </c>
    </row>
    <row r="122" spans="2:6" ht="28.5">
      <c r="B122" s="78"/>
      <c r="C122" s="79" t="s">
        <v>118</v>
      </c>
      <c r="D122" s="79" t="s">
        <v>56</v>
      </c>
      <c r="E122" s="77" t="s">
        <v>186</v>
      </c>
      <c r="F122" s="78" t="s">
        <v>55</v>
      </c>
    </row>
    <row r="123" spans="2:6" ht="12.75">
      <c r="B123" s="1"/>
      <c r="C123" s="2">
        <v>8</v>
      </c>
      <c r="D123" s="2">
        <v>32</v>
      </c>
      <c r="E123" s="2">
        <f>E78</f>
        <v>17.2</v>
      </c>
      <c r="F123" s="1">
        <f>ROUND((C123*D123*100)/(E123*1000000),4)</f>
        <v>0.0015</v>
      </c>
    </row>
    <row r="124" spans="2:6" ht="12.75">
      <c r="B124" s="11"/>
      <c r="C124" s="16"/>
      <c r="D124" s="2"/>
      <c r="E124" s="15"/>
      <c r="F124" s="15"/>
    </row>
    <row r="125" spans="2:6" ht="12.75">
      <c r="B125" s="11"/>
      <c r="C125" s="2"/>
      <c r="D125" s="2"/>
      <c r="E125" s="15"/>
      <c r="F125" s="81"/>
    </row>
    <row r="129" ht="12.75">
      <c r="A129" s="11" t="s">
        <v>80</v>
      </c>
    </row>
    <row r="130" ht="12.75">
      <c r="A130" s="11" t="s">
        <v>90</v>
      </c>
    </row>
    <row r="131" ht="12.75">
      <c r="A131" s="11" t="s">
        <v>145</v>
      </c>
    </row>
    <row r="132" ht="12.75">
      <c r="A132" s="11" t="s">
        <v>110</v>
      </c>
    </row>
    <row r="133" ht="12.75">
      <c r="A133" s="11" t="s">
        <v>111</v>
      </c>
    </row>
    <row r="134" ht="12.75">
      <c r="A134" s="11" t="s">
        <v>112</v>
      </c>
    </row>
    <row r="135" ht="12.75">
      <c r="A135" s="11" t="s">
        <v>108</v>
      </c>
    </row>
    <row r="136" ht="12.75">
      <c r="A136" s="11" t="s">
        <v>189</v>
      </c>
    </row>
    <row r="137" ht="12.75">
      <c r="A137" s="11" t="s">
        <v>113</v>
      </c>
    </row>
    <row r="138" spans="1:7" ht="12.75">
      <c r="A138" s="11" t="s">
        <v>81</v>
      </c>
      <c r="B138" s="1"/>
      <c r="C138" s="1"/>
      <c r="D138" s="1"/>
      <c r="E138" s="1"/>
      <c r="F138" s="2"/>
      <c r="G138" s="2"/>
    </row>
    <row r="139" spans="1:7" ht="12.75">
      <c r="A139" s="11"/>
      <c r="F139" s="2"/>
      <c r="G139" s="2"/>
    </row>
    <row r="140" spans="2:5" ht="12.75">
      <c r="B140" s="7"/>
      <c r="C140" s="15"/>
      <c r="D140" s="13"/>
      <c r="E140" s="2"/>
    </row>
    <row r="141" spans="2:5" ht="12.75">
      <c r="B141" s="7"/>
      <c r="C141" s="15"/>
      <c r="D141" s="13"/>
      <c r="E141" s="2"/>
    </row>
    <row r="142" spans="2:5" ht="12.75">
      <c r="B142" s="7"/>
      <c r="C142" s="15"/>
      <c r="D142" s="13"/>
      <c r="E142" s="2"/>
    </row>
    <row r="143" spans="2:5" ht="12.75">
      <c r="B143" s="7"/>
      <c r="C143" s="15"/>
      <c r="D143" s="13"/>
      <c r="E143" s="2"/>
    </row>
    <row r="144" spans="2:5" ht="12.75">
      <c r="B144" s="7"/>
      <c r="C144" s="15"/>
      <c r="D144" s="2"/>
      <c r="E144" s="2"/>
    </row>
    <row r="145" spans="2:5" ht="12.75">
      <c r="B145" s="7"/>
      <c r="C145" s="15"/>
      <c r="D145" s="2"/>
      <c r="E145" s="2"/>
    </row>
  </sheetData>
  <sheetProtection/>
  <mergeCells count="9">
    <mergeCell ref="A69:F69"/>
    <mergeCell ref="C83:D83"/>
    <mergeCell ref="C53:D53"/>
    <mergeCell ref="C62:D62"/>
    <mergeCell ref="A1:G1"/>
    <mergeCell ref="A21:E21"/>
    <mergeCell ref="A2:G2"/>
    <mergeCell ref="A3:G3"/>
    <mergeCell ref="A4:G4"/>
  </mergeCells>
  <printOptions horizontalCentered="1"/>
  <pageMargins left="0.75" right="0.75" top="0.69" bottom="0.65" header="0.5" footer="0.29"/>
  <pageSetup fitToHeight="3" horizontalDpi="600" verticalDpi="600" orientation="portrait" scale="82" r:id="rId2"/>
  <headerFooter alignWithMargins="0">
    <oddFooter>&amp;L&amp;8K:\REPORTS\r1350\valley\&amp;F\&amp;A&amp;C&amp;P of &amp;N&amp;R&amp;6&amp;D</oddFooter>
  </headerFooter>
  <rowBreaks count="1" manualBreakCount="1">
    <brk id="1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49">
      <selection activeCell="F54" sqref="F54"/>
    </sheetView>
  </sheetViews>
  <sheetFormatPr defaultColWidth="9.140625" defaultRowHeight="12.75"/>
  <cols>
    <col min="1" max="1" width="15.8515625" style="0" customWidth="1"/>
    <col min="2" max="7" width="13.7109375" style="0" customWidth="1"/>
    <col min="8" max="8" width="13.140625" style="0" bestFit="1" customWidth="1"/>
  </cols>
  <sheetData>
    <row r="1" spans="1:8" ht="17.25">
      <c r="A1" s="212" t="s">
        <v>176</v>
      </c>
      <c r="B1" s="213"/>
      <c r="C1" s="213"/>
      <c r="D1" s="213"/>
      <c r="E1" s="213"/>
      <c r="F1" s="213"/>
      <c r="G1" s="213"/>
      <c r="H1" s="214"/>
    </row>
    <row r="2" spans="1:8" ht="17.25">
      <c r="A2" s="216" t="s">
        <v>197</v>
      </c>
      <c r="B2" s="217"/>
      <c r="C2" s="217"/>
      <c r="D2" s="217"/>
      <c r="E2" s="217"/>
      <c r="F2" s="217"/>
      <c r="G2" s="217"/>
      <c r="H2" s="218"/>
    </row>
    <row r="3" spans="1:8" ht="17.25">
      <c r="A3" s="216" t="s">
        <v>198</v>
      </c>
      <c r="B3" s="217"/>
      <c r="C3" s="217"/>
      <c r="D3" s="217"/>
      <c r="E3" s="217"/>
      <c r="F3" s="217"/>
      <c r="G3" s="217"/>
      <c r="H3" s="218"/>
    </row>
    <row r="4" spans="1:8" ht="13.5" thickBot="1">
      <c r="A4" s="119"/>
      <c r="B4" s="120"/>
      <c r="C4" s="120"/>
      <c r="D4" s="120"/>
      <c r="E4" s="120"/>
      <c r="F4" s="120"/>
      <c r="G4" s="120"/>
      <c r="H4" s="105"/>
    </row>
    <row r="5" spans="1:8" ht="12.75">
      <c r="A5" s="121"/>
      <c r="B5" s="122"/>
      <c r="C5" s="122"/>
      <c r="D5" s="122"/>
      <c r="E5" s="122"/>
      <c r="F5" s="122"/>
      <c r="G5" s="122"/>
      <c r="H5" s="123"/>
    </row>
    <row r="6" spans="1:8" ht="15">
      <c r="A6" s="124" t="s">
        <v>199</v>
      </c>
      <c r="B6" s="125"/>
      <c r="C6" s="125"/>
      <c r="D6" s="125"/>
      <c r="E6" s="125"/>
      <c r="F6" s="125"/>
      <c r="G6" s="125"/>
      <c r="H6" s="87"/>
    </row>
    <row r="7" spans="1:8" ht="15">
      <c r="A7" s="3" t="s">
        <v>18</v>
      </c>
      <c r="B7" s="125"/>
      <c r="C7" s="125"/>
      <c r="D7" s="125"/>
      <c r="E7" s="125"/>
      <c r="F7" s="125"/>
      <c r="G7" s="125"/>
      <c r="H7" s="87"/>
    </row>
    <row r="8" spans="1:8" ht="15">
      <c r="A8" s="3" t="s">
        <v>192</v>
      </c>
      <c r="B8" s="125"/>
      <c r="C8" s="125"/>
      <c r="D8" s="125"/>
      <c r="E8" s="125"/>
      <c r="F8" s="125"/>
      <c r="G8" s="125"/>
      <c r="H8" s="87"/>
    </row>
    <row r="9" spans="1:8" ht="15">
      <c r="A9" s="3" t="s">
        <v>138</v>
      </c>
      <c r="B9" s="125"/>
      <c r="C9" s="125"/>
      <c r="D9" s="125"/>
      <c r="E9" s="125"/>
      <c r="F9" s="125"/>
      <c r="G9" s="125"/>
      <c r="H9" s="87"/>
    </row>
    <row r="10" spans="1:8" ht="15">
      <c r="A10" s="3" t="s">
        <v>193</v>
      </c>
      <c r="B10" s="125"/>
      <c r="C10" s="125"/>
      <c r="D10" s="125"/>
      <c r="E10" s="125"/>
      <c r="F10" s="125"/>
      <c r="G10" s="125"/>
      <c r="H10" s="87"/>
    </row>
    <row r="11" spans="1:8" ht="15">
      <c r="A11" s="124" t="s">
        <v>170</v>
      </c>
      <c r="B11" s="125"/>
      <c r="C11" s="125"/>
      <c r="D11" s="125"/>
      <c r="E11" s="125"/>
      <c r="F11" s="125"/>
      <c r="G11" s="125"/>
      <c r="H11" s="87"/>
    </row>
    <row r="12" spans="1:8" ht="13.5" thickBot="1">
      <c r="A12" s="126"/>
      <c r="B12" s="127"/>
      <c r="C12" s="127"/>
      <c r="D12" s="127"/>
      <c r="E12" s="127"/>
      <c r="F12" s="127"/>
      <c r="G12" s="127"/>
      <c r="H12" s="88"/>
    </row>
    <row r="13" spans="1:7" ht="12.75">
      <c r="A13" s="4"/>
      <c r="B13" s="4"/>
      <c r="C13" s="4"/>
      <c r="D13" s="4"/>
      <c r="E13" s="4"/>
      <c r="F13" s="4"/>
      <c r="G13" s="4"/>
    </row>
    <row r="14" spans="4:7" ht="12.75">
      <c r="D14" s="4"/>
      <c r="E14" s="4"/>
      <c r="F14" s="4"/>
      <c r="G14" s="4"/>
    </row>
    <row r="15" spans="1:5" ht="12.75">
      <c r="A15" s="215" t="s">
        <v>67</v>
      </c>
      <c r="B15" s="215"/>
      <c r="C15" s="215"/>
      <c r="D15" s="215"/>
      <c r="E15" s="215"/>
    </row>
    <row r="16" spans="4:5" ht="12.75">
      <c r="D16" s="1"/>
      <c r="E16" s="1"/>
    </row>
    <row r="17" ht="12.75">
      <c r="A17" s="7" t="s">
        <v>0</v>
      </c>
    </row>
    <row r="19" spans="1:5" ht="12.75">
      <c r="A19" s="1" t="s">
        <v>1</v>
      </c>
      <c r="B19" s="1" t="s">
        <v>2</v>
      </c>
      <c r="C19" s="1" t="s">
        <v>3</v>
      </c>
      <c r="D19" s="1" t="s">
        <v>4</v>
      </c>
      <c r="E19" s="1" t="s">
        <v>5</v>
      </c>
    </row>
    <row r="20" spans="1:5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9</v>
      </c>
    </row>
    <row r="21" spans="1:5" ht="12.75">
      <c r="A21" s="8">
        <f>B21*C21</f>
        <v>390225000</v>
      </c>
      <c r="B21" s="8">
        <v>47300</v>
      </c>
      <c r="C21" s="8">
        <v>8250</v>
      </c>
      <c r="D21" s="8">
        <v>953</v>
      </c>
      <c r="E21" s="8">
        <v>1050</v>
      </c>
    </row>
    <row r="22" ht="12.75">
      <c r="A22" s="9"/>
    </row>
    <row r="23" ht="12.75">
      <c r="A23" s="17" t="s">
        <v>177</v>
      </c>
    </row>
    <row r="24" spans="1:6" ht="12.75">
      <c r="A24" s="17" t="s">
        <v>97</v>
      </c>
      <c r="E24" s="7">
        <f>ROUND(A21/(D21*1000000),3)</f>
        <v>0.409</v>
      </c>
      <c r="F24" s="7" t="s">
        <v>98</v>
      </c>
    </row>
    <row r="25" spans="1:6" ht="12.75">
      <c r="A25" s="17"/>
      <c r="E25" s="7"/>
      <c r="F25" s="7"/>
    </row>
    <row r="26" spans="1:6" ht="12.75">
      <c r="A26" s="17" t="s">
        <v>124</v>
      </c>
      <c r="E26" s="7"/>
      <c r="F26" s="7"/>
    </row>
    <row r="27" spans="1:6" ht="12.75">
      <c r="A27" s="17"/>
      <c r="E27" s="7"/>
      <c r="F27" s="7"/>
    </row>
    <row r="28" spans="1:6" ht="15">
      <c r="A28" s="17" t="s">
        <v>125</v>
      </c>
      <c r="D28" s="7">
        <v>0.01</v>
      </c>
      <c r="E28" s="7" t="s">
        <v>127</v>
      </c>
      <c r="F28" s="7"/>
    </row>
    <row r="29" spans="1:6" ht="15">
      <c r="A29" s="17" t="s">
        <v>128</v>
      </c>
      <c r="D29" s="7">
        <v>0.103</v>
      </c>
      <c r="E29" s="7" t="s">
        <v>127</v>
      </c>
      <c r="F29" s="7"/>
    </row>
    <row r="30" spans="1:6" ht="12.75">
      <c r="A30" s="17" t="s">
        <v>129</v>
      </c>
      <c r="E30" s="7"/>
      <c r="F30" s="7"/>
    </row>
    <row r="31" spans="1:6" ht="12.75">
      <c r="A31" s="17" t="s">
        <v>130</v>
      </c>
      <c r="D31" s="7">
        <f>ROUND(D29*55/25,3)</f>
        <v>0.227</v>
      </c>
      <c r="E31" s="7" t="s">
        <v>126</v>
      </c>
      <c r="F31" s="7"/>
    </row>
    <row r="32" spans="1:6" ht="12.75">
      <c r="A32" s="17"/>
      <c r="D32" s="7"/>
      <c r="E32" s="7"/>
      <c r="F32" s="7"/>
    </row>
    <row r="33" spans="1:6" ht="12.75">
      <c r="A33" s="83" t="s">
        <v>85</v>
      </c>
      <c r="B33" s="1" t="s">
        <v>131</v>
      </c>
      <c r="C33" s="1" t="s">
        <v>132</v>
      </c>
      <c r="D33" s="1"/>
      <c r="E33" s="7"/>
      <c r="F33" s="7"/>
    </row>
    <row r="34" spans="1:6" ht="12.75">
      <c r="A34" s="83" t="s">
        <v>86</v>
      </c>
      <c r="B34" s="1" t="s">
        <v>99</v>
      </c>
      <c r="C34" s="1" t="s">
        <v>123</v>
      </c>
      <c r="D34" s="1"/>
      <c r="E34" s="7"/>
      <c r="F34" s="7"/>
    </row>
    <row r="35" spans="1:6" ht="12.75">
      <c r="A35" s="17"/>
      <c r="E35" s="7"/>
      <c r="F35" s="7"/>
    </row>
    <row r="36" spans="1:6" ht="12.75">
      <c r="A36" s="83" t="s">
        <v>87</v>
      </c>
      <c r="B36" s="85">
        <f>D28</f>
        <v>0.01</v>
      </c>
      <c r="C36" s="117">
        <f>ROUND(B36*$E$21,1)</f>
        <v>10.5</v>
      </c>
      <c r="D36" s="1"/>
      <c r="E36" s="7"/>
      <c r="F36" s="7"/>
    </row>
    <row r="37" spans="1:6" ht="12.75">
      <c r="A37" s="83" t="s">
        <v>120</v>
      </c>
      <c r="B37" s="85">
        <f>D29</f>
        <v>0.103</v>
      </c>
      <c r="C37" s="117">
        <f>ROUND(B37*$E$21,1)</f>
        <v>108.2</v>
      </c>
      <c r="D37" s="1"/>
      <c r="E37" s="7"/>
      <c r="F37" s="7"/>
    </row>
    <row r="38" spans="1:6" ht="12.75">
      <c r="A38" s="83" t="s">
        <v>133</v>
      </c>
      <c r="B38" s="85">
        <f>D31</f>
        <v>0.227</v>
      </c>
      <c r="C38" s="117">
        <f>ROUND(B38*$E$21,1)</f>
        <v>238.4</v>
      </c>
      <c r="D38" s="1"/>
      <c r="E38" s="7"/>
      <c r="F38" s="7"/>
    </row>
    <row r="39" spans="1:8" ht="12.75">
      <c r="A39" s="83"/>
      <c r="B39" s="7"/>
      <c r="C39" s="7"/>
      <c r="D39" s="7"/>
      <c r="E39" s="7"/>
      <c r="F39" s="11"/>
      <c r="G39" s="11"/>
      <c r="H39" s="11"/>
    </row>
    <row r="40" spans="1:7" ht="16.5">
      <c r="A40" s="84" t="s">
        <v>178</v>
      </c>
      <c r="B40" s="7"/>
      <c r="C40" s="7"/>
      <c r="D40" s="7"/>
      <c r="E40" s="7"/>
      <c r="F40" s="1"/>
      <c r="G40" s="1"/>
    </row>
    <row r="41" spans="1:7" ht="12.75">
      <c r="A41" s="83"/>
      <c r="B41" s="7"/>
      <c r="C41" s="7"/>
      <c r="D41" s="7"/>
      <c r="E41" s="7"/>
      <c r="F41" s="1"/>
      <c r="G41" s="1"/>
    </row>
    <row r="42" spans="1:7" ht="15.75" thickBot="1">
      <c r="A42" s="7" t="s">
        <v>150</v>
      </c>
      <c r="B42" s="7"/>
      <c r="C42" s="7" t="s">
        <v>151</v>
      </c>
      <c r="D42" s="7"/>
      <c r="E42" s="128" t="s">
        <v>171</v>
      </c>
      <c r="F42" s="128"/>
      <c r="G42" s="85"/>
    </row>
    <row r="43" spans="1:11" ht="15">
      <c r="A43" s="7"/>
      <c r="B43" s="7"/>
      <c r="C43" s="7"/>
      <c r="D43" s="7"/>
      <c r="E43" s="7" t="s">
        <v>172</v>
      </c>
      <c r="F43" s="7"/>
      <c r="G43" s="7"/>
      <c r="J43" s="4"/>
      <c r="K43" s="12"/>
    </row>
    <row r="44" spans="1:11" ht="12.75">
      <c r="A44" s="7"/>
      <c r="B44" s="7"/>
      <c r="C44" s="7"/>
      <c r="D44" s="7"/>
      <c r="E44" s="7"/>
      <c r="F44" s="7"/>
      <c r="G44" s="7"/>
      <c r="J44" s="4"/>
      <c r="K44" s="12"/>
    </row>
    <row r="45" spans="1:11" ht="15">
      <c r="A45" s="7"/>
      <c r="B45" s="129" t="s">
        <v>173</v>
      </c>
      <c r="C45" s="7"/>
      <c r="D45" s="7"/>
      <c r="E45" s="7"/>
      <c r="F45" s="7"/>
      <c r="G45" s="7"/>
      <c r="J45" s="4"/>
      <c r="K45" s="12"/>
    </row>
    <row r="46" spans="1:11" ht="15">
      <c r="A46" s="7"/>
      <c r="B46" s="7" t="s">
        <v>174</v>
      </c>
      <c r="C46" s="7"/>
      <c r="D46" s="7"/>
      <c r="E46" s="7"/>
      <c r="F46" s="7"/>
      <c r="G46" s="7"/>
      <c r="J46" s="4"/>
      <c r="K46" s="12"/>
    </row>
    <row r="47" spans="1:11" ht="12.75">
      <c r="A47" s="7"/>
      <c r="B47" s="7"/>
      <c r="C47" s="7"/>
      <c r="D47" s="7"/>
      <c r="E47" s="7"/>
      <c r="F47" s="7"/>
      <c r="G47" s="7"/>
      <c r="J47" s="4"/>
      <c r="K47" s="12"/>
    </row>
    <row r="48" spans="1:11" ht="12.75">
      <c r="A48" s="1" t="s">
        <v>152</v>
      </c>
      <c r="B48" s="83" t="s">
        <v>63</v>
      </c>
      <c r="C48" s="83" t="s">
        <v>65</v>
      </c>
      <c r="D48" s="1" t="s">
        <v>132</v>
      </c>
      <c r="E48" s="1" t="s">
        <v>153</v>
      </c>
      <c r="F48" s="1" t="s">
        <v>154</v>
      </c>
      <c r="G48" s="1" t="s">
        <v>153</v>
      </c>
      <c r="H48" s="1" t="s">
        <v>153</v>
      </c>
      <c r="J48" s="4"/>
      <c r="K48" s="4"/>
    </row>
    <row r="49" spans="2:8" ht="15">
      <c r="B49" s="83" t="s">
        <v>64</v>
      </c>
      <c r="C49" s="83" t="s">
        <v>155</v>
      </c>
      <c r="D49" s="1" t="s">
        <v>156</v>
      </c>
      <c r="E49" s="1" t="s">
        <v>157</v>
      </c>
      <c r="F49" s="1" t="s">
        <v>175</v>
      </c>
      <c r="G49" s="1" t="s">
        <v>158</v>
      </c>
      <c r="H49" s="1" t="s">
        <v>159</v>
      </c>
    </row>
    <row r="51" spans="1:8" ht="12.75">
      <c r="A51" s="77" t="s">
        <v>194</v>
      </c>
      <c r="B51" s="2">
        <v>15</v>
      </c>
      <c r="C51" s="83">
        <f>10610*20.9/(20.9-B51)</f>
        <v>37584.576271186445</v>
      </c>
      <c r="D51" s="132">
        <f>C36</f>
        <v>10.5</v>
      </c>
      <c r="E51" s="83">
        <f>ROUND(D51*C51,0)</f>
        <v>394638</v>
      </c>
      <c r="F51" s="8">
        <v>412</v>
      </c>
      <c r="G51" s="83">
        <f>ROUND(E51*((F51+460)/520),0)</f>
        <v>661778</v>
      </c>
      <c r="H51" s="83">
        <f>ROUND(G51/300,0)</f>
        <v>2206</v>
      </c>
    </row>
    <row r="52" spans="1:8" ht="26.25">
      <c r="A52" s="77" t="s">
        <v>195</v>
      </c>
      <c r="B52" s="2">
        <v>15</v>
      </c>
      <c r="C52" s="83">
        <f>10610*20.9/(20.9-B52)</f>
        <v>37584.576271186445</v>
      </c>
      <c r="D52" s="132">
        <f>C37</f>
        <v>108.2</v>
      </c>
      <c r="E52" s="83">
        <f>ROUND(D52*C52,0)</f>
        <v>4066651</v>
      </c>
      <c r="F52" s="8">
        <v>412</v>
      </c>
      <c r="G52" s="83">
        <f>ROUND(E52*((F52+460)/520),0)</f>
        <v>6819461</v>
      </c>
      <c r="H52" s="83">
        <f>ROUND(G52/1500,0)</f>
        <v>4546</v>
      </c>
    </row>
    <row r="53" spans="1:8" ht="12.75">
      <c r="A53" s="77" t="s">
        <v>196</v>
      </c>
      <c r="B53" s="2">
        <v>15</v>
      </c>
      <c r="C53" s="83">
        <f>10610*20.9/(20.9-B53)</f>
        <v>37584.576271186445</v>
      </c>
      <c r="D53" s="132">
        <f>C38+C36</f>
        <v>248.9</v>
      </c>
      <c r="E53" s="83">
        <f>ROUND(D53*C53,0)</f>
        <v>9354801</v>
      </c>
      <c r="F53" s="8">
        <v>412</v>
      </c>
      <c r="G53" s="83">
        <f>ROUND(E53*((F53+460)/520),0)</f>
        <v>15687282</v>
      </c>
      <c r="H53" s="83">
        <f>ROUND(G53/3600,0)</f>
        <v>4358</v>
      </c>
    </row>
    <row r="54" spans="2:7" ht="12.75">
      <c r="B54" s="2"/>
      <c r="C54" s="83"/>
      <c r="D54" s="2"/>
      <c r="E54" s="86"/>
      <c r="F54" s="85"/>
      <c r="G54" s="1"/>
    </row>
    <row r="55" spans="1:7" ht="28.5">
      <c r="A55" s="1" t="s">
        <v>152</v>
      </c>
      <c r="B55" s="79" t="s">
        <v>181</v>
      </c>
      <c r="C55" s="79" t="s">
        <v>160</v>
      </c>
      <c r="D55" s="79" t="s">
        <v>160</v>
      </c>
      <c r="E55" s="79" t="s">
        <v>161</v>
      </c>
      <c r="F55" s="79" t="s">
        <v>182</v>
      </c>
      <c r="G55" s="79" t="s">
        <v>162</v>
      </c>
    </row>
    <row r="56" spans="2:7" ht="12.75">
      <c r="B56" s="108" t="s">
        <v>163</v>
      </c>
      <c r="C56" s="130" t="s">
        <v>164</v>
      </c>
      <c r="D56" s="83" t="s">
        <v>165</v>
      </c>
      <c r="E56" s="83" t="s">
        <v>166</v>
      </c>
      <c r="F56" s="108" t="s">
        <v>163</v>
      </c>
      <c r="G56" s="83" t="s">
        <v>166</v>
      </c>
    </row>
    <row r="57" spans="2:7" ht="12.75">
      <c r="B57" s="108"/>
      <c r="C57" s="130"/>
      <c r="D57" s="83"/>
      <c r="E57" s="83"/>
      <c r="F57" s="108"/>
      <c r="G57" s="83"/>
    </row>
    <row r="58" spans="1:7" ht="12.75">
      <c r="A58" s="77" t="s">
        <v>194</v>
      </c>
      <c r="B58" s="108">
        <v>10</v>
      </c>
      <c r="C58" s="130">
        <f>ROUND(H51/((PI()*(B58/2)^2)),2)</f>
        <v>28.09</v>
      </c>
      <c r="D58" s="131">
        <f>ROUND(C58*0.3048,2)</f>
        <v>8.56</v>
      </c>
      <c r="E58" s="131">
        <f>ROUND(B58*0.3048,2)</f>
        <v>3.05</v>
      </c>
      <c r="F58" s="108">
        <v>110</v>
      </c>
      <c r="G58" s="131">
        <f>ROUND(F58*0.3048,2)</f>
        <v>33.53</v>
      </c>
    </row>
    <row r="59" spans="1:7" ht="26.25">
      <c r="A59" s="77" t="s">
        <v>195</v>
      </c>
      <c r="B59" s="108">
        <v>10</v>
      </c>
      <c r="C59" s="130">
        <f>ROUND(H52/((PI()*(B59/2)^2)),2)</f>
        <v>57.88</v>
      </c>
      <c r="D59" s="131">
        <f>ROUND(C59*0.3048,2)</f>
        <v>17.64</v>
      </c>
      <c r="E59" s="131">
        <f>ROUND(B59*0.3048,2)</f>
        <v>3.05</v>
      </c>
      <c r="F59" s="108">
        <v>110</v>
      </c>
      <c r="G59" s="131">
        <f>ROUND(F59*0.3048,2)</f>
        <v>33.53</v>
      </c>
    </row>
    <row r="60" spans="1:7" ht="12.75">
      <c r="A60" s="77" t="s">
        <v>196</v>
      </c>
      <c r="B60" s="108">
        <v>10</v>
      </c>
      <c r="C60" s="80">
        <f>ROUND(H53/((PI()*(B60/2)^2)),2)</f>
        <v>55.49</v>
      </c>
      <c r="D60" s="131">
        <f>ROUND(C60*0.3048,2)</f>
        <v>16.91</v>
      </c>
      <c r="E60" s="131">
        <f>ROUND(B60*0.3048,2)</f>
        <v>3.05</v>
      </c>
      <c r="F60" s="108">
        <v>110</v>
      </c>
      <c r="G60" s="131">
        <f>ROUND(F60*0.3048,2)</f>
        <v>33.53</v>
      </c>
    </row>
    <row r="62" ht="12.75">
      <c r="A62" t="s">
        <v>80</v>
      </c>
    </row>
    <row r="63" ht="12.75">
      <c r="A63" t="s">
        <v>167</v>
      </c>
    </row>
    <row r="64" ht="12.75">
      <c r="A64" t="s">
        <v>168</v>
      </c>
    </row>
    <row r="65" ht="12.75">
      <c r="A65" t="s">
        <v>179</v>
      </c>
    </row>
    <row r="66" ht="12.75">
      <c r="A66" t="s">
        <v>180</v>
      </c>
    </row>
    <row r="67" ht="12.75">
      <c r="A67" t="s">
        <v>169</v>
      </c>
    </row>
    <row r="68" ht="12.75">
      <c r="A68" t="s">
        <v>183</v>
      </c>
    </row>
    <row r="69" ht="12.75">
      <c r="A69" s="7"/>
    </row>
    <row r="70" spans="6:7" ht="12.75">
      <c r="F70" s="1"/>
      <c r="G70" s="1"/>
    </row>
    <row r="71" spans="2:7" ht="12.75">
      <c r="B71" s="1"/>
      <c r="C71" s="1"/>
      <c r="D71" s="1"/>
      <c r="E71" s="1"/>
      <c r="F71" s="2"/>
      <c r="G71" s="2"/>
    </row>
    <row r="72" spans="2:7" ht="12.75">
      <c r="B72" s="1"/>
      <c r="C72" s="1"/>
      <c r="D72" s="1"/>
      <c r="E72" s="1"/>
      <c r="F72" s="2"/>
      <c r="G72" s="2"/>
    </row>
    <row r="73" spans="6:7" ht="12.75">
      <c r="F73" s="2"/>
      <c r="G73" s="2"/>
    </row>
    <row r="74" spans="2:5" ht="12.75">
      <c r="B74" s="7"/>
      <c r="C74" s="15"/>
      <c r="D74" s="13"/>
      <c r="E74" s="2"/>
    </row>
    <row r="75" spans="2:5" ht="12.75">
      <c r="B75" s="7"/>
      <c r="C75" s="15"/>
      <c r="D75" s="13"/>
      <c r="E75" s="2"/>
    </row>
    <row r="76" spans="2:5" ht="12.75">
      <c r="B76" s="7"/>
      <c r="C76" s="15"/>
      <c r="D76" s="13"/>
      <c r="E76" s="2"/>
    </row>
    <row r="77" spans="2:5" ht="12.75">
      <c r="B77" s="7"/>
      <c r="C77" s="15"/>
      <c r="D77" s="13"/>
      <c r="E77" s="2"/>
    </row>
    <row r="78" spans="2:5" ht="12.75">
      <c r="B78" s="7"/>
      <c r="C78" s="15"/>
      <c r="D78" s="2"/>
      <c r="E78" s="2"/>
    </row>
    <row r="79" spans="2:5" ht="12.75">
      <c r="B79" s="7"/>
      <c r="C79" s="15"/>
      <c r="D79" s="2"/>
      <c r="E79" s="2"/>
    </row>
  </sheetData>
  <sheetProtection/>
  <mergeCells count="4">
    <mergeCell ref="A15:E15"/>
    <mergeCell ref="A1:H1"/>
    <mergeCell ref="A2:H2"/>
    <mergeCell ref="A3:H3"/>
  </mergeCells>
  <printOptions/>
  <pageMargins left="0.75" right="0.75" top="0.69" bottom="0.65" header="0.5" footer="0.29"/>
  <pageSetup fitToHeight="1" fitToWidth="1" horizontalDpi="600" verticalDpi="600" orientation="portrait" scale="71" r:id="rId2"/>
  <headerFooter alignWithMargins="0">
    <oddFooter>&amp;L&amp;6K:\REPORTS\R1350\valley\&amp;F\&amp;A&amp;C&amp;P of &amp;N&amp;R&amp;6&amp;D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19" t="s">
        <v>220</v>
      </c>
      <c r="B1" s="220"/>
      <c r="C1" s="220"/>
      <c r="D1" s="220"/>
      <c r="E1" s="221"/>
    </row>
    <row r="2" spans="1:5" ht="17.25">
      <c r="A2" s="222" t="s">
        <v>221</v>
      </c>
      <c r="B2" s="217"/>
      <c r="C2" s="217"/>
      <c r="D2" s="217"/>
      <c r="E2" s="223"/>
    </row>
    <row r="3" spans="1:5" ht="12.75">
      <c r="A3" s="175"/>
      <c r="B3" s="176"/>
      <c r="C3" s="176"/>
      <c r="D3" s="176"/>
      <c r="E3" s="177"/>
    </row>
    <row r="4" spans="1:5" ht="12.75">
      <c r="A4" s="175"/>
      <c r="B4" s="176"/>
      <c r="C4" s="176"/>
      <c r="D4" s="176"/>
      <c r="E4" s="177"/>
    </row>
    <row r="5" spans="1:5" ht="12.75">
      <c r="A5" s="178"/>
      <c r="B5" s="179"/>
      <c r="C5" s="179"/>
      <c r="D5" s="179"/>
      <c r="E5" s="180"/>
    </row>
    <row r="6" spans="1:5" ht="12.75">
      <c r="A6" s="181" t="s">
        <v>222</v>
      </c>
      <c r="B6" s="182"/>
      <c r="C6" s="182"/>
      <c r="D6" s="182"/>
      <c r="E6" s="183"/>
    </row>
    <row r="7" spans="1:5" ht="12.75">
      <c r="A7" s="184" t="s">
        <v>223</v>
      </c>
      <c r="B7" s="185"/>
      <c r="C7" s="185"/>
      <c r="D7" s="185"/>
      <c r="E7" s="186"/>
    </row>
    <row r="8" spans="1:5" ht="12.75">
      <c r="A8" s="184" t="s">
        <v>224</v>
      </c>
      <c r="B8" s="185"/>
      <c r="C8" s="185"/>
      <c r="D8" s="185"/>
      <c r="E8" s="186"/>
    </row>
    <row r="9" spans="1:5" ht="12.75">
      <c r="A9" s="187" t="s">
        <v>225</v>
      </c>
      <c r="B9" s="188"/>
      <c r="C9" s="188"/>
      <c r="D9" s="188"/>
      <c r="E9" s="189"/>
    </row>
    <row r="10" spans="1:5" ht="12.75">
      <c r="A10" s="190"/>
      <c r="B10" s="191"/>
      <c r="C10" s="191"/>
      <c r="D10" s="191"/>
      <c r="E10" s="192"/>
    </row>
    <row r="11" spans="1:5" ht="12.75">
      <c r="A11" s="193" t="s">
        <v>226</v>
      </c>
      <c r="B11" s="61" t="s">
        <v>206</v>
      </c>
      <c r="C11" s="61" t="s">
        <v>227</v>
      </c>
      <c r="D11" s="61" t="s">
        <v>228</v>
      </c>
      <c r="E11" s="75" t="s">
        <v>229</v>
      </c>
    </row>
    <row r="12" spans="1:5" ht="12.75">
      <c r="A12" s="193" t="s">
        <v>230</v>
      </c>
      <c r="B12" s="61"/>
      <c r="C12" s="61"/>
      <c r="D12" s="61" t="s">
        <v>231</v>
      </c>
      <c r="E12" s="75" t="s">
        <v>3</v>
      </c>
    </row>
    <row r="13" spans="1:5" ht="12.75">
      <c r="A13" s="194"/>
      <c r="B13" s="195"/>
      <c r="C13" s="195"/>
      <c r="D13" s="195" t="s">
        <v>232</v>
      </c>
      <c r="E13" s="196" t="s">
        <v>233</v>
      </c>
    </row>
    <row r="14" spans="1:5" ht="12.75">
      <c r="A14" s="197" t="s">
        <v>48</v>
      </c>
      <c r="B14" s="198" t="s">
        <v>234</v>
      </c>
      <c r="C14" s="162">
        <v>106990</v>
      </c>
      <c r="D14" s="162" t="s">
        <v>235</v>
      </c>
      <c r="E14" s="150">
        <v>0.000127</v>
      </c>
    </row>
    <row r="15" spans="1:5" ht="12.75">
      <c r="A15" s="197" t="s">
        <v>236</v>
      </c>
      <c r="B15" s="198" t="s">
        <v>237</v>
      </c>
      <c r="C15" s="162">
        <v>91587</v>
      </c>
      <c r="D15" s="162" t="s">
        <v>238</v>
      </c>
      <c r="E15" s="150">
        <v>2.72E-07</v>
      </c>
    </row>
    <row r="16" spans="1:5" ht="12.75">
      <c r="A16" s="197" t="s">
        <v>236</v>
      </c>
      <c r="B16" s="198" t="s">
        <v>239</v>
      </c>
      <c r="C16" s="162">
        <v>91576</v>
      </c>
      <c r="D16" s="162" t="s">
        <v>238</v>
      </c>
      <c r="E16" s="150">
        <v>5.29E-06</v>
      </c>
    </row>
    <row r="17" spans="1:5" ht="12.75">
      <c r="A17" s="197" t="s">
        <v>240</v>
      </c>
      <c r="B17" s="198" t="s">
        <v>241</v>
      </c>
      <c r="C17" s="162">
        <v>83329</v>
      </c>
      <c r="D17" s="162" t="s">
        <v>238</v>
      </c>
      <c r="E17" s="150">
        <v>1.9E-05</v>
      </c>
    </row>
    <row r="18" spans="1:5" ht="12.75">
      <c r="A18" s="197" t="s">
        <v>240</v>
      </c>
      <c r="B18" s="198" t="s">
        <v>242</v>
      </c>
      <c r="C18" s="162">
        <v>208968</v>
      </c>
      <c r="D18" s="162" t="s">
        <v>238</v>
      </c>
      <c r="E18" s="150">
        <v>1.47E-05</v>
      </c>
    </row>
    <row r="19" spans="1:5" ht="12.75">
      <c r="A19" s="197" t="s">
        <v>48</v>
      </c>
      <c r="B19" s="198" t="s">
        <v>243</v>
      </c>
      <c r="C19" s="162">
        <v>75070</v>
      </c>
      <c r="D19" s="162" t="s">
        <v>235</v>
      </c>
      <c r="E19" s="150">
        <v>0.137</v>
      </c>
    </row>
    <row r="20" spans="1:5" ht="12.75">
      <c r="A20" s="197" t="s">
        <v>48</v>
      </c>
      <c r="B20" s="198" t="s">
        <v>244</v>
      </c>
      <c r="C20" s="162">
        <v>107028</v>
      </c>
      <c r="D20" s="162" t="s">
        <v>235</v>
      </c>
      <c r="E20" s="150">
        <v>0.0189</v>
      </c>
    </row>
    <row r="21" spans="1:5" ht="12.75">
      <c r="A21" s="197" t="s">
        <v>240</v>
      </c>
      <c r="B21" s="198" t="s">
        <v>245</v>
      </c>
      <c r="C21" s="162">
        <v>120127</v>
      </c>
      <c r="D21" s="162" t="s">
        <v>238</v>
      </c>
      <c r="E21" s="150">
        <v>3.38E-05</v>
      </c>
    </row>
    <row r="22" spans="1:5" ht="12.75">
      <c r="A22" s="197" t="s">
        <v>240</v>
      </c>
      <c r="B22" s="198" t="s">
        <v>246</v>
      </c>
      <c r="C22" s="162">
        <v>56553</v>
      </c>
      <c r="D22" s="162" t="s">
        <v>235</v>
      </c>
      <c r="E22" s="150">
        <v>2.26E-05</v>
      </c>
    </row>
    <row r="23" spans="1:5" ht="12.75">
      <c r="A23" s="197" t="s">
        <v>48</v>
      </c>
      <c r="B23" s="198" t="s">
        <v>247</v>
      </c>
      <c r="C23" s="162">
        <v>71432</v>
      </c>
      <c r="D23" s="162" t="s">
        <v>235</v>
      </c>
      <c r="E23" s="150">
        <v>0.0133</v>
      </c>
    </row>
    <row r="24" spans="1:5" ht="12.75">
      <c r="A24" s="197" t="s">
        <v>240</v>
      </c>
      <c r="B24" s="198" t="s">
        <v>248</v>
      </c>
      <c r="C24" s="162">
        <v>50328</v>
      </c>
      <c r="D24" s="162" t="s">
        <v>235</v>
      </c>
      <c r="E24" s="150">
        <v>1.39E-05</v>
      </c>
    </row>
    <row r="25" spans="1:5" ht="12.75">
      <c r="A25" s="197" t="s">
        <v>240</v>
      </c>
      <c r="B25" s="198" t="s">
        <v>249</v>
      </c>
      <c r="C25" s="162">
        <v>205992</v>
      </c>
      <c r="D25" s="162" t="s">
        <v>235</v>
      </c>
      <c r="E25" s="150">
        <v>1.13E-05</v>
      </c>
    </row>
    <row r="26" spans="1:5" ht="12.75">
      <c r="A26" s="197" t="s">
        <v>240</v>
      </c>
      <c r="B26" s="198" t="s">
        <v>250</v>
      </c>
      <c r="C26" s="162">
        <v>192972</v>
      </c>
      <c r="D26" s="162" t="s">
        <v>238</v>
      </c>
      <c r="E26" s="150">
        <v>5.44E-07</v>
      </c>
    </row>
    <row r="27" spans="1:5" ht="12.75">
      <c r="A27" s="197" t="s">
        <v>240</v>
      </c>
      <c r="B27" s="198" t="s">
        <v>251</v>
      </c>
      <c r="C27" s="162">
        <v>191242</v>
      </c>
      <c r="D27" s="162" t="s">
        <v>238</v>
      </c>
      <c r="E27" s="150">
        <v>1.37E-05</v>
      </c>
    </row>
    <row r="28" spans="1:5" ht="12.75">
      <c r="A28" s="197" t="s">
        <v>240</v>
      </c>
      <c r="B28" s="198" t="s">
        <v>252</v>
      </c>
      <c r="C28" s="162">
        <v>207089</v>
      </c>
      <c r="D28" s="162" t="s">
        <v>235</v>
      </c>
      <c r="E28" s="150">
        <v>1.1E-05</v>
      </c>
    </row>
    <row r="29" spans="1:5" ht="12.75">
      <c r="A29" s="197" t="s">
        <v>240</v>
      </c>
      <c r="B29" s="198" t="s">
        <v>253</v>
      </c>
      <c r="C29" s="162">
        <v>218019</v>
      </c>
      <c r="D29" s="162" t="s">
        <v>235</v>
      </c>
      <c r="E29" s="150">
        <v>2.52E-05</v>
      </c>
    </row>
    <row r="30" spans="1:5" ht="12.75">
      <c r="A30" s="197" t="s">
        <v>240</v>
      </c>
      <c r="B30" s="198" t="s">
        <v>254</v>
      </c>
      <c r="C30" s="162">
        <v>53703</v>
      </c>
      <c r="D30" s="162" t="s">
        <v>235</v>
      </c>
      <c r="E30" s="150">
        <v>2.35E-05</v>
      </c>
    </row>
    <row r="31" spans="1:5" ht="12.75">
      <c r="A31" s="197" t="s">
        <v>236</v>
      </c>
      <c r="B31" s="198" t="s">
        <v>255</v>
      </c>
      <c r="C31" s="162">
        <v>100414</v>
      </c>
      <c r="D31" s="162" t="s">
        <v>235</v>
      </c>
      <c r="E31" s="150">
        <v>0.0179</v>
      </c>
    </row>
    <row r="32" spans="1:5" ht="12.75">
      <c r="A32" s="197" t="s">
        <v>240</v>
      </c>
      <c r="B32" s="198" t="s">
        <v>256</v>
      </c>
      <c r="C32" s="162">
        <v>206440</v>
      </c>
      <c r="D32" s="162" t="s">
        <v>238</v>
      </c>
      <c r="E32" s="150">
        <v>4.32E-05</v>
      </c>
    </row>
    <row r="33" spans="1:5" ht="12.75">
      <c r="A33" s="197" t="s">
        <v>240</v>
      </c>
      <c r="B33" s="198" t="s">
        <v>257</v>
      </c>
      <c r="C33" s="162">
        <v>86737</v>
      </c>
      <c r="D33" s="162" t="s">
        <v>238</v>
      </c>
      <c r="E33" s="150">
        <v>5.8E-05</v>
      </c>
    </row>
    <row r="34" spans="1:5" ht="12.75">
      <c r="A34" s="197" t="s">
        <v>48</v>
      </c>
      <c r="B34" s="198" t="s">
        <v>258</v>
      </c>
      <c r="C34" s="162">
        <v>50000</v>
      </c>
      <c r="D34" s="162" t="s">
        <v>235</v>
      </c>
      <c r="E34" s="150">
        <v>0.917</v>
      </c>
    </row>
    <row r="35" spans="1:5" ht="12.75">
      <c r="A35" s="197" t="s">
        <v>48</v>
      </c>
      <c r="B35" s="198" t="s">
        <v>259</v>
      </c>
      <c r="C35" s="162">
        <v>110543</v>
      </c>
      <c r="D35" s="162" t="s">
        <v>235</v>
      </c>
      <c r="E35" s="150">
        <v>0.259</v>
      </c>
    </row>
    <row r="36" spans="1:5" ht="12.75">
      <c r="A36" s="197" t="s">
        <v>240</v>
      </c>
      <c r="B36" s="198" t="s">
        <v>260</v>
      </c>
      <c r="C36" s="162">
        <v>193395</v>
      </c>
      <c r="D36" s="162" t="s">
        <v>235</v>
      </c>
      <c r="E36" s="150">
        <v>2.35E-05</v>
      </c>
    </row>
    <row r="37" spans="1:5" ht="12.75">
      <c r="A37" s="197" t="s">
        <v>240</v>
      </c>
      <c r="B37" s="198" t="s">
        <v>261</v>
      </c>
      <c r="C37" s="162">
        <v>91203</v>
      </c>
      <c r="D37" s="162" t="s">
        <v>235</v>
      </c>
      <c r="E37" s="150">
        <v>0.00166</v>
      </c>
    </row>
    <row r="38" spans="1:5" ht="12.75">
      <c r="A38" s="197" t="s">
        <v>236</v>
      </c>
      <c r="B38" s="198" t="s">
        <v>262</v>
      </c>
      <c r="C38" s="162">
        <v>198550</v>
      </c>
      <c r="D38" s="162" t="s">
        <v>238</v>
      </c>
      <c r="E38" s="150">
        <v>7E-07</v>
      </c>
    </row>
    <row r="39" spans="1:5" ht="12.75">
      <c r="A39" s="197" t="s">
        <v>240</v>
      </c>
      <c r="B39" s="198" t="s">
        <v>263</v>
      </c>
      <c r="C39" s="162">
        <v>85018</v>
      </c>
      <c r="D39" s="162" t="s">
        <v>238</v>
      </c>
      <c r="E39" s="150">
        <v>0.000313</v>
      </c>
    </row>
    <row r="40" spans="1:5" ht="12.75">
      <c r="A40" s="197" t="s">
        <v>48</v>
      </c>
      <c r="B40" s="198" t="s">
        <v>264</v>
      </c>
      <c r="C40" s="162">
        <v>115071</v>
      </c>
      <c r="D40" s="162" t="s">
        <v>235</v>
      </c>
      <c r="E40" s="150">
        <v>0.771</v>
      </c>
    </row>
    <row r="41" spans="1:5" ht="12.75">
      <c r="A41" s="197" t="s">
        <v>48</v>
      </c>
      <c r="B41" s="198" t="s">
        <v>265</v>
      </c>
      <c r="C41" s="162">
        <v>75569</v>
      </c>
      <c r="D41" s="162" t="s">
        <v>235</v>
      </c>
      <c r="E41" s="150">
        <v>0.0478</v>
      </c>
    </row>
    <row r="42" spans="1:5" ht="12.75">
      <c r="A42" s="197" t="s">
        <v>240</v>
      </c>
      <c r="B42" s="198" t="s">
        <v>266</v>
      </c>
      <c r="C42" s="162">
        <v>129000</v>
      </c>
      <c r="D42" s="162" t="s">
        <v>238</v>
      </c>
      <c r="E42" s="150">
        <v>2.77E-05</v>
      </c>
    </row>
    <row r="43" spans="1:5" ht="12.75">
      <c r="A43" s="197" t="s">
        <v>48</v>
      </c>
      <c r="B43" s="198" t="s">
        <v>267</v>
      </c>
      <c r="C43" s="162">
        <v>108883</v>
      </c>
      <c r="D43" s="162" t="s">
        <v>235</v>
      </c>
      <c r="E43" s="150">
        <v>0.071</v>
      </c>
    </row>
    <row r="44" spans="1:5" ht="12.75">
      <c r="A44" s="197" t="s">
        <v>48</v>
      </c>
      <c r="B44" s="198" t="s">
        <v>268</v>
      </c>
      <c r="C44" s="162">
        <v>1330207</v>
      </c>
      <c r="D44" s="162" t="s">
        <v>235</v>
      </c>
      <c r="E44" s="150">
        <v>0.0261</v>
      </c>
    </row>
    <row r="45" spans="1:5" ht="13.5" thickBot="1">
      <c r="A45" s="165"/>
      <c r="B45" s="199"/>
      <c r="C45" s="199"/>
      <c r="D45" s="166"/>
      <c r="E45" s="200"/>
    </row>
    <row r="46" ht="13.5" thickTop="1"/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&amp;L&amp;8K:\reports\R1350\valley\&amp;F\&amp;A&amp;C&amp;P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2000-11-03T20:53:31Z</cp:lastPrinted>
  <dcterms:created xsi:type="dcterms:W3CDTF">2000-10-10T16:56:45Z</dcterms:created>
  <dcterms:modified xsi:type="dcterms:W3CDTF">2014-08-06T18:57:35Z</dcterms:modified>
  <cp:category/>
  <cp:version/>
  <cp:contentType/>
  <cp:contentStatus/>
</cp:coreProperties>
</file>