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2" windowWidth="9720" windowHeight="5832" activeTab="0"/>
  </bookViews>
  <sheets>
    <sheet name="EF Criteria " sheetId="1" r:id="rId1"/>
  </sheets>
  <definedNames/>
  <calcPr fullCalcOnLoad="1"/>
</workbook>
</file>

<file path=xl/sharedStrings.xml><?xml version="1.0" encoding="utf-8"?>
<sst xmlns="http://schemas.openxmlformats.org/spreadsheetml/2006/main" count="194" uniqueCount="113">
  <si>
    <t>Pollutant</t>
  </si>
  <si>
    <t>(ppmv)</t>
  </si>
  <si>
    <t>(lb/MMBtu)</t>
  </si>
  <si>
    <r>
      <t>NH</t>
    </r>
    <r>
      <rPr>
        <vertAlign val="subscript"/>
        <sz val="10"/>
        <rFont val="Arial"/>
        <family val="2"/>
      </rPr>
      <t>3</t>
    </r>
  </si>
  <si>
    <t>(lbs/hr)</t>
  </si>
  <si>
    <t>(lb/lb-mole)</t>
  </si>
  <si>
    <t>Unit 1</t>
  </si>
  <si>
    <t>Unit 2</t>
  </si>
  <si>
    <t>Unit 3</t>
  </si>
  <si>
    <t>Unit</t>
  </si>
  <si>
    <t>Conc.</t>
  </si>
  <si>
    <t>(SCFH)</t>
  </si>
  <si>
    <r>
      <t>Exhaust Volume (DSCF/MMBtu) = 8710 DSCF/MMBtu x 20.9/(20.9 -%O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</si>
  <si>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 xml:space="preserve">Exhaust Volume </t>
  </si>
  <si>
    <r>
      <t>Per Cent O</t>
    </r>
    <r>
      <rPr>
        <b/>
        <vertAlign val="subscript"/>
        <sz val="10"/>
        <rFont val="Arial"/>
        <family val="2"/>
      </rPr>
      <t>2</t>
    </r>
  </si>
  <si>
    <t>(DSCF/MMBtu)</t>
  </si>
  <si>
    <t>Fuel</t>
  </si>
  <si>
    <t>Emissions</t>
  </si>
  <si>
    <t>NOx</t>
  </si>
  <si>
    <r>
      <t xml:space="preserve">Calculate Emission Rates Using AQMD Formula  </t>
    </r>
    <r>
      <rPr>
        <b/>
        <vertAlign val="superscript"/>
        <sz val="10"/>
        <rFont val="Arial"/>
        <family val="2"/>
      </rPr>
      <t>(3)</t>
    </r>
  </si>
  <si>
    <t>2.  Input pollutant concentration and fuel usage.</t>
  </si>
  <si>
    <t>1,  Input per cent Oxygen.</t>
  </si>
  <si>
    <t>1,000,000 x 379</t>
  </si>
  <si>
    <r>
      <t xml:space="preserve">EF (lbs/MMBtu) = </t>
    </r>
    <r>
      <rPr>
        <b/>
        <u val="single"/>
        <sz val="10"/>
        <rFont val="Arial"/>
        <family val="2"/>
      </rPr>
      <t>Exhaust Volume x Concentration x MW of Stack Gas</t>
    </r>
    <r>
      <rPr>
        <b/>
        <sz val="10"/>
        <rFont val="Arial"/>
        <family val="2"/>
      </rPr>
      <t xml:space="preserve">   </t>
    </r>
  </si>
  <si>
    <t>MW</t>
  </si>
  <si>
    <t>Unit 3 (Stack 2)</t>
  </si>
  <si>
    <t>(MMBTU/hr)</t>
  </si>
  <si>
    <t>HHV</t>
  </si>
  <si>
    <t>Fired Duty</t>
  </si>
  <si>
    <t>(Btu/SCF)</t>
  </si>
  <si>
    <t>(MMBtu/hr)</t>
  </si>
  <si>
    <r>
      <t xml:space="preserve">Fired Duty (MMBtu/hr) = </t>
    </r>
    <r>
      <rPr>
        <b/>
        <u val="single"/>
        <sz val="10"/>
        <rFont val="Arial"/>
        <family val="2"/>
      </rPr>
      <t>Fuel (SCFH) x HHV (Btu/scf)</t>
    </r>
  </si>
  <si>
    <t>Firing</t>
  </si>
  <si>
    <t>Hourly</t>
  </si>
  <si>
    <t>Annual</t>
  </si>
  <si>
    <t>(lbs/yr)</t>
  </si>
  <si>
    <t>(tons/yr)</t>
  </si>
  <si>
    <t>(gm/sec)</t>
  </si>
  <si>
    <r>
      <t xml:space="preserve">2.  Boilers No. 1 and No. 2 have a maximum natural gas consumption of 1685 mscfh each. </t>
    </r>
    <r>
      <rPr>
        <vertAlign val="superscript"/>
        <sz val="10"/>
        <rFont val="Arial"/>
        <family val="2"/>
      </rPr>
      <t>(1)</t>
    </r>
  </si>
  <si>
    <r>
      <t xml:space="preserve">3.  Boiler No. 3 has a maximum natural gas consumption rate of 4140 mscfh. </t>
    </r>
    <r>
      <rPr>
        <vertAlign val="superscript"/>
        <sz val="10"/>
        <rFont val="Arial"/>
        <family val="2"/>
      </rPr>
      <t>(1)</t>
    </r>
  </si>
  <si>
    <r>
      <t xml:space="preserve">6.  Boilers Nos.1 and 2 exhaust through a common stack, Stack No. 1. </t>
    </r>
    <r>
      <rPr>
        <vertAlign val="superscript"/>
        <sz val="10"/>
        <rFont val="Arial"/>
        <family val="2"/>
      </rPr>
      <t>(1)</t>
    </r>
  </si>
  <si>
    <r>
      <t xml:space="preserve">8.  The temperature of Boiler No. 3 is 271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F. </t>
    </r>
    <r>
      <rPr>
        <vertAlign val="superscript"/>
        <sz val="10"/>
        <rFont val="Arial"/>
        <family val="2"/>
      </rPr>
      <t>(1)</t>
    </r>
  </si>
  <si>
    <r>
      <t xml:space="preserve">4.  The stack gas flow rate for Boiler No.1 and Boiler No. 2 is 1,594,000 lbs/hr.  </t>
    </r>
    <r>
      <rPr>
        <vertAlign val="superscript"/>
        <sz val="10"/>
        <rFont val="Arial"/>
        <family val="2"/>
      </rPr>
      <t>(1)</t>
    </r>
  </si>
  <si>
    <r>
      <t xml:space="preserve">5.  The temperature for Boiler No. 1 and Boiler No. 2 is 294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F.  </t>
    </r>
    <r>
      <rPr>
        <vertAlign val="superscript"/>
        <sz val="10"/>
        <rFont val="Arial"/>
        <family val="2"/>
      </rPr>
      <t>(1)</t>
    </r>
  </si>
  <si>
    <r>
      <t xml:space="preserve">7.  The stack gas flow rate for Boiler No. 3 is 3,641,000 lbs/hr.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</t>
    </r>
  </si>
  <si>
    <r>
      <t xml:space="preserve">1.  The Scattergood Plant has three boilers that will be fitted with SCR. </t>
    </r>
    <r>
      <rPr>
        <vertAlign val="superscript"/>
        <sz val="10"/>
        <rFont val="Arial"/>
        <family val="2"/>
      </rPr>
      <t>(1)</t>
    </r>
  </si>
  <si>
    <r>
      <t>10.  The assumed stack gas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content is 3%.</t>
    </r>
  </si>
  <si>
    <t>11.  The assumed stack gas molecular weight is 28.</t>
  </si>
  <si>
    <r>
      <t>13.  The permitted NOx concentration following SCR is 7 ppmv.</t>
    </r>
    <r>
      <rPr>
        <vertAlign val="superscript"/>
        <sz val="10"/>
        <rFont val="Arial"/>
        <family val="2"/>
      </rPr>
      <t xml:space="preserve"> (2)</t>
    </r>
  </si>
  <si>
    <r>
      <t>14.  The higher heating value of the natural gas is 1050 Btu/scf.</t>
    </r>
    <r>
      <rPr>
        <vertAlign val="superscript"/>
        <sz val="10"/>
        <rFont val="Arial"/>
        <family val="2"/>
      </rPr>
      <t xml:space="preserve"> (1)</t>
    </r>
  </si>
  <si>
    <t>Calculate Exhaust Volume Using EPA Method 19, 40 CFR Part 60</t>
  </si>
  <si>
    <t>(1)  SCR Bid Specification (No. 9628) provided by LA DWP.</t>
  </si>
  <si>
    <t>(2)  Specification from LA DWP (Generation - 2000 Projects Overview).</t>
  </si>
  <si>
    <t>(3)  SCAQMD Title V Technical Guidance Document, A-20, January 1998.</t>
  </si>
  <si>
    <t>Stack 1       (Units 1&amp;2)</t>
  </si>
  <si>
    <t>Stack 1     (Units 1&amp;2)</t>
  </si>
  <si>
    <r>
      <t>9.  Boiler No. 3 exhausts through a separate stack, Stack No. 2.</t>
    </r>
    <r>
      <rPr>
        <vertAlign val="superscript"/>
        <sz val="10"/>
        <rFont val="Arial"/>
        <family val="2"/>
      </rPr>
      <t xml:space="preserve"> (1)</t>
    </r>
  </si>
  <si>
    <r>
      <t xml:space="preserve">Annual </t>
    </r>
    <r>
      <rPr>
        <b/>
        <vertAlign val="superscript"/>
        <sz val="10"/>
        <rFont val="Arial"/>
        <family val="2"/>
      </rPr>
      <t>(4)</t>
    </r>
  </si>
  <si>
    <t>(4)  Annual emissions = hourly emissions x 8760 hrs/yr.</t>
  </si>
  <si>
    <r>
      <t xml:space="preserve">Historical Emission Rates </t>
    </r>
    <r>
      <rPr>
        <b/>
        <vertAlign val="superscript"/>
        <sz val="10"/>
        <rFont val="Arial"/>
        <family val="2"/>
      </rPr>
      <t>(5)</t>
    </r>
  </si>
  <si>
    <t>UNIT</t>
  </si>
  <si>
    <t>Credit</t>
  </si>
  <si>
    <t>Emission Credits Generated with SCR</t>
  </si>
  <si>
    <t>Max NOx prior to SCR</t>
  </si>
  <si>
    <t>NOx PTE after SCR</t>
  </si>
  <si>
    <t>Stack 1 (Units 1 &amp; 2)</t>
  </si>
  <si>
    <t>(5)  Emission data (Excel Worksheet) provided by LA DWP.</t>
  </si>
  <si>
    <t>AT THE SCATTERGOOD PLANT</t>
  </si>
  <si>
    <t>EF</t>
  </si>
  <si>
    <t>9-98 thru 12-98</t>
  </si>
  <si>
    <t>1-99 thru 12-99</t>
  </si>
  <si>
    <t>(lbs)</t>
  </si>
  <si>
    <t>1-00 thru 8-00</t>
  </si>
  <si>
    <t>Total</t>
  </si>
  <si>
    <t>Average</t>
  </si>
  <si>
    <r>
      <t xml:space="preserve">               DEVELOPMENT OF NOx AND NH</t>
    </r>
    <r>
      <rPr>
        <b/>
        <vertAlign val="subscript"/>
        <sz val="14"/>
        <rFont val="Arial"/>
        <family val="2"/>
      </rPr>
      <t>3</t>
    </r>
    <r>
      <rPr>
        <b/>
        <sz val="14"/>
        <rFont val="Arial"/>
        <family val="2"/>
      </rPr>
      <t xml:space="preserve"> EMISSIONS AND CREDITS</t>
    </r>
  </si>
  <si>
    <t>NH3 (ppm)</t>
  </si>
  <si>
    <t xml:space="preserve"> NH3 Total (lbs)</t>
  </si>
  <si>
    <t>NA</t>
  </si>
  <si>
    <r>
      <t>12.  The permitted 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conentration following SCR is 10 ppmv. Current 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from Units 1 and 2 is 20 ppmv.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 xml:space="preserve"> </t>
    </r>
  </si>
  <si>
    <r>
      <t xml:space="preserve">Total Stack Gas Flow (MMSCF) </t>
    </r>
    <r>
      <rPr>
        <vertAlign val="superscript"/>
        <sz val="10"/>
        <rFont val="Arial"/>
        <family val="2"/>
      </rPr>
      <t>(5)</t>
    </r>
  </si>
  <si>
    <t>NH3 Average (lbs/yr)</t>
  </si>
  <si>
    <t>NH3 prior to SCR (lbs/yr)</t>
  </si>
  <si>
    <t>NH3 PTE after SCR (lbs/yr)</t>
  </si>
  <si>
    <t>NH3 Difference (lbs/yr)</t>
  </si>
  <si>
    <r>
      <t>SO</t>
    </r>
    <r>
      <rPr>
        <vertAlign val="subscript"/>
        <sz val="10"/>
        <rFont val="Arial"/>
        <family val="2"/>
      </rPr>
      <t>2</t>
    </r>
  </si>
  <si>
    <t>Sulfur in Natural Gas (S)</t>
  </si>
  <si>
    <r>
      <t>WT% S = 100 x S in ppmv in natural gas x MW of S /(MW of Natural Gas x 10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 xml:space="preserve">) </t>
    </r>
  </si>
  <si>
    <t>MW of S</t>
  </si>
  <si>
    <t>Emission</t>
  </si>
  <si>
    <t>Sulfur</t>
  </si>
  <si>
    <t>Factor</t>
  </si>
  <si>
    <t>(lb/MMscf)</t>
  </si>
  <si>
    <t>0.6(S/S)</t>
  </si>
  <si>
    <r>
      <t>MW of Natural Gas</t>
    </r>
    <r>
      <rPr>
        <b/>
        <vertAlign val="superscript"/>
        <sz val="10"/>
        <rFont val="Arial"/>
        <family val="2"/>
      </rPr>
      <t xml:space="preserve"> (5)</t>
    </r>
  </si>
  <si>
    <r>
      <t>SO</t>
    </r>
    <r>
      <rPr>
        <vertAlign val="subscript"/>
        <sz val="10"/>
        <rFont val="Arial"/>
        <family val="2"/>
      </rPr>
      <t xml:space="preserve">2  </t>
    </r>
    <r>
      <rPr>
        <vertAlign val="superscript"/>
        <sz val="10"/>
        <rFont val="Arial"/>
        <family val="2"/>
      </rPr>
      <t>(6)</t>
    </r>
  </si>
  <si>
    <r>
      <t>S in ppmv</t>
    </r>
    <r>
      <rPr>
        <b/>
        <vertAlign val="superscript"/>
        <sz val="10"/>
        <rFont val="Arial"/>
        <family val="2"/>
      </rPr>
      <t xml:space="preserve"> (5) </t>
    </r>
  </si>
  <si>
    <t>(6)  Emission Factor from AP-42 Table 1.4-2.  Natural gas emission factor based on</t>
  </si>
  <si>
    <t xml:space="preserve">      sulfur content of 2000 grains per MMscf.  To convert factor to other sulfur content</t>
  </si>
  <si>
    <t xml:space="preserve">      multiply by the ration of sulfur in site natural gas to the sulfur in the EPA base gas.</t>
  </si>
  <si>
    <t>S (grains/dscf)</t>
  </si>
  <si>
    <t>(grains/dscf)</t>
  </si>
  <si>
    <t>PM10</t>
  </si>
  <si>
    <r>
      <t>Calculate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from Conversion of 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to ammonium sulfate</t>
    </r>
  </si>
  <si>
    <r>
      <t>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to SO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= 5% molar conversion </t>
    </r>
    <r>
      <rPr>
        <b/>
        <vertAlign val="superscript"/>
        <sz val="10"/>
        <rFont val="Arial"/>
        <family val="2"/>
      </rPr>
      <t>(8)</t>
    </r>
  </si>
  <si>
    <r>
      <t>SO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to ammonium sulfate: 1 mole SO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= 1 mole of ammonium sulfate </t>
    </r>
    <r>
      <rPr>
        <b/>
        <vertAlign val="superscript"/>
        <sz val="10"/>
        <rFont val="Arial"/>
        <family val="2"/>
      </rPr>
      <t>(8)</t>
    </r>
  </si>
  <si>
    <r>
      <t>SO</t>
    </r>
    <r>
      <rPr>
        <b/>
        <vertAlign val="subscript"/>
        <sz val="10"/>
        <rFont val="Arial"/>
        <family val="2"/>
      </rPr>
      <t>2</t>
    </r>
  </si>
  <si>
    <r>
      <t>SO</t>
    </r>
    <r>
      <rPr>
        <vertAlign val="subscript"/>
        <sz val="10"/>
        <rFont val="Arial"/>
        <family val="2"/>
      </rPr>
      <t>3</t>
    </r>
  </si>
  <si>
    <t>(lbs/BTU)</t>
  </si>
  <si>
    <t>(lb-mole/MMBtu)</t>
  </si>
  <si>
    <t>(lbs/MMscf)</t>
  </si>
  <si>
    <r>
      <t>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Slip PM</t>
    </r>
    <r>
      <rPr>
        <vertAlign val="subscript"/>
        <sz val="10"/>
        <rFont val="Arial"/>
        <family val="2"/>
      </rPr>
      <t>10</t>
    </r>
  </si>
  <si>
    <r>
      <t>AND SO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CONVERSION TO SO</t>
    </r>
    <r>
      <rPr>
        <b/>
        <vertAlign val="subscript"/>
        <sz val="14"/>
        <rFont val="Arial"/>
        <family val="2"/>
      </rPr>
      <t xml:space="preserve">3 </t>
    </r>
    <r>
      <rPr>
        <b/>
        <sz val="14"/>
        <rFont val="Arial"/>
        <family val="2"/>
      </rPr>
      <t>AND TO PM</t>
    </r>
    <r>
      <rPr>
        <b/>
        <vertAlign val="subscript"/>
        <sz val="14"/>
        <rFont val="Arial"/>
        <family val="2"/>
      </rPr>
      <t>10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</si>
</sst>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ck"/>
      <top style="thick"/>
      <bottom/>
    </border>
    <border>
      <left style="thick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 style="thick"/>
      <bottom/>
    </border>
    <border>
      <left style="hair"/>
      <right style="thick"/>
      <top style="thick"/>
      <bottom/>
    </border>
    <border>
      <left style="thick"/>
      <right style="hair"/>
      <top/>
      <bottom style="medium"/>
    </border>
    <border>
      <left style="hair"/>
      <right style="thick"/>
      <top/>
      <bottom style="medium"/>
    </border>
    <border>
      <left style="thick"/>
      <right style="hair"/>
      <top/>
      <bottom/>
    </border>
    <border>
      <left style="hair"/>
      <right style="thick"/>
      <top/>
      <bottom/>
    </border>
    <border>
      <left style="thick"/>
      <right style="hair"/>
      <top/>
      <bottom style="thick"/>
    </border>
    <border>
      <left style="hair"/>
      <right style="thick"/>
      <top/>
      <bottom style="thick"/>
    </border>
    <border>
      <left/>
      <right style="medium"/>
      <top style="thick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thick"/>
    </border>
    <border>
      <left style="hair"/>
      <right/>
      <top style="medium"/>
      <bottom/>
    </border>
    <border>
      <left style="hair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0" fillId="0" borderId="14" xfId="0" applyNumberFormat="1" applyBorder="1" applyAlignment="1">
      <alignment/>
    </xf>
    <xf numFmtId="0" fontId="2" fillId="0" borderId="14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/>
    </xf>
    <xf numFmtId="3" fontId="9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3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3" fontId="2" fillId="0" borderId="49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3" fontId="2" fillId="0" borderId="50" xfId="0" applyNumberFormat="1" applyFont="1" applyBorder="1" applyAlignment="1">
      <alignment horizontal="center"/>
    </xf>
    <xf numFmtId="3" fontId="0" fillId="0" borderId="46" xfId="0" applyNumberFormat="1" applyFont="1" applyBorder="1" applyAlignment="1">
      <alignment horizontal="center"/>
    </xf>
    <xf numFmtId="3" fontId="0" fillId="0" borderId="49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2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wrapText="1"/>
    </xf>
    <xf numFmtId="3" fontId="2" fillId="0" borderId="45" xfId="0" applyNumberFormat="1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center"/>
    </xf>
    <xf numFmtId="3" fontId="2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wrapText="1"/>
    </xf>
    <xf numFmtId="3" fontId="0" fillId="0" borderId="46" xfId="0" applyNumberFormat="1" applyFont="1" applyBorder="1" applyAlignment="1">
      <alignment horizontal="center" vertical="center" wrapText="1"/>
    </xf>
    <xf numFmtId="3" fontId="0" fillId="0" borderId="46" xfId="0" applyNumberFormat="1" applyFont="1" applyBorder="1" applyAlignment="1">
      <alignment horizont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3" fontId="0" fillId="0" borderId="49" xfId="0" applyNumberFormat="1" applyFont="1" applyBorder="1" applyAlignment="1">
      <alignment horizontal="center" wrapText="1"/>
    </xf>
    <xf numFmtId="3" fontId="2" fillId="0" borderId="44" xfId="0" applyNumberFormat="1" applyFont="1" applyBorder="1" applyAlignment="1">
      <alignment horizontal="center" vertical="center"/>
    </xf>
    <xf numFmtId="3" fontId="2" fillId="0" borderId="53" xfId="0" applyNumberFormat="1" applyFont="1" applyBorder="1" applyAlignment="1">
      <alignment horizontal="center" vertical="center"/>
    </xf>
    <xf numFmtId="3" fontId="2" fillId="0" borderId="52" xfId="0" applyNumberFormat="1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1" borderId="56" xfId="0" applyFill="1" applyBorder="1" applyAlignment="1">
      <alignment/>
    </xf>
    <xf numFmtId="0" fontId="0" fillId="1" borderId="57" xfId="0" applyFill="1" applyBorder="1" applyAlignment="1">
      <alignment/>
    </xf>
    <xf numFmtId="0" fontId="0" fillId="1" borderId="58" xfId="0" applyFill="1" applyBorder="1" applyAlignment="1">
      <alignment/>
    </xf>
    <xf numFmtId="3" fontId="2" fillId="0" borderId="51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center" vertical="center"/>
    </xf>
    <xf numFmtId="3" fontId="0" fillId="0" borderId="43" xfId="0" applyNumberFormat="1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2" fillId="0" borderId="47" xfId="0" applyNumberFormat="1" applyFont="1" applyBorder="1" applyAlignment="1">
      <alignment horizontal="center" vertical="center" wrapText="1"/>
    </xf>
    <xf numFmtId="3" fontId="2" fillId="0" borderId="45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49" xfId="0" applyNumberFormat="1" applyFont="1" applyBorder="1" applyAlignment="1">
      <alignment/>
    </xf>
    <xf numFmtId="3" fontId="2" fillId="0" borderId="59" xfId="0" applyNumberFormat="1" applyFont="1" applyBorder="1" applyAlignment="1">
      <alignment horizontal="center"/>
    </xf>
    <xf numFmtId="3" fontId="2" fillId="0" borderId="60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1" fontId="0" fillId="0" borderId="0" xfId="0" applyNumberFormat="1" applyAlignment="1">
      <alignment horizontal="center"/>
    </xf>
    <xf numFmtId="3" fontId="2" fillId="0" borderId="62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3" fontId="2" fillId="0" borderId="63" xfId="0" applyNumberFormat="1" applyFont="1" applyBorder="1" applyAlignment="1">
      <alignment horizontal="center"/>
    </xf>
    <xf numFmtId="4" fontId="2" fillId="0" borderId="64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 vertical="center" wrapText="1"/>
    </xf>
    <xf numFmtId="11" fontId="0" fillId="0" borderId="63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 vertical="center" wrapText="1"/>
    </xf>
    <xf numFmtId="11" fontId="0" fillId="0" borderId="21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 vertical="center" wrapText="1"/>
    </xf>
    <xf numFmtId="11" fontId="0" fillId="0" borderId="2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0" fillId="1" borderId="65" xfId="0" applyFont="1" applyFill="1" applyBorder="1" applyAlignment="1">
      <alignment horizontal="center"/>
    </xf>
    <xf numFmtId="0" fontId="10" fillId="1" borderId="66" xfId="0" applyFont="1" applyFill="1" applyBorder="1" applyAlignment="1">
      <alignment horizontal="center"/>
    </xf>
    <xf numFmtId="0" fontId="10" fillId="1" borderId="67" xfId="0" applyFont="1" applyFill="1" applyBorder="1" applyAlignment="1">
      <alignment horizontal="center"/>
    </xf>
    <xf numFmtId="0" fontId="10" fillId="1" borderId="54" xfId="0" applyFont="1" applyFill="1" applyBorder="1" applyAlignment="1">
      <alignment horizontal="center"/>
    </xf>
    <xf numFmtId="0" fontId="10" fillId="1" borderId="0" xfId="0" applyFont="1" applyFill="1" applyBorder="1" applyAlignment="1">
      <alignment horizontal="center"/>
    </xf>
    <xf numFmtId="0" fontId="10" fillId="1" borderId="5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129</xdr:row>
      <xdr:rowOff>0</xdr:rowOff>
    </xdr:from>
    <xdr:to>
      <xdr:col>7</xdr:col>
      <xdr:colOff>0</xdr:colOff>
      <xdr:row>129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575" y="26603325"/>
          <a:ext cx="5562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PageLayoutView="0" workbookViewId="0" topLeftCell="A85">
      <selection activeCell="F88" sqref="F88"/>
    </sheetView>
  </sheetViews>
  <sheetFormatPr defaultColWidth="9.140625" defaultRowHeight="12.75"/>
  <cols>
    <col min="1" max="1" width="10.421875" style="0" customWidth="1"/>
    <col min="2" max="2" width="11.140625" style="0" customWidth="1"/>
    <col min="3" max="3" width="14.00390625" style="0" customWidth="1"/>
    <col min="4" max="4" width="13.7109375" style="0" customWidth="1"/>
    <col min="5" max="5" width="13.421875" style="0" customWidth="1"/>
    <col min="6" max="6" width="11.57421875" style="0" bestFit="1" customWidth="1"/>
    <col min="7" max="7" width="9.57421875" style="0" bestFit="1" customWidth="1"/>
    <col min="8" max="8" width="9.421875" style="0" customWidth="1"/>
    <col min="9" max="9" width="11.28125" style="4" bestFit="1" customWidth="1"/>
    <col min="10" max="10" width="10.00390625" style="0" bestFit="1" customWidth="1"/>
  </cols>
  <sheetData>
    <row r="1" spans="1:9" ht="21" thickTop="1">
      <c r="A1" s="167" t="s">
        <v>75</v>
      </c>
      <c r="B1" s="168"/>
      <c r="C1" s="168"/>
      <c r="D1" s="168"/>
      <c r="E1" s="168"/>
      <c r="F1" s="168"/>
      <c r="G1" s="168"/>
      <c r="H1" s="168"/>
      <c r="I1" s="169"/>
    </row>
    <row r="2" spans="1:9" ht="21">
      <c r="A2" s="170" t="s">
        <v>112</v>
      </c>
      <c r="B2" s="171"/>
      <c r="C2" s="171"/>
      <c r="D2" s="171"/>
      <c r="E2" s="171"/>
      <c r="F2" s="171"/>
      <c r="G2" s="171"/>
      <c r="H2" s="171"/>
      <c r="I2" s="172"/>
    </row>
    <row r="3" spans="1:9" ht="17.25">
      <c r="A3" s="170" t="s">
        <v>67</v>
      </c>
      <c r="B3" s="171"/>
      <c r="C3" s="171"/>
      <c r="D3" s="171"/>
      <c r="E3" s="171"/>
      <c r="F3" s="171"/>
      <c r="G3" s="171"/>
      <c r="H3" s="171"/>
      <c r="I3" s="172"/>
    </row>
    <row r="4" spans="1:9" ht="13.5" thickBot="1">
      <c r="A4" s="114"/>
      <c r="B4" s="115"/>
      <c r="C4" s="115"/>
      <c r="D4" s="115"/>
      <c r="E4" s="115"/>
      <c r="F4" s="115"/>
      <c r="G4" s="115"/>
      <c r="H4" s="115"/>
      <c r="I4" s="116"/>
    </row>
    <row r="5" spans="1:9" ht="13.5" thickTop="1">
      <c r="A5" s="109"/>
      <c r="B5" s="5"/>
      <c r="C5" s="5"/>
      <c r="D5" s="5"/>
      <c r="E5" s="5"/>
      <c r="F5" s="5"/>
      <c r="G5" s="5"/>
      <c r="H5" s="5"/>
      <c r="I5" s="110"/>
    </row>
    <row r="6" spans="1:9" ht="15">
      <c r="A6" s="109" t="s">
        <v>45</v>
      </c>
      <c r="B6" s="5"/>
      <c r="C6" s="5"/>
      <c r="D6" s="5"/>
      <c r="E6" s="5"/>
      <c r="F6" s="5"/>
      <c r="G6" s="5"/>
      <c r="H6" s="5"/>
      <c r="I6" s="110"/>
    </row>
    <row r="7" spans="1:9" ht="15">
      <c r="A7" s="109" t="s">
        <v>38</v>
      </c>
      <c r="B7" s="5"/>
      <c r="C7" s="5"/>
      <c r="D7" s="5"/>
      <c r="E7" s="5"/>
      <c r="F7" s="5"/>
      <c r="G7" s="5"/>
      <c r="H7" s="5"/>
      <c r="I7" s="110"/>
    </row>
    <row r="8" spans="1:9" ht="15">
      <c r="A8" s="109" t="s">
        <v>39</v>
      </c>
      <c r="B8" s="5"/>
      <c r="C8" s="5"/>
      <c r="D8" s="5"/>
      <c r="E8" s="5"/>
      <c r="F8" s="5"/>
      <c r="G8" s="5"/>
      <c r="H8" s="5"/>
      <c r="I8" s="110"/>
    </row>
    <row r="9" spans="1:9" ht="15">
      <c r="A9" s="109" t="s">
        <v>42</v>
      </c>
      <c r="B9" s="5"/>
      <c r="C9" s="5"/>
      <c r="D9" s="5"/>
      <c r="E9" s="5"/>
      <c r="F9" s="5"/>
      <c r="G9" s="5"/>
      <c r="H9" s="5"/>
      <c r="I9" s="110"/>
    </row>
    <row r="10" spans="1:9" ht="15">
      <c r="A10" s="109" t="s">
        <v>43</v>
      </c>
      <c r="B10" s="5"/>
      <c r="C10" s="5"/>
      <c r="D10" s="5"/>
      <c r="E10" s="5"/>
      <c r="F10" s="5"/>
      <c r="G10" s="5"/>
      <c r="H10" s="5"/>
      <c r="I10" s="110"/>
    </row>
    <row r="11" spans="1:9" ht="15">
      <c r="A11" s="109" t="s">
        <v>40</v>
      </c>
      <c r="B11" s="5"/>
      <c r="C11" s="5"/>
      <c r="D11" s="5"/>
      <c r="E11" s="5"/>
      <c r="F11" s="5"/>
      <c r="G11" s="5"/>
      <c r="H11" s="5"/>
      <c r="I11" s="110"/>
    </row>
    <row r="12" spans="1:9" ht="15">
      <c r="A12" s="109" t="s">
        <v>44</v>
      </c>
      <c r="B12" s="5"/>
      <c r="C12" s="5"/>
      <c r="D12" s="5"/>
      <c r="E12" s="5"/>
      <c r="F12" s="5"/>
      <c r="G12" s="5"/>
      <c r="H12" s="5"/>
      <c r="I12" s="110"/>
    </row>
    <row r="13" spans="1:9" ht="15">
      <c r="A13" s="109" t="s">
        <v>41</v>
      </c>
      <c r="B13" s="5"/>
      <c r="C13" s="5"/>
      <c r="D13" s="5"/>
      <c r="E13" s="5"/>
      <c r="F13" s="5"/>
      <c r="G13" s="5"/>
      <c r="H13" s="5"/>
      <c r="I13" s="110"/>
    </row>
    <row r="14" spans="1:9" ht="15">
      <c r="A14" s="109" t="s">
        <v>56</v>
      </c>
      <c r="B14" s="5"/>
      <c r="C14" s="5"/>
      <c r="D14" s="5"/>
      <c r="E14" s="5"/>
      <c r="F14" s="5"/>
      <c r="G14" s="5"/>
      <c r="H14" s="5"/>
      <c r="I14" s="110"/>
    </row>
    <row r="15" spans="1:9" ht="15">
      <c r="A15" s="109" t="s">
        <v>46</v>
      </c>
      <c r="B15" s="5"/>
      <c r="C15" s="5"/>
      <c r="D15" s="5"/>
      <c r="E15" s="5"/>
      <c r="F15" s="5"/>
      <c r="G15" s="5"/>
      <c r="H15" s="5"/>
      <c r="I15" s="110"/>
    </row>
    <row r="16" spans="1:9" ht="12.75">
      <c r="A16" s="109" t="s">
        <v>47</v>
      </c>
      <c r="B16" s="5"/>
      <c r="C16" s="5"/>
      <c r="D16" s="5"/>
      <c r="E16" s="5"/>
      <c r="F16" s="5"/>
      <c r="G16" s="5"/>
      <c r="H16" s="5"/>
      <c r="I16" s="110"/>
    </row>
    <row r="17" spans="1:9" ht="16.5">
      <c r="A17" s="109" t="s">
        <v>79</v>
      </c>
      <c r="B17" s="5"/>
      <c r="C17" s="5"/>
      <c r="D17" s="5"/>
      <c r="E17" s="5"/>
      <c r="F17" s="5"/>
      <c r="G17" s="5"/>
      <c r="H17" s="5"/>
      <c r="I17" s="110"/>
    </row>
    <row r="18" spans="1:9" ht="15">
      <c r="A18" s="109" t="s">
        <v>48</v>
      </c>
      <c r="B18" s="5"/>
      <c r="C18" s="5"/>
      <c r="D18" s="5"/>
      <c r="E18" s="5"/>
      <c r="F18" s="5"/>
      <c r="G18" s="5"/>
      <c r="H18" s="5"/>
      <c r="I18" s="110"/>
    </row>
    <row r="19" spans="1:9" ht="15">
      <c r="A19" s="109" t="s">
        <v>49</v>
      </c>
      <c r="B19" s="5"/>
      <c r="C19" s="5"/>
      <c r="D19" s="5"/>
      <c r="E19" s="5"/>
      <c r="F19" s="5"/>
      <c r="G19" s="5"/>
      <c r="H19" s="5"/>
      <c r="I19" s="110"/>
    </row>
    <row r="20" spans="1:9" ht="13.5" thickBot="1">
      <c r="A20" s="111"/>
      <c r="B20" s="112"/>
      <c r="C20" s="112"/>
      <c r="D20" s="112"/>
      <c r="E20" s="112"/>
      <c r="F20" s="112"/>
      <c r="G20" s="112"/>
      <c r="H20" s="112"/>
      <c r="I20" s="113"/>
    </row>
    <row r="21" spans="4:9" ht="13.5" thickTop="1">
      <c r="D21" s="5"/>
      <c r="E21" s="5"/>
      <c r="F21" s="5"/>
      <c r="G21" s="5"/>
      <c r="H21" s="5"/>
      <c r="I21" s="6"/>
    </row>
    <row r="22" spans="1:8" ht="12.75">
      <c r="A22" s="9"/>
      <c r="B22" s="12"/>
      <c r="C22" s="8"/>
      <c r="D22" s="13"/>
      <c r="E22" s="13"/>
      <c r="F22" s="1"/>
      <c r="G22" s="1"/>
      <c r="H22" s="1"/>
    </row>
    <row r="23" spans="1:8" ht="15">
      <c r="A23" s="9" t="s">
        <v>19</v>
      </c>
      <c r="B23" s="12"/>
      <c r="C23" s="8"/>
      <c r="D23" s="13"/>
      <c r="E23" s="13"/>
      <c r="F23" s="1"/>
      <c r="G23" s="1"/>
      <c r="H23" s="1"/>
    </row>
    <row r="24" spans="1:8" ht="12.75">
      <c r="A24" s="9"/>
      <c r="B24" s="12"/>
      <c r="C24" s="8"/>
      <c r="D24" s="13"/>
      <c r="E24" s="13"/>
      <c r="F24" s="1"/>
      <c r="G24" s="1"/>
      <c r="H24" s="1"/>
    </row>
    <row r="25" spans="1:8" ht="12.75">
      <c r="A25" s="9"/>
      <c r="B25" s="15" t="s">
        <v>23</v>
      </c>
      <c r="C25" s="8"/>
      <c r="D25" s="13"/>
      <c r="E25" s="13"/>
      <c r="F25" s="1"/>
      <c r="G25" s="1"/>
      <c r="H25" s="1"/>
    </row>
    <row r="26" spans="1:8" ht="12.75">
      <c r="A26" s="9"/>
      <c r="B26" s="12"/>
      <c r="C26" s="8"/>
      <c r="D26" s="165" t="s">
        <v>22</v>
      </c>
      <c r="E26" s="165"/>
      <c r="F26" s="1"/>
      <c r="G26" s="1"/>
      <c r="H26" s="1"/>
    </row>
    <row r="27" spans="1:8" ht="12.75">
      <c r="A27" s="9"/>
      <c r="B27" s="12"/>
      <c r="C27" s="8"/>
      <c r="D27" s="13"/>
      <c r="E27" s="13"/>
      <c r="F27" s="1"/>
      <c r="G27" s="1"/>
      <c r="H27" s="1"/>
    </row>
    <row r="28" spans="1:8" ht="12.75">
      <c r="A28" s="9" t="s">
        <v>50</v>
      </c>
      <c r="B28" s="12"/>
      <c r="C28" s="8"/>
      <c r="D28" s="13"/>
      <c r="E28" s="13"/>
      <c r="F28" s="1"/>
      <c r="G28" s="1"/>
      <c r="H28" s="1"/>
    </row>
    <row r="29" spans="1:8" ht="12.75">
      <c r="A29" s="9"/>
      <c r="B29" s="12"/>
      <c r="C29" s="8"/>
      <c r="D29" s="13"/>
      <c r="E29" s="13"/>
      <c r="F29" s="1"/>
      <c r="G29" s="1"/>
      <c r="H29" s="1"/>
    </row>
    <row r="30" spans="1:8" ht="15">
      <c r="A30" s="9"/>
      <c r="B30" s="15" t="s">
        <v>12</v>
      </c>
      <c r="C30" s="8"/>
      <c r="D30" s="13"/>
      <c r="E30" s="13"/>
      <c r="F30" s="1"/>
      <c r="G30" s="1"/>
      <c r="H30" s="1"/>
    </row>
    <row r="31" spans="1:8" ht="12.75">
      <c r="A31" s="9"/>
      <c r="B31" s="12"/>
      <c r="C31" s="8"/>
      <c r="D31" s="13"/>
      <c r="E31" s="13"/>
      <c r="F31" s="1"/>
      <c r="G31" s="1"/>
      <c r="H31" s="1"/>
    </row>
    <row r="32" spans="1:8" ht="12.75">
      <c r="A32" s="9"/>
      <c r="B32" s="14" t="s">
        <v>21</v>
      </c>
      <c r="C32" s="8"/>
      <c r="D32" s="13"/>
      <c r="E32" s="13"/>
      <c r="F32" s="1"/>
      <c r="G32" s="1"/>
      <c r="H32" s="1"/>
    </row>
    <row r="33" spans="1:8" ht="12.75">
      <c r="A33" s="9"/>
      <c r="B33" s="14" t="s">
        <v>20</v>
      </c>
      <c r="C33" s="8"/>
      <c r="D33" s="13"/>
      <c r="E33" s="13"/>
      <c r="F33" s="1"/>
      <c r="G33" s="1"/>
      <c r="H33" s="1"/>
    </row>
    <row r="34" spans="1:8" ht="12.75">
      <c r="A34" s="9"/>
      <c r="B34" s="14"/>
      <c r="C34" s="8"/>
      <c r="D34" s="13"/>
      <c r="E34" s="13"/>
      <c r="F34" s="1"/>
      <c r="G34" s="1"/>
      <c r="H34" s="1"/>
    </row>
    <row r="35" spans="1:8" ht="13.5" thickBot="1">
      <c r="A35" s="9"/>
      <c r="B35" s="14"/>
      <c r="C35" s="8"/>
      <c r="D35" s="13"/>
      <c r="E35" s="13"/>
      <c r="F35" s="1"/>
      <c r="G35" s="1"/>
      <c r="H35" s="1"/>
    </row>
    <row r="36" spans="1:8" ht="29.25" thickTop="1">
      <c r="A36" s="9"/>
      <c r="B36" s="47" t="s">
        <v>14</v>
      </c>
      <c r="C36" s="48" t="s">
        <v>13</v>
      </c>
      <c r="D36" s="16"/>
      <c r="E36" s="16"/>
      <c r="F36" s="1"/>
      <c r="G36" s="1"/>
      <c r="H36" s="1"/>
    </row>
    <row r="37" spans="1:8" ht="13.5" thickBot="1">
      <c r="A37" s="9"/>
      <c r="B37" s="49"/>
      <c r="C37" s="50" t="s">
        <v>15</v>
      </c>
      <c r="D37" s="13"/>
      <c r="E37" s="12"/>
      <c r="F37" s="1"/>
      <c r="G37" s="1"/>
      <c r="H37" s="1"/>
    </row>
    <row r="38" spans="1:8" ht="12.75">
      <c r="A38" s="9"/>
      <c r="B38" s="51"/>
      <c r="C38" s="52"/>
      <c r="D38" s="13"/>
      <c r="E38" s="12"/>
      <c r="F38" s="1"/>
      <c r="G38" s="1"/>
      <c r="H38" s="1"/>
    </row>
    <row r="39" spans="1:8" ht="13.5" thickBot="1">
      <c r="A39" s="9"/>
      <c r="B39" s="53">
        <v>3</v>
      </c>
      <c r="C39" s="54">
        <f>8710*20.9/(20.9-B39)</f>
        <v>10169.77653631285</v>
      </c>
      <c r="D39" s="13"/>
      <c r="E39" s="12"/>
      <c r="F39" s="1"/>
      <c r="G39" s="1"/>
      <c r="H39" s="1"/>
    </row>
    <row r="40" spans="1:8" ht="13.5" thickTop="1">
      <c r="A40" s="9"/>
      <c r="B40" s="13"/>
      <c r="C40" s="12"/>
      <c r="D40" s="13"/>
      <c r="E40" s="12"/>
      <c r="F40" s="1"/>
      <c r="G40" s="1"/>
      <c r="H40" s="1"/>
    </row>
    <row r="41" spans="1:8" ht="12.75">
      <c r="A41" s="9"/>
      <c r="B41" s="13"/>
      <c r="C41" s="12"/>
      <c r="D41" s="13"/>
      <c r="E41" s="12"/>
      <c r="F41" s="1"/>
      <c r="G41" s="1"/>
      <c r="H41" s="1"/>
    </row>
    <row r="42" spans="1:8" ht="12.75">
      <c r="A42" s="9"/>
      <c r="B42" s="13"/>
      <c r="C42" s="12"/>
      <c r="D42" s="13"/>
      <c r="E42" s="12"/>
      <c r="F42" s="1"/>
      <c r="G42" s="1"/>
      <c r="H42" s="1"/>
    </row>
    <row r="43" spans="1:8" ht="12.75">
      <c r="A43" s="9"/>
      <c r="B43" s="3" t="s">
        <v>31</v>
      </c>
      <c r="C43" s="12"/>
      <c r="D43" s="13"/>
      <c r="E43" s="12"/>
      <c r="F43" s="1"/>
      <c r="G43" s="1"/>
      <c r="H43" s="1"/>
    </row>
    <row r="44" spans="1:8" ht="12.75">
      <c r="A44" s="9"/>
      <c r="B44" s="13"/>
      <c r="C44" s="12"/>
      <c r="D44" s="166">
        <v>1000000</v>
      </c>
      <c r="E44" s="166"/>
      <c r="F44" s="1"/>
      <c r="G44" s="1"/>
      <c r="H44" s="1"/>
    </row>
    <row r="45" spans="1:8" ht="12.75">
      <c r="A45" s="9"/>
      <c r="B45" s="13"/>
      <c r="C45" s="12"/>
      <c r="D45" s="13"/>
      <c r="E45" s="12"/>
      <c r="F45" s="1"/>
      <c r="G45" s="1"/>
      <c r="H45" s="1"/>
    </row>
    <row r="46" spans="1:8" ht="13.5" thickBot="1">
      <c r="A46" s="9"/>
      <c r="B46" s="13"/>
      <c r="C46" s="12"/>
      <c r="D46" s="13"/>
      <c r="E46" s="12"/>
      <c r="F46" s="1"/>
      <c r="G46" s="1"/>
      <c r="H46" s="1"/>
    </row>
    <row r="47" spans="1:8" ht="13.5" thickTop="1">
      <c r="A47" s="9"/>
      <c r="B47" s="26" t="s">
        <v>9</v>
      </c>
      <c r="C47" s="18" t="s">
        <v>16</v>
      </c>
      <c r="D47" s="19" t="s">
        <v>27</v>
      </c>
      <c r="E47" s="27" t="s">
        <v>28</v>
      </c>
      <c r="F47" s="1"/>
      <c r="G47" s="1"/>
      <c r="H47" s="1"/>
    </row>
    <row r="48" spans="1:8" ht="13.5" thickBot="1">
      <c r="A48" s="9"/>
      <c r="B48" s="28"/>
      <c r="C48" s="29" t="s">
        <v>11</v>
      </c>
      <c r="D48" s="24" t="s">
        <v>29</v>
      </c>
      <c r="E48" s="25" t="s">
        <v>30</v>
      </c>
      <c r="F48" s="1"/>
      <c r="G48" s="1"/>
      <c r="H48" s="1"/>
    </row>
    <row r="49" spans="1:8" ht="12.75">
      <c r="A49" s="9"/>
      <c r="B49" s="30" t="s">
        <v>6</v>
      </c>
      <c r="C49" s="31">
        <v>1685000</v>
      </c>
      <c r="D49" s="32">
        <v>1050</v>
      </c>
      <c r="E49" s="33">
        <f>ROUND(D49*C49/1000000,0)</f>
        <v>1769</v>
      </c>
      <c r="F49" s="1"/>
      <c r="G49" s="1"/>
      <c r="H49" s="1"/>
    </row>
    <row r="50" spans="1:8" ht="12.75">
      <c r="A50" s="9"/>
      <c r="B50" s="34" t="s">
        <v>7</v>
      </c>
      <c r="C50" s="35">
        <v>1685000</v>
      </c>
      <c r="D50" s="36">
        <v>1050</v>
      </c>
      <c r="E50" s="37">
        <f>ROUND(D50*C50/1000000,0)</f>
        <v>1769</v>
      </c>
      <c r="F50" s="1"/>
      <c r="G50" s="1"/>
      <c r="H50" s="1"/>
    </row>
    <row r="51" spans="1:8" ht="13.5" thickBot="1">
      <c r="A51" s="9"/>
      <c r="B51" s="38" t="s">
        <v>8</v>
      </c>
      <c r="C51" s="39">
        <v>4140000</v>
      </c>
      <c r="D51" s="40">
        <v>1050</v>
      </c>
      <c r="E51" s="41">
        <f>ROUND(D51*C51/1000000,0)</f>
        <v>4347</v>
      </c>
      <c r="F51" s="1"/>
      <c r="G51" s="1"/>
      <c r="H51" s="1"/>
    </row>
    <row r="52" spans="1:8" ht="13.5" thickTop="1">
      <c r="A52" s="9"/>
      <c r="B52" s="71"/>
      <c r="C52" s="72"/>
      <c r="D52" s="71"/>
      <c r="E52" s="55"/>
      <c r="F52" s="1"/>
      <c r="G52" s="1"/>
      <c r="H52" s="1"/>
    </row>
    <row r="53" spans="1:8" ht="12.75">
      <c r="A53" s="9"/>
      <c r="B53" s="71"/>
      <c r="C53" s="72"/>
      <c r="D53" s="71"/>
      <c r="E53" s="55"/>
      <c r="F53" s="1"/>
      <c r="G53" s="1"/>
      <c r="H53" s="1"/>
    </row>
    <row r="54" spans="1:8" ht="15">
      <c r="A54" s="9"/>
      <c r="B54" s="71"/>
      <c r="C54" s="9" t="s">
        <v>59</v>
      </c>
      <c r="D54" s="71"/>
      <c r="E54" s="55"/>
      <c r="F54" s="1"/>
      <c r="G54" s="1"/>
      <c r="H54" s="1"/>
    </row>
    <row r="55" spans="1:8" ht="13.5" thickBot="1">
      <c r="A55" s="9"/>
      <c r="B55" s="71"/>
      <c r="C55" s="72"/>
      <c r="D55" s="71"/>
      <c r="E55" s="55"/>
      <c r="F55" s="1"/>
      <c r="G55" s="1"/>
      <c r="H55" s="1"/>
    </row>
    <row r="56" spans="1:8" ht="12.75">
      <c r="A56" s="9"/>
      <c r="B56" s="74" t="s">
        <v>60</v>
      </c>
      <c r="C56" s="75" t="s">
        <v>18</v>
      </c>
      <c r="D56" s="76" t="s">
        <v>18</v>
      </c>
      <c r="E56" s="117" t="s">
        <v>18</v>
      </c>
      <c r="F56" s="75" t="s">
        <v>18</v>
      </c>
      <c r="G56" s="77" t="s">
        <v>18</v>
      </c>
      <c r="H56" s="1"/>
    </row>
    <row r="57" spans="1:8" ht="12.75">
      <c r="A57" s="9"/>
      <c r="B57" s="78"/>
      <c r="C57" s="79" t="s">
        <v>71</v>
      </c>
      <c r="D57" s="80" t="s">
        <v>71</v>
      </c>
      <c r="E57" s="118" t="s">
        <v>71</v>
      </c>
      <c r="F57" s="79" t="s">
        <v>71</v>
      </c>
      <c r="G57" s="81" t="s">
        <v>35</v>
      </c>
      <c r="H57" s="1"/>
    </row>
    <row r="58" spans="1:8" ht="13.5" thickBot="1">
      <c r="A58" s="9"/>
      <c r="B58" s="82"/>
      <c r="C58" s="83" t="s">
        <v>69</v>
      </c>
      <c r="D58" s="84" t="s">
        <v>70</v>
      </c>
      <c r="E58" s="119" t="s">
        <v>72</v>
      </c>
      <c r="F58" s="83" t="s">
        <v>73</v>
      </c>
      <c r="G58" s="85" t="s">
        <v>74</v>
      </c>
      <c r="H58" s="1"/>
    </row>
    <row r="59" spans="1:8" ht="12.75">
      <c r="A59" s="9"/>
      <c r="B59" s="78" t="s">
        <v>6</v>
      </c>
      <c r="C59" s="86">
        <v>4177</v>
      </c>
      <c r="D59" s="86">
        <v>450780</v>
      </c>
      <c r="E59" s="118">
        <v>183825</v>
      </c>
      <c r="F59" s="75">
        <f>SUM(C59:E59)</f>
        <v>638782</v>
      </c>
      <c r="G59" s="77">
        <f>ROUND(F59/2,0)</f>
        <v>319391</v>
      </c>
      <c r="H59" s="1"/>
    </row>
    <row r="60" spans="1:8" ht="12.75">
      <c r="A60" s="9"/>
      <c r="B60" s="78" t="s">
        <v>7</v>
      </c>
      <c r="C60" s="86">
        <v>444362</v>
      </c>
      <c r="D60" s="86">
        <v>580880</v>
      </c>
      <c r="E60" s="118">
        <v>476864</v>
      </c>
      <c r="F60" s="79">
        <f>SUM(C60:E60)</f>
        <v>1502106</v>
      </c>
      <c r="G60" s="81">
        <f>ROUND(F60/2,0)</f>
        <v>751053</v>
      </c>
      <c r="H60" s="1"/>
    </row>
    <row r="61" spans="1:8" ht="13.5" thickBot="1">
      <c r="A61" s="9"/>
      <c r="B61" s="82" t="s">
        <v>8</v>
      </c>
      <c r="C61" s="87">
        <v>861796</v>
      </c>
      <c r="D61" s="87">
        <v>669200</v>
      </c>
      <c r="E61" s="119">
        <v>592791</v>
      </c>
      <c r="F61" s="83">
        <f>SUM(C61:E61)</f>
        <v>2123787</v>
      </c>
      <c r="G61" s="85">
        <f>ROUND(F61/2,0)</f>
        <v>1061894</v>
      </c>
      <c r="H61" s="1"/>
    </row>
    <row r="62" spans="1:8" ht="42" thickBot="1">
      <c r="A62" s="9"/>
      <c r="B62" s="124"/>
      <c r="C62" s="101" t="s">
        <v>76</v>
      </c>
      <c r="D62" s="101" t="s">
        <v>80</v>
      </c>
      <c r="E62" s="125" t="s">
        <v>77</v>
      </c>
      <c r="F62" s="126" t="s">
        <v>81</v>
      </c>
      <c r="G62" s="127"/>
      <c r="H62" s="1"/>
    </row>
    <row r="63" spans="1:8" ht="12.75">
      <c r="A63" s="9"/>
      <c r="B63" s="74" t="s">
        <v>6</v>
      </c>
      <c r="C63" s="121">
        <v>20</v>
      </c>
      <c r="D63" s="121">
        <v>87548.85</v>
      </c>
      <c r="E63" s="75">
        <f>ROUND(C63*D63*17/379,1)</f>
        <v>78539.9</v>
      </c>
      <c r="F63" s="75">
        <f>E63/2</f>
        <v>39269.95</v>
      </c>
      <c r="G63" s="77"/>
      <c r="H63" s="1"/>
    </row>
    <row r="64" spans="1:8" ht="12.75">
      <c r="A64" s="9"/>
      <c r="B64" s="78" t="s">
        <v>7</v>
      </c>
      <c r="C64" s="86">
        <v>20</v>
      </c>
      <c r="D64" s="86">
        <v>179934</v>
      </c>
      <c r="E64" s="79">
        <f>ROUND(C64*D64*17/379,1)</f>
        <v>161418.4</v>
      </c>
      <c r="F64" s="79">
        <f>E64/2</f>
        <v>80709.2</v>
      </c>
      <c r="G64" s="81"/>
      <c r="H64" s="1"/>
    </row>
    <row r="65" spans="1:8" ht="13.5" thickBot="1">
      <c r="A65" s="9"/>
      <c r="B65" s="82" t="s">
        <v>8</v>
      </c>
      <c r="C65" s="87" t="s">
        <v>78</v>
      </c>
      <c r="D65" s="122" t="s">
        <v>78</v>
      </c>
      <c r="E65" s="83" t="s">
        <v>78</v>
      </c>
      <c r="F65" s="84" t="s">
        <v>78</v>
      </c>
      <c r="G65" s="123"/>
      <c r="H65" s="1"/>
    </row>
    <row r="66" spans="1:8" ht="12.75">
      <c r="A66" s="9"/>
      <c r="B66" s="71"/>
      <c r="C66" s="72"/>
      <c r="D66" s="71"/>
      <c r="E66" s="55"/>
      <c r="F66" s="1"/>
      <c r="G66" s="1"/>
      <c r="H66" s="1"/>
    </row>
    <row r="67" spans="1:8" ht="13.5" thickBot="1">
      <c r="A67" s="9"/>
      <c r="B67" s="12"/>
      <c r="C67" s="8"/>
      <c r="D67" s="13"/>
      <c r="E67" s="13"/>
      <c r="F67" s="1"/>
      <c r="G67" s="1"/>
      <c r="H67" s="1"/>
    </row>
    <row r="68" spans="1:10" ht="15.75" thickTop="1">
      <c r="A68" s="17"/>
      <c r="B68" s="18"/>
      <c r="C68" s="19"/>
      <c r="D68" s="19"/>
      <c r="E68" s="19"/>
      <c r="F68" s="19"/>
      <c r="G68" s="58" t="s">
        <v>33</v>
      </c>
      <c r="H68" s="58" t="s">
        <v>17</v>
      </c>
      <c r="I68" s="19" t="s">
        <v>57</v>
      </c>
      <c r="J68" s="56" t="s">
        <v>34</v>
      </c>
    </row>
    <row r="69" spans="1:10" ht="12.75">
      <c r="A69" s="20" t="s">
        <v>9</v>
      </c>
      <c r="B69" s="55" t="s">
        <v>0</v>
      </c>
      <c r="C69" s="21" t="s">
        <v>10</v>
      </c>
      <c r="D69" s="21" t="s">
        <v>24</v>
      </c>
      <c r="E69" s="21" t="s">
        <v>68</v>
      </c>
      <c r="F69" s="21" t="s">
        <v>32</v>
      </c>
      <c r="G69" s="21" t="s">
        <v>17</v>
      </c>
      <c r="H69" s="21"/>
      <c r="I69" s="21" t="s">
        <v>17</v>
      </c>
      <c r="J69" s="57" t="s">
        <v>17</v>
      </c>
    </row>
    <row r="70" spans="1:10" ht="13.5" thickBot="1">
      <c r="A70" s="22"/>
      <c r="B70" s="23"/>
      <c r="C70" s="24" t="s">
        <v>1</v>
      </c>
      <c r="D70" s="24" t="s">
        <v>5</v>
      </c>
      <c r="E70" s="24" t="s">
        <v>2</v>
      </c>
      <c r="F70" s="24" t="s">
        <v>26</v>
      </c>
      <c r="G70" s="24" t="s">
        <v>4</v>
      </c>
      <c r="H70" s="24" t="s">
        <v>37</v>
      </c>
      <c r="I70" s="24" t="s">
        <v>35</v>
      </c>
      <c r="J70" s="59" t="s">
        <v>36</v>
      </c>
    </row>
    <row r="71" spans="1:10" ht="15">
      <c r="A71" s="42" t="s">
        <v>6</v>
      </c>
      <c r="B71" s="31" t="s">
        <v>3</v>
      </c>
      <c r="C71" s="32">
        <v>10</v>
      </c>
      <c r="D71" s="32">
        <v>17</v>
      </c>
      <c r="E71" s="32">
        <f>ROUND(C71*$C$39*D71/(1000000*379),4)</f>
        <v>0.0046</v>
      </c>
      <c r="F71" s="31">
        <f>E49</f>
        <v>1769</v>
      </c>
      <c r="G71" s="60">
        <f>ROUND(F71*E71,2)</f>
        <v>8.14</v>
      </c>
      <c r="H71" s="69">
        <f>ROUND(G71*454/3600,2)</f>
        <v>1.03</v>
      </c>
      <c r="I71" s="66">
        <f aca="true" t="shared" si="0" ref="I71:I78">ROUND(G71*8760,0)</f>
        <v>71306</v>
      </c>
      <c r="J71" s="63">
        <f>ROUND(I71/2000,2)</f>
        <v>35.65</v>
      </c>
    </row>
    <row r="72" spans="1:10" ht="15">
      <c r="A72" s="43" t="s">
        <v>7</v>
      </c>
      <c r="B72" s="35" t="s">
        <v>3</v>
      </c>
      <c r="C72" s="36">
        <v>10</v>
      </c>
      <c r="D72" s="36">
        <v>17</v>
      </c>
      <c r="E72" s="36">
        <f aca="true" t="shared" si="1" ref="E72:E78">ROUND(C72*$C$39*D72/(1000000*379),4)</f>
        <v>0.0046</v>
      </c>
      <c r="F72" s="35">
        <f>E50</f>
        <v>1769</v>
      </c>
      <c r="G72" s="61">
        <f>ROUND(F72*E72,2)</f>
        <v>8.14</v>
      </c>
      <c r="H72" s="68">
        <f>ROUND(G72*454/3600,2)</f>
        <v>1.03</v>
      </c>
      <c r="I72" s="67">
        <f t="shared" si="0"/>
        <v>71306</v>
      </c>
      <c r="J72" s="64">
        <f aca="true" t="shared" si="2" ref="J72:J86">ROUND(I72/2000,2)</f>
        <v>35.65</v>
      </c>
    </row>
    <row r="73" spans="1:10" ht="39">
      <c r="A73" s="44" t="s">
        <v>54</v>
      </c>
      <c r="B73" s="35" t="s">
        <v>3</v>
      </c>
      <c r="C73" s="36">
        <v>10</v>
      </c>
      <c r="D73" s="36">
        <v>17</v>
      </c>
      <c r="E73" s="36">
        <v>0.0046</v>
      </c>
      <c r="F73" s="35">
        <f>SUM(F71:F72)</f>
        <v>3538</v>
      </c>
      <c r="G73" s="61">
        <f>SUM(G71:G72)</f>
        <v>16.28</v>
      </c>
      <c r="H73" s="61">
        <f>SUM(H71:H72)</f>
        <v>2.06</v>
      </c>
      <c r="I73" s="67">
        <f t="shared" si="0"/>
        <v>142613</v>
      </c>
      <c r="J73" s="64">
        <f t="shared" si="2"/>
        <v>71.31</v>
      </c>
    </row>
    <row r="74" spans="1:10" ht="26.25">
      <c r="A74" s="44" t="s">
        <v>25</v>
      </c>
      <c r="B74" s="35" t="s">
        <v>3</v>
      </c>
      <c r="C74" s="36">
        <v>10</v>
      </c>
      <c r="D74" s="36">
        <v>17</v>
      </c>
      <c r="E74" s="36">
        <f t="shared" si="1"/>
        <v>0.0046</v>
      </c>
      <c r="F74" s="35">
        <f>E51</f>
        <v>4347</v>
      </c>
      <c r="G74" s="70">
        <f>ROUND(F74*E74,2)</f>
        <v>20</v>
      </c>
      <c r="H74" s="61">
        <f>ROUND(G74*454/3600,2)</f>
        <v>2.52</v>
      </c>
      <c r="I74" s="67">
        <f t="shared" si="0"/>
        <v>175200</v>
      </c>
      <c r="J74" s="64">
        <f t="shared" si="2"/>
        <v>87.6</v>
      </c>
    </row>
    <row r="75" spans="1:10" ht="12.75">
      <c r="A75" s="43" t="s">
        <v>6</v>
      </c>
      <c r="B75" s="35" t="s">
        <v>18</v>
      </c>
      <c r="C75" s="36">
        <v>7</v>
      </c>
      <c r="D75" s="36">
        <v>46</v>
      </c>
      <c r="E75" s="36">
        <f t="shared" si="1"/>
        <v>0.0086</v>
      </c>
      <c r="F75" s="35">
        <f>E49</f>
        <v>1769</v>
      </c>
      <c r="G75" s="61">
        <f>ROUND(F75*E75,2)</f>
        <v>15.21</v>
      </c>
      <c r="H75" s="61">
        <f>ROUND(G75*454/3600,2)</f>
        <v>1.92</v>
      </c>
      <c r="I75" s="67">
        <f t="shared" si="0"/>
        <v>133240</v>
      </c>
      <c r="J75" s="64">
        <f t="shared" si="2"/>
        <v>66.62</v>
      </c>
    </row>
    <row r="76" spans="1:10" ht="12.75">
      <c r="A76" s="43" t="s">
        <v>7</v>
      </c>
      <c r="B76" s="35" t="s">
        <v>18</v>
      </c>
      <c r="C76" s="36">
        <v>7</v>
      </c>
      <c r="D76" s="36">
        <v>46</v>
      </c>
      <c r="E76" s="36">
        <f t="shared" si="1"/>
        <v>0.0086</v>
      </c>
      <c r="F76" s="35">
        <f>E50</f>
        <v>1769</v>
      </c>
      <c r="G76" s="61">
        <f>ROUND(F76*E76,2)</f>
        <v>15.21</v>
      </c>
      <c r="H76" s="61">
        <f>ROUND(G76*454/3600,2)</f>
        <v>1.92</v>
      </c>
      <c r="I76" s="67">
        <f t="shared" si="0"/>
        <v>133240</v>
      </c>
      <c r="J76" s="64">
        <f t="shared" si="2"/>
        <v>66.62</v>
      </c>
    </row>
    <row r="77" spans="1:10" ht="39">
      <c r="A77" s="44" t="s">
        <v>55</v>
      </c>
      <c r="B77" s="35" t="s">
        <v>18</v>
      </c>
      <c r="C77" s="36">
        <v>7</v>
      </c>
      <c r="D77" s="36">
        <v>46</v>
      </c>
      <c r="E77" s="36">
        <v>0.0086</v>
      </c>
      <c r="F77" s="36">
        <f>SUM(F75:F76)</f>
        <v>3538</v>
      </c>
      <c r="G77" s="61">
        <f>SUM(G75:G76)</f>
        <v>30.42</v>
      </c>
      <c r="H77" s="61">
        <f>SUM(H75:H76)</f>
        <v>3.84</v>
      </c>
      <c r="I77" s="67">
        <f t="shared" si="0"/>
        <v>266479</v>
      </c>
      <c r="J77" s="64">
        <f t="shared" si="2"/>
        <v>133.24</v>
      </c>
    </row>
    <row r="78" spans="1:10" ht="27" thickBot="1">
      <c r="A78" s="45" t="s">
        <v>25</v>
      </c>
      <c r="B78" s="46" t="s">
        <v>18</v>
      </c>
      <c r="C78" s="40">
        <v>7</v>
      </c>
      <c r="D78" s="40">
        <v>46</v>
      </c>
      <c r="E78" s="40">
        <f t="shared" si="1"/>
        <v>0.0086</v>
      </c>
      <c r="F78" s="39">
        <f>E51</f>
        <v>4347</v>
      </c>
      <c r="G78" s="62">
        <f>ROUND(F78*E78,2)</f>
        <v>37.38</v>
      </c>
      <c r="H78" s="62">
        <f>ROUND(G78*454/3600,2)</f>
        <v>4.71</v>
      </c>
      <c r="I78" s="73">
        <f t="shared" si="0"/>
        <v>327449</v>
      </c>
      <c r="J78" s="65">
        <f t="shared" si="2"/>
        <v>163.72</v>
      </c>
    </row>
    <row r="79" spans="1:10" ht="15.75" thickTop="1">
      <c r="A79" s="147" t="s">
        <v>6</v>
      </c>
      <c r="B79" s="148" t="s">
        <v>85</v>
      </c>
      <c r="C79" s="149" t="s">
        <v>78</v>
      </c>
      <c r="D79" s="149">
        <v>64</v>
      </c>
      <c r="E79" s="149">
        <f>ROUND($D$92/1050,4)</f>
        <v>0.0014</v>
      </c>
      <c r="F79" s="148">
        <v>1769</v>
      </c>
      <c r="G79" s="150">
        <f>ROUND(F79*E79,2)</f>
        <v>2.48</v>
      </c>
      <c r="H79" s="150">
        <f>ROUND(G79*454/3600,2)</f>
        <v>0.31</v>
      </c>
      <c r="I79" s="151">
        <f aca="true" t="shared" si="3" ref="I79:I86">ROUND(G79*8760,0)</f>
        <v>21725</v>
      </c>
      <c r="J79" s="152">
        <f>ROUND(I79/2000,2)</f>
        <v>10.86</v>
      </c>
    </row>
    <row r="80" spans="1:10" ht="15">
      <c r="A80" s="43" t="s">
        <v>7</v>
      </c>
      <c r="B80" s="35" t="s">
        <v>85</v>
      </c>
      <c r="C80" s="36" t="s">
        <v>78</v>
      </c>
      <c r="D80" s="36">
        <v>64</v>
      </c>
      <c r="E80" s="36">
        <f>ROUND($D$92/1050,4)</f>
        <v>0.0014</v>
      </c>
      <c r="F80" s="35">
        <v>1769</v>
      </c>
      <c r="G80" s="153">
        <f>ROUND(F80*E80,2)</f>
        <v>2.48</v>
      </c>
      <c r="H80" s="153">
        <f>ROUND(G80*454/3600,2)</f>
        <v>0.31</v>
      </c>
      <c r="I80" s="154">
        <f t="shared" si="3"/>
        <v>21725</v>
      </c>
      <c r="J80" s="64">
        <f t="shared" si="2"/>
        <v>10.86</v>
      </c>
    </row>
    <row r="81" spans="1:10" ht="39">
      <c r="A81" s="44" t="s">
        <v>54</v>
      </c>
      <c r="B81" s="35" t="s">
        <v>85</v>
      </c>
      <c r="C81" s="36" t="s">
        <v>78</v>
      </c>
      <c r="D81" s="36">
        <v>64</v>
      </c>
      <c r="E81" s="36">
        <f>ROUND($D$92/1050,4)</f>
        <v>0.0014</v>
      </c>
      <c r="F81" s="35">
        <v>3538</v>
      </c>
      <c r="G81" s="153">
        <f>SUM(G79:G80)</f>
        <v>4.96</v>
      </c>
      <c r="H81" s="153">
        <f>SUM(H79:H80)</f>
        <v>0.62</v>
      </c>
      <c r="I81" s="154">
        <f t="shared" si="3"/>
        <v>43450</v>
      </c>
      <c r="J81" s="64">
        <f t="shared" si="2"/>
        <v>21.73</v>
      </c>
    </row>
    <row r="82" spans="1:10" ht="27" thickBot="1">
      <c r="A82" s="45" t="s">
        <v>25</v>
      </c>
      <c r="B82" s="39" t="s">
        <v>85</v>
      </c>
      <c r="C82" s="40" t="s">
        <v>78</v>
      </c>
      <c r="D82" s="40">
        <v>64</v>
      </c>
      <c r="E82" s="40">
        <f>ROUND($D$92/1050,4)</f>
        <v>0.0014</v>
      </c>
      <c r="F82" s="39">
        <v>4347</v>
      </c>
      <c r="G82" s="155">
        <f>ROUND(F82*E82,2)</f>
        <v>6.09</v>
      </c>
      <c r="H82" s="156">
        <f>ROUND(G82*454/3600,2)</f>
        <v>0.77</v>
      </c>
      <c r="I82" s="157">
        <f t="shared" si="3"/>
        <v>53348</v>
      </c>
      <c r="J82" s="65">
        <f t="shared" si="2"/>
        <v>26.67</v>
      </c>
    </row>
    <row r="83" spans="1:10" ht="31.5" thickTop="1">
      <c r="A83" s="147" t="s">
        <v>6</v>
      </c>
      <c r="B83" s="158" t="s">
        <v>111</v>
      </c>
      <c r="C83" s="149" t="s">
        <v>78</v>
      </c>
      <c r="D83" s="149">
        <v>132.2</v>
      </c>
      <c r="E83" s="159">
        <f>($F$107/1050)</f>
        <v>0.00014476190476190475</v>
      </c>
      <c r="F83" s="148">
        <v>1769</v>
      </c>
      <c r="G83" s="150">
        <f>ROUND(F83*E83,2)</f>
        <v>0.26</v>
      </c>
      <c r="H83" s="150">
        <f>ROUND(G83*454/3600,2)</f>
        <v>0.03</v>
      </c>
      <c r="I83" s="151">
        <f t="shared" si="3"/>
        <v>2278</v>
      </c>
      <c r="J83" s="152">
        <f>ROUND(I83/2000,2)</f>
        <v>1.14</v>
      </c>
    </row>
    <row r="84" spans="1:10" ht="30.75">
      <c r="A84" s="43" t="s">
        <v>7</v>
      </c>
      <c r="B84" s="160" t="s">
        <v>111</v>
      </c>
      <c r="C84" s="36" t="s">
        <v>78</v>
      </c>
      <c r="D84" s="36">
        <v>132.2</v>
      </c>
      <c r="E84" s="161">
        <f>($F$107/1050)</f>
        <v>0.00014476190476190475</v>
      </c>
      <c r="F84" s="35">
        <v>1769</v>
      </c>
      <c r="G84" s="153">
        <f>ROUND(F84*E84,2)</f>
        <v>0.26</v>
      </c>
      <c r="H84" s="153">
        <f>ROUND(G84*454/3600,2)</f>
        <v>0.03</v>
      </c>
      <c r="I84" s="154">
        <f t="shared" si="3"/>
        <v>2278</v>
      </c>
      <c r="J84" s="64">
        <f t="shared" si="2"/>
        <v>1.14</v>
      </c>
    </row>
    <row r="85" spans="1:10" ht="39">
      <c r="A85" s="44" t="s">
        <v>54</v>
      </c>
      <c r="B85" s="160" t="s">
        <v>111</v>
      </c>
      <c r="C85" s="36" t="s">
        <v>78</v>
      </c>
      <c r="D85" s="36">
        <v>132.2</v>
      </c>
      <c r="E85" s="161">
        <f>($F$107/1050)</f>
        <v>0.00014476190476190475</v>
      </c>
      <c r="F85" s="35">
        <v>3538</v>
      </c>
      <c r="G85" s="153">
        <f>SUM(G83:G84)</f>
        <v>0.52</v>
      </c>
      <c r="H85" s="153">
        <f>SUM(H83:H84)</f>
        <v>0.06</v>
      </c>
      <c r="I85" s="154">
        <f t="shared" si="3"/>
        <v>4555</v>
      </c>
      <c r="J85" s="64">
        <f t="shared" si="2"/>
        <v>2.28</v>
      </c>
    </row>
    <row r="86" spans="1:10" ht="31.5" thickBot="1">
      <c r="A86" s="45" t="s">
        <v>25</v>
      </c>
      <c r="B86" s="162" t="s">
        <v>111</v>
      </c>
      <c r="C86" s="40" t="s">
        <v>78</v>
      </c>
      <c r="D86" s="40">
        <v>132.2</v>
      </c>
      <c r="E86" s="163">
        <f>($F$107/1050)</f>
        <v>0.00014476190476190475</v>
      </c>
      <c r="F86" s="39">
        <v>4347</v>
      </c>
      <c r="G86" s="155">
        <f>ROUND(F86*E86,2)</f>
        <v>0.63</v>
      </c>
      <c r="H86" s="156">
        <f>ROUND(G86*454/3600,2)</f>
        <v>0.08</v>
      </c>
      <c r="I86" s="157">
        <f t="shared" si="3"/>
        <v>5519</v>
      </c>
      <c r="J86" s="65">
        <f t="shared" si="2"/>
        <v>2.76</v>
      </c>
    </row>
    <row r="87" spans="1:10" ht="13.5" thickTop="1">
      <c r="A87" s="88"/>
      <c r="B87" s="72"/>
      <c r="C87" s="71"/>
      <c r="D87" s="71"/>
      <c r="E87" s="71"/>
      <c r="F87" s="72"/>
      <c r="G87" s="141"/>
      <c r="H87" s="21"/>
      <c r="I87" s="55"/>
      <c r="J87" s="90"/>
    </row>
    <row r="88" spans="1:10" ht="12.75">
      <c r="A88" s="88"/>
      <c r="B88" s="72"/>
      <c r="C88" s="71"/>
      <c r="D88" s="71"/>
      <c r="E88" s="71"/>
      <c r="F88" s="72"/>
      <c r="G88" s="141"/>
      <c r="H88" s="21"/>
      <c r="I88" s="55"/>
      <c r="J88" s="90"/>
    </row>
    <row r="89" spans="1:9" ht="12.75">
      <c r="A89" s="88"/>
      <c r="B89" s="7" t="s">
        <v>0</v>
      </c>
      <c r="C89" s="133" t="s">
        <v>89</v>
      </c>
      <c r="D89" s="133" t="s">
        <v>89</v>
      </c>
      <c r="E89" s="11" t="s">
        <v>90</v>
      </c>
      <c r="F89" s="141" t="s">
        <v>89</v>
      </c>
      <c r="G89" s="21"/>
      <c r="H89" s="55"/>
      <c r="I89" s="90"/>
    </row>
    <row r="90" spans="1:9" ht="12.75">
      <c r="A90" s="88"/>
      <c r="B90" s="7"/>
      <c r="C90" s="133" t="s">
        <v>91</v>
      </c>
      <c r="D90" s="133" t="s">
        <v>91</v>
      </c>
      <c r="E90" s="11"/>
      <c r="F90" s="141" t="s">
        <v>91</v>
      </c>
      <c r="G90" s="21"/>
      <c r="H90" s="55"/>
      <c r="I90" s="90"/>
    </row>
    <row r="91" spans="1:9" ht="12.75">
      <c r="A91" s="88"/>
      <c r="B91" s="91"/>
      <c r="C91" s="133" t="s">
        <v>92</v>
      </c>
      <c r="D91" s="133" t="s">
        <v>92</v>
      </c>
      <c r="E91" s="11" t="s">
        <v>101</v>
      </c>
      <c r="F91" s="141" t="s">
        <v>2</v>
      </c>
      <c r="G91" s="21"/>
      <c r="H91" s="55"/>
      <c r="I91" s="90"/>
    </row>
    <row r="92" spans="2:9" ht="16.5">
      <c r="B92" s="91" t="s">
        <v>95</v>
      </c>
      <c r="C92" s="2" t="s">
        <v>93</v>
      </c>
      <c r="D92" s="11">
        <f>ROUND(0.6*(F100/2000),2)</f>
        <v>1.42</v>
      </c>
      <c r="E92" s="144">
        <f>+F100</f>
        <v>4728</v>
      </c>
      <c r="F92" s="1">
        <f>ROUND(D92/1050,4)</f>
        <v>0.0014</v>
      </c>
      <c r="I92"/>
    </row>
    <row r="93" ht="12.75">
      <c r="I93"/>
    </row>
    <row r="94" ht="12.75">
      <c r="I94"/>
    </row>
    <row r="95" spans="1:9" ht="12.75">
      <c r="A95" s="7" t="s">
        <v>86</v>
      </c>
      <c r="I95"/>
    </row>
    <row r="96" ht="12.75">
      <c r="I96"/>
    </row>
    <row r="97" spans="2:9" ht="15">
      <c r="B97" s="7" t="s">
        <v>87</v>
      </c>
      <c r="I97"/>
    </row>
    <row r="98" ht="12.75">
      <c r="I98"/>
    </row>
    <row r="99" spans="2:9" ht="39">
      <c r="B99" s="142"/>
      <c r="C99" s="142" t="s">
        <v>96</v>
      </c>
      <c r="D99" s="143" t="s">
        <v>88</v>
      </c>
      <c r="E99" s="132" t="s">
        <v>94</v>
      </c>
      <c r="F99" s="143" t="s">
        <v>100</v>
      </c>
      <c r="I99"/>
    </row>
    <row r="100" spans="2:9" ht="12.75">
      <c r="B100" s="1"/>
      <c r="C100" s="2">
        <v>8</v>
      </c>
      <c r="D100" s="2">
        <v>32</v>
      </c>
      <c r="E100" s="2">
        <v>17.2</v>
      </c>
      <c r="F100" s="1">
        <f>ROUND(8*32*7000/(379),0)</f>
        <v>4728</v>
      </c>
      <c r="I100"/>
    </row>
    <row r="101" spans="1:10" ht="12.75">
      <c r="A101" s="88"/>
      <c r="B101" s="72"/>
      <c r="C101" s="71"/>
      <c r="D101" s="71"/>
      <c r="E101" s="71"/>
      <c r="F101" s="72"/>
      <c r="G101" s="141"/>
      <c r="H101" s="21"/>
      <c r="I101" s="55"/>
      <c r="J101" s="90"/>
    </row>
    <row r="102" spans="1:9" ht="15">
      <c r="A102" s="7" t="s">
        <v>103</v>
      </c>
      <c r="B102" s="1"/>
      <c r="C102" s="2"/>
      <c r="D102" s="2"/>
      <c r="E102" s="2"/>
      <c r="F102" s="1"/>
      <c r="I102"/>
    </row>
    <row r="103" spans="1:9" ht="16.5">
      <c r="A103" s="7" t="s">
        <v>104</v>
      </c>
      <c r="B103" s="1"/>
      <c r="C103" s="2"/>
      <c r="D103" s="2"/>
      <c r="E103" s="2"/>
      <c r="F103" s="1"/>
      <c r="I103"/>
    </row>
    <row r="104" spans="1:9" ht="14.25" customHeight="1">
      <c r="A104" s="7" t="s">
        <v>105</v>
      </c>
      <c r="B104" s="1"/>
      <c r="C104" s="2"/>
      <c r="D104" s="2"/>
      <c r="E104" s="2"/>
      <c r="F104" s="1"/>
      <c r="I104"/>
    </row>
    <row r="105" spans="2:9" ht="15">
      <c r="B105" s="1" t="s">
        <v>106</v>
      </c>
      <c r="C105" s="2" t="s">
        <v>85</v>
      </c>
      <c r="D105" s="2" t="s">
        <v>107</v>
      </c>
      <c r="E105" s="2" t="s">
        <v>102</v>
      </c>
      <c r="F105" s="1" t="s">
        <v>102</v>
      </c>
      <c r="I105"/>
    </row>
    <row r="106" spans="2:9" ht="12.75">
      <c r="B106" s="1" t="s">
        <v>108</v>
      </c>
      <c r="C106" s="2" t="s">
        <v>109</v>
      </c>
      <c r="D106" s="2" t="s">
        <v>109</v>
      </c>
      <c r="E106" s="2" t="s">
        <v>2</v>
      </c>
      <c r="F106" s="1" t="s">
        <v>110</v>
      </c>
      <c r="I106"/>
    </row>
    <row r="107" spans="2:9" ht="12.75">
      <c r="B107" s="1">
        <f>ROUND(D92/1050,4)</f>
        <v>0.0014</v>
      </c>
      <c r="C107" s="146">
        <f>B107/64</f>
        <v>2.1875E-05</v>
      </c>
      <c r="D107" s="146">
        <f>0.05*C107</f>
        <v>1.0937500000000001E-06</v>
      </c>
      <c r="E107" s="146">
        <f>D107*132.2</f>
        <v>0.00014459375</v>
      </c>
      <c r="F107" s="145">
        <f>ROUND(E107*1050,3)</f>
        <v>0.152</v>
      </c>
      <c r="I107"/>
    </row>
    <row r="108" spans="2:9" ht="12.75">
      <c r="B108" s="1"/>
      <c r="C108" s="146"/>
      <c r="D108" s="146"/>
      <c r="E108" s="146"/>
      <c r="F108" s="145"/>
      <c r="I108"/>
    </row>
    <row r="109" spans="1:10" ht="12.75">
      <c r="A109" s="88"/>
      <c r="B109" s="164" t="s">
        <v>62</v>
      </c>
      <c r="C109" s="164"/>
      <c r="D109" s="164"/>
      <c r="E109" s="164"/>
      <c r="F109" s="164"/>
      <c r="G109" s="21"/>
      <c r="H109" s="21"/>
      <c r="I109" s="55"/>
      <c r="J109" s="90"/>
    </row>
    <row r="110" spans="1:10" ht="13.5" thickBot="1">
      <c r="A110" s="88"/>
      <c r="B110" s="89"/>
      <c r="C110" s="71"/>
      <c r="D110" s="71"/>
      <c r="E110" s="71"/>
      <c r="F110" s="72"/>
      <c r="G110" s="21"/>
      <c r="H110" s="21"/>
      <c r="I110" s="55"/>
      <c r="J110" s="90"/>
    </row>
    <row r="111" spans="1:10" ht="26.25">
      <c r="A111" s="88"/>
      <c r="B111" s="92" t="s">
        <v>9</v>
      </c>
      <c r="C111" s="93" t="s">
        <v>63</v>
      </c>
      <c r="D111" s="94" t="s">
        <v>64</v>
      </c>
      <c r="E111" s="103" t="s">
        <v>61</v>
      </c>
      <c r="F111" s="106" t="s">
        <v>61</v>
      </c>
      <c r="G111" s="21"/>
      <c r="H111" s="21"/>
      <c r="I111" s="55"/>
      <c r="J111" s="90"/>
    </row>
    <row r="112" spans="1:10" ht="13.5" thickBot="1">
      <c r="A112" s="88"/>
      <c r="B112" s="98"/>
      <c r="C112" s="99" t="s">
        <v>35</v>
      </c>
      <c r="D112" s="100" t="s">
        <v>35</v>
      </c>
      <c r="E112" s="104" t="s">
        <v>35</v>
      </c>
      <c r="F112" s="85" t="s">
        <v>36</v>
      </c>
      <c r="G112" s="21"/>
      <c r="H112" s="21"/>
      <c r="I112" s="55"/>
      <c r="J112" s="90"/>
    </row>
    <row r="113" spans="1:10" ht="12.75">
      <c r="A113" s="88"/>
      <c r="B113" s="95" t="s">
        <v>6</v>
      </c>
      <c r="C113" s="101">
        <f>G59</f>
        <v>319391</v>
      </c>
      <c r="D113" s="102">
        <f>I75</f>
        <v>133240</v>
      </c>
      <c r="E113" s="107">
        <f>C113-D113</f>
        <v>186151</v>
      </c>
      <c r="F113" s="81">
        <f>E113/2000</f>
        <v>93.0755</v>
      </c>
      <c r="G113" s="21"/>
      <c r="H113" s="21"/>
      <c r="I113" s="55"/>
      <c r="J113" s="90"/>
    </row>
    <row r="114" spans="1:10" ht="12.75">
      <c r="A114" s="88"/>
      <c r="B114" s="95" t="s">
        <v>7</v>
      </c>
      <c r="C114" s="101">
        <f>G60</f>
        <v>751053</v>
      </c>
      <c r="D114" s="102">
        <f>I76</f>
        <v>133240</v>
      </c>
      <c r="E114" s="107">
        <f>G60</f>
        <v>751053</v>
      </c>
      <c r="F114" s="81">
        <f>E114/2000</f>
        <v>375.5265</v>
      </c>
      <c r="G114" s="21"/>
      <c r="H114" s="21"/>
      <c r="I114" s="55"/>
      <c r="J114" s="90"/>
    </row>
    <row r="115" spans="1:10" ht="39">
      <c r="A115" s="88"/>
      <c r="B115" s="96" t="s">
        <v>65</v>
      </c>
      <c r="C115" s="101">
        <f>SUM(C113:C114)</f>
        <v>1070444</v>
      </c>
      <c r="D115" s="101">
        <f>I77</f>
        <v>266479</v>
      </c>
      <c r="E115" s="107">
        <f>C115-D115</f>
        <v>803965</v>
      </c>
      <c r="F115" s="120">
        <f>E115/2000</f>
        <v>401.9825</v>
      </c>
      <c r="G115" s="21"/>
      <c r="H115" s="21"/>
      <c r="I115" s="55"/>
      <c r="J115" s="90"/>
    </row>
    <row r="116" spans="1:10" ht="12.75">
      <c r="A116" s="88"/>
      <c r="B116" s="96" t="s">
        <v>8</v>
      </c>
      <c r="C116" s="101">
        <v>711894</v>
      </c>
      <c r="D116" s="101">
        <v>327449</v>
      </c>
      <c r="E116" s="107">
        <f>C116-D116</f>
        <v>384445</v>
      </c>
      <c r="F116" s="81">
        <f>E116/2000</f>
        <v>192.2225</v>
      </c>
      <c r="G116" s="21"/>
      <c r="H116" s="21"/>
      <c r="I116" s="55"/>
      <c r="J116" s="90"/>
    </row>
    <row r="117" spans="1:10" ht="13.5" thickBot="1">
      <c r="A117" s="88"/>
      <c r="B117" s="97" t="s">
        <v>73</v>
      </c>
      <c r="C117" s="87"/>
      <c r="D117" s="105"/>
      <c r="E117" s="108"/>
      <c r="F117" s="85">
        <f>F115+F116</f>
        <v>594.205</v>
      </c>
      <c r="G117" s="21"/>
      <c r="H117" s="21"/>
      <c r="I117" s="55"/>
      <c r="J117" s="90"/>
    </row>
    <row r="118" spans="1:8" ht="13.5" thickBot="1">
      <c r="A118" s="9"/>
      <c r="B118" s="12"/>
      <c r="C118" s="8"/>
      <c r="D118" s="13"/>
      <c r="E118" s="13"/>
      <c r="F118" s="1"/>
      <c r="G118" s="1"/>
      <c r="H118" s="1"/>
    </row>
    <row r="119" spans="1:8" ht="39.75" thickBot="1">
      <c r="A119" s="9"/>
      <c r="B119" s="137" t="s">
        <v>9</v>
      </c>
      <c r="C119" s="138" t="s">
        <v>82</v>
      </c>
      <c r="D119" s="139" t="s">
        <v>83</v>
      </c>
      <c r="E119" s="140" t="s">
        <v>84</v>
      </c>
      <c r="F119" s="1"/>
      <c r="G119" s="1"/>
      <c r="H119" s="1"/>
    </row>
    <row r="120" spans="1:8" ht="12.75">
      <c r="A120" s="9"/>
      <c r="B120" s="128"/>
      <c r="C120" s="129"/>
      <c r="D120" s="130"/>
      <c r="E120" s="131"/>
      <c r="F120" s="1"/>
      <c r="G120" s="1"/>
      <c r="H120" s="1"/>
    </row>
    <row r="121" spans="1:8" ht="12.75">
      <c r="A121" s="9"/>
      <c r="B121" s="134" t="s">
        <v>6</v>
      </c>
      <c r="C121" s="135">
        <f>F63</f>
        <v>39269.95</v>
      </c>
      <c r="D121" s="86">
        <f>I71</f>
        <v>71306</v>
      </c>
      <c r="E121" s="81">
        <f>D121-C121</f>
        <v>32036.050000000003</v>
      </c>
      <c r="F121" s="1"/>
      <c r="G121" s="1"/>
      <c r="H121" s="1"/>
    </row>
    <row r="122" spans="1:8" ht="12.75">
      <c r="A122" s="9"/>
      <c r="B122" s="134" t="s">
        <v>7</v>
      </c>
      <c r="C122" s="135">
        <f>F64</f>
        <v>80709.2</v>
      </c>
      <c r="D122" s="86">
        <f>I72</f>
        <v>71306</v>
      </c>
      <c r="E122" s="81">
        <f>D122-C122</f>
        <v>-9403.199999999997</v>
      </c>
      <c r="F122" s="1"/>
      <c r="G122" s="1"/>
      <c r="H122" s="1"/>
    </row>
    <row r="123" spans="1:8" ht="12.75">
      <c r="A123" s="9"/>
      <c r="B123" s="134" t="s">
        <v>8</v>
      </c>
      <c r="C123" s="135">
        <v>0</v>
      </c>
      <c r="D123" s="86">
        <f>I74</f>
        <v>175200</v>
      </c>
      <c r="E123" s="81">
        <f>D123-C123</f>
        <v>175200</v>
      </c>
      <c r="F123" s="1"/>
      <c r="G123" s="1"/>
      <c r="H123" s="1"/>
    </row>
    <row r="124" spans="1:8" ht="13.5" thickBot="1">
      <c r="A124" s="9"/>
      <c r="B124" s="97" t="s">
        <v>73</v>
      </c>
      <c r="C124" s="136"/>
      <c r="D124" s="122"/>
      <c r="E124" s="85">
        <f>SUM(E121:E123)</f>
        <v>197832.85</v>
      </c>
      <c r="F124" s="1"/>
      <c r="G124" s="1"/>
      <c r="H124" s="1"/>
    </row>
    <row r="125" ht="15.75" customHeight="1"/>
    <row r="126" spans="1:5" ht="12.75">
      <c r="A126" s="7"/>
      <c r="B126" s="7"/>
      <c r="C126" s="7"/>
      <c r="D126" s="7"/>
      <c r="E126" s="7"/>
    </row>
    <row r="127" ht="12.75">
      <c r="A127" t="s">
        <v>51</v>
      </c>
    </row>
    <row r="128" ht="12.75">
      <c r="A128" t="s">
        <v>52</v>
      </c>
    </row>
    <row r="129" ht="12.75">
      <c r="A129" t="s">
        <v>53</v>
      </c>
    </row>
    <row r="130" ht="12.75">
      <c r="A130" t="s">
        <v>58</v>
      </c>
    </row>
    <row r="131" ht="12.75">
      <c r="A131" s="91" t="s">
        <v>66</v>
      </c>
    </row>
    <row r="132" spans="1:8" ht="12.75">
      <c r="A132" t="s">
        <v>97</v>
      </c>
      <c r="F132" s="1"/>
      <c r="G132" s="1"/>
      <c r="H132" s="1"/>
    </row>
    <row r="133" spans="1:8" ht="12.75">
      <c r="A133" t="s">
        <v>98</v>
      </c>
      <c r="B133" s="1"/>
      <c r="C133" s="1"/>
      <c r="D133" s="1"/>
      <c r="E133" s="1"/>
      <c r="F133" s="2"/>
      <c r="G133" s="2"/>
      <c r="H133" s="2"/>
    </row>
    <row r="134" spans="1:8" ht="12.75">
      <c r="A134" t="s">
        <v>99</v>
      </c>
      <c r="B134" s="1"/>
      <c r="C134" s="1"/>
      <c r="D134" s="1"/>
      <c r="E134" s="1"/>
      <c r="F134" s="2"/>
      <c r="G134" s="2"/>
      <c r="H134" s="2"/>
    </row>
    <row r="135" spans="6:8" ht="12.75">
      <c r="F135" s="2"/>
      <c r="G135" s="2"/>
      <c r="H135" s="2"/>
    </row>
    <row r="136" spans="2:5" ht="12.75">
      <c r="B136" s="7"/>
      <c r="C136" s="11"/>
      <c r="D136" s="10"/>
      <c r="E136" s="2"/>
    </row>
    <row r="137" spans="2:5" ht="12.75">
      <c r="B137" s="7"/>
      <c r="C137" s="11"/>
      <c r="D137" s="10"/>
      <c r="E137" s="2"/>
    </row>
    <row r="138" spans="2:5" ht="12.75">
      <c r="B138" s="7"/>
      <c r="C138" s="11"/>
      <c r="D138" s="10"/>
      <c r="E138" s="2"/>
    </row>
    <row r="139" spans="2:5" ht="12.75">
      <c r="B139" s="7"/>
      <c r="C139" s="11"/>
      <c r="D139" s="10"/>
      <c r="E139" s="2"/>
    </row>
    <row r="140" spans="2:5" ht="12.75">
      <c r="B140" s="7"/>
      <c r="C140" s="11"/>
      <c r="D140" s="2"/>
      <c r="E140" s="2"/>
    </row>
    <row r="141" spans="2:5" ht="12.75">
      <c r="B141" s="7"/>
      <c r="C141" s="11"/>
      <c r="D141" s="2"/>
      <c r="E141" s="2"/>
    </row>
  </sheetData>
  <sheetProtection/>
  <mergeCells count="6">
    <mergeCell ref="B109:F109"/>
    <mergeCell ref="D26:E26"/>
    <mergeCell ref="D44:E44"/>
    <mergeCell ref="A1:I1"/>
    <mergeCell ref="A3:I3"/>
    <mergeCell ref="A2:I2"/>
  </mergeCells>
  <printOptions/>
  <pageMargins left="0.75" right="0.75" top="0.69" bottom="0.65" header="0.5" footer="0.29"/>
  <pageSetup fitToHeight="3" horizontalDpi="600" verticalDpi="600" orientation="portrait" scale="79" r:id="rId2"/>
  <headerFooter alignWithMargins="0">
    <oddFooter>&amp;L&amp;6K:\REPORTS\R1350\SCATTERGOOD\&amp;F\&amp;A&amp;C&amp;P of &amp;N&amp;R&amp;6&amp;D</oddFooter>
  </headerFooter>
  <rowBreaks count="2" manualBreakCount="2">
    <brk id="53" max="255" man="1"/>
    <brk id="9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Parsons</dc:creator>
  <cp:keywords/>
  <dc:description/>
  <cp:lastModifiedBy>dsasaki</cp:lastModifiedBy>
  <cp:lastPrinted>2000-11-17T20:12:27Z</cp:lastPrinted>
  <dcterms:created xsi:type="dcterms:W3CDTF">2000-10-17T17:24:56Z</dcterms:created>
  <dcterms:modified xsi:type="dcterms:W3CDTF">2014-08-06T18:56:45Z</dcterms:modified>
  <cp:category/>
  <cp:version/>
  <cp:contentType/>
  <cp:contentStatus/>
</cp:coreProperties>
</file>