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599" activeTab="0"/>
  </bookViews>
  <sheets>
    <sheet name="Criteria Pollu. Emissions" sheetId="1" r:id="rId1"/>
    <sheet name="Air Toxics Emissions" sheetId="2" r:id="rId2"/>
    <sheet name="Air Toxics Grams per Sec" sheetId="3" r:id="rId3"/>
    <sheet name="EF Criteria " sheetId="4" r:id="rId4"/>
    <sheet name="stack" sheetId="5" r:id="rId5"/>
    <sheet name="Air Toxics EF" sheetId="6" r:id="rId6"/>
  </sheets>
  <definedNames/>
  <calcPr fullCalcOnLoad="1"/>
</workbook>
</file>

<file path=xl/sharedStrings.xml><?xml version="1.0" encoding="utf-8"?>
<sst xmlns="http://schemas.openxmlformats.org/spreadsheetml/2006/main" count="468" uniqueCount="262">
  <si>
    <t>Maximum Firing Rate = 47,300 kW X 8250 Btu/kW-hr</t>
  </si>
  <si>
    <t>MFR</t>
  </si>
  <si>
    <t>Size</t>
  </si>
  <si>
    <t>Factor</t>
  </si>
  <si>
    <t>LHV</t>
  </si>
  <si>
    <t>HHV</t>
  </si>
  <si>
    <t>(Btu/hr)</t>
  </si>
  <si>
    <t>(kW)</t>
  </si>
  <si>
    <t>(Btu/kW-hr)</t>
  </si>
  <si>
    <t>(Btu/scf)</t>
  </si>
  <si>
    <t>Pollutant</t>
  </si>
  <si>
    <t>EL</t>
  </si>
  <si>
    <t>CO</t>
  </si>
  <si>
    <t>EF</t>
  </si>
  <si>
    <t>(lb/MMscf)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</si>
  <si>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</si>
  <si>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</si>
  <si>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</si>
  <si>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</si>
  <si>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</si>
  <si>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(Natural Gas Use by the Combustion Turbines)</t>
  </si>
  <si>
    <t>(ppmv)</t>
  </si>
  <si>
    <r>
      <t>Convert Emission Limits (EL) from ppmv to lb/MMBtu for NOx, CO, VOC, and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.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</si>
  <si>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</si>
  <si>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Emission</t>
  </si>
  <si>
    <t xml:space="preserve">4.  Emission limits are 5 ppmv for oxides of nitrogen (NOx), 6 ppmv for carbon monoxide (CO), </t>
  </si>
  <si>
    <r>
      <t>5.  Emission limits are assumed to be at 15%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</si>
  <si>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Maximum Annual Fuel Consumption = Maximum Hourly Rate x 8760 hours/yr</t>
  </si>
  <si>
    <t>(It is assumed that the turbine operates continuously at full capacity throughout the year.)</t>
  </si>
  <si>
    <t>Maximum Annual Fuel Consumption =</t>
  </si>
  <si>
    <t>Sulfur</t>
  </si>
  <si>
    <t>(wt%)</t>
  </si>
  <si>
    <t>NA</t>
  </si>
  <si>
    <t>(4) Emission factor in lb/MMBtu is from Ap-42, Table 3.1-2a.</t>
  </si>
  <si>
    <t xml:space="preserve">(5) Emission Factor in lb/MMBtu is from AP-42, Table 3.1-2a.  </t>
  </si>
  <si>
    <t>Convert Emission Limit (EL) in lb/MMBtu to Emission Factor in lb/MMscf, EF = EL x HHV (Btu/scf)</t>
  </si>
  <si>
    <r>
      <t>Emission Factors for PM10 and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</si>
  <si>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0.94S</t>
  </si>
  <si>
    <t>Device ID Number:</t>
  </si>
  <si>
    <t>Process Description:</t>
  </si>
  <si>
    <t/>
  </si>
  <si>
    <t>No. of Devices:</t>
  </si>
  <si>
    <t>Process Equipment Description:</t>
  </si>
  <si>
    <t>Fuel Type:</t>
  </si>
  <si>
    <t>Natural Gas</t>
  </si>
  <si>
    <t>Process Units:</t>
  </si>
  <si>
    <t>MMCF</t>
  </si>
  <si>
    <t>Control Equipment:</t>
  </si>
  <si>
    <t>Selective Catalytic Reduction and CO Catalyst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</si>
  <si>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</si>
  <si>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</si>
  <si>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</si>
  <si>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</si>
  <si>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</si>
  <si>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</si>
  <si>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t>Process Operation Schedule</t>
  </si>
  <si>
    <t>hours/day</t>
  </si>
  <si>
    <t>days/week</t>
  </si>
  <si>
    <t>weeks/year</t>
  </si>
  <si>
    <t>Houlry Max</t>
  </si>
  <si>
    <t>Annual</t>
  </si>
  <si>
    <t xml:space="preserve">Species Name </t>
  </si>
  <si>
    <t>Emissions</t>
  </si>
  <si>
    <t>(lbs/hr)</t>
  </si>
  <si>
    <t>(lbs/yr)</t>
  </si>
  <si>
    <t>(tons/yr)</t>
  </si>
  <si>
    <t>NOx</t>
  </si>
  <si>
    <t>Criteria</t>
  </si>
  <si>
    <t>VOC</t>
  </si>
  <si>
    <t>GE LM6000, Sprint 47.3 MW</t>
  </si>
  <si>
    <t>See below</t>
  </si>
  <si>
    <t>EF = Emission Factor</t>
  </si>
  <si>
    <t>PM10</t>
  </si>
  <si>
    <r>
      <t>SO</t>
    </r>
    <r>
      <rPr>
        <b/>
        <vertAlign val="subscript"/>
        <sz val="10"/>
        <rFont val="Arial"/>
        <family val="2"/>
      </rPr>
      <t>2</t>
    </r>
  </si>
  <si>
    <t>Daily</t>
  </si>
  <si>
    <r>
      <t>NH</t>
    </r>
    <r>
      <rPr>
        <b/>
        <vertAlign val="subscript"/>
        <sz val="10"/>
        <rFont val="Arial"/>
        <family val="2"/>
      </rPr>
      <t>3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</si>
  <si>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 (one CT)</t>
    </r>
  </si>
  <si>
    <r>
      <t>F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0"/>
      </rPr>
      <t xml:space="preserve"> = Maximum Hourly Amount of Fuel Burned (one CT)</t>
    </r>
  </si>
  <si>
    <t>Air Toxic</t>
  </si>
  <si>
    <t>CAS Number</t>
  </si>
  <si>
    <t>Ammonia</t>
  </si>
  <si>
    <t xml:space="preserve">     Rule 1401 (Amended August 2000).</t>
  </si>
  <si>
    <t xml:space="preserve">     CARB to Parsons Engineering Science on 10/12/00.</t>
  </si>
  <si>
    <t xml:space="preserve">2.  Mean Emission factors for all the air toxics except for ammonia are from the latest California Air  </t>
  </si>
  <si>
    <t xml:space="preserve">     Resources Board's (CARB) air toxics emission data base.  The emission factors were provided by  </t>
  </si>
  <si>
    <t xml:space="preserve">3. The emissions are quantified for only those air toxics which are listed in Table 1 of the SCAQMD's </t>
  </si>
  <si>
    <t>PAH</t>
  </si>
  <si>
    <t>Acetaldehyde</t>
  </si>
  <si>
    <t>Acrolein</t>
  </si>
  <si>
    <t>Benzene</t>
  </si>
  <si>
    <t>1,3-Butadiene</t>
  </si>
  <si>
    <t>SVOC</t>
  </si>
  <si>
    <t>Ethylbenzene</t>
  </si>
  <si>
    <t>Formaldehyde</t>
  </si>
  <si>
    <t>Hexane</t>
  </si>
  <si>
    <t>Propylene</t>
  </si>
  <si>
    <t>Propylene Oxide</t>
  </si>
  <si>
    <t>Toluene</t>
  </si>
  <si>
    <t>Xylene(Total)</t>
  </si>
  <si>
    <t>CAS No.</t>
  </si>
  <si>
    <t>Rule 1401</t>
  </si>
  <si>
    <t>Listed Air</t>
  </si>
  <si>
    <t>Category</t>
  </si>
  <si>
    <t xml:space="preserve">Substance </t>
  </si>
  <si>
    <t>Toxic (Y/N)</t>
  </si>
  <si>
    <t xml:space="preserve">Air Toxics Emission factors are from California Air Resources Board's latest air toxics data </t>
  </si>
  <si>
    <t xml:space="preserve">base.  These emission factors are for combustion turbines equipped with SCR and CO   </t>
  </si>
  <si>
    <t>Y</t>
  </si>
  <si>
    <t>2-Chloronaphthalene</t>
  </si>
  <si>
    <t>N</t>
  </si>
  <si>
    <t>2-Methylnaphthalene</t>
  </si>
  <si>
    <t>Perylene</t>
  </si>
  <si>
    <t>WT% S</t>
  </si>
  <si>
    <t>MW of S</t>
  </si>
  <si>
    <r>
      <t>PM10</t>
    </r>
    <r>
      <rPr>
        <vertAlign val="superscript"/>
        <sz val="10"/>
        <rFont val="Arial"/>
        <family val="2"/>
      </rPr>
      <t xml:space="preserve"> (4)</t>
    </r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</si>
  <si>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(5)</t>
    </r>
  </si>
  <si>
    <t>Sulfur in Natural Gas (S)</t>
  </si>
  <si>
    <r>
      <t>WT% S = 100 x S in ppmv in natural gas x MW of S /(MW of Natural Gas x 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) </t>
    </r>
  </si>
  <si>
    <t>water-steam injection</t>
  </si>
  <si>
    <t xml:space="preserve">Selective Catalytic Reduction, CO Catalyst, and  </t>
  </si>
  <si>
    <t>Maximum Hourly Fuel Consumption Rate (MMcf) = MFR/(LHV x 1,000,000)</t>
  </si>
  <si>
    <t xml:space="preserve">Maximum Hourly Fuel Consumption Rate (MMcf) = </t>
  </si>
  <si>
    <t>MMcf/yr</t>
  </si>
  <si>
    <t>MMcf/hr</t>
  </si>
  <si>
    <r>
      <t>EF = Emission Factor</t>
    </r>
    <r>
      <rPr>
        <b/>
        <vertAlign val="superscript"/>
        <sz val="10"/>
        <rFont val="Arial"/>
        <family val="2"/>
      </rPr>
      <t>2,3</t>
    </r>
  </si>
  <si>
    <t>(lb/lb-mole)</t>
  </si>
  <si>
    <t>Conc.</t>
  </si>
  <si>
    <t>(DSCF/MMBtu)</t>
  </si>
  <si>
    <t>Fuel</t>
  </si>
  <si>
    <t>Oxygen</t>
  </si>
  <si>
    <t>(%)</t>
  </si>
  <si>
    <t>Exhaust Vol</t>
  </si>
  <si>
    <t>MW</t>
  </si>
  <si>
    <t>(MMSCFH)</t>
  </si>
  <si>
    <r>
      <t xml:space="preserve">3.  The CT will use natural gas with a HHV of 1050 Btu/scf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.</t>
    </r>
  </si>
  <si>
    <t>Acenaphthene (PAH)</t>
  </si>
  <si>
    <t>Acenaphthylene (PAH)</t>
  </si>
  <si>
    <t>Benz(a)anthracene (PAH)</t>
  </si>
  <si>
    <t>Benzo(a)pyrene (PAH)</t>
  </si>
  <si>
    <t>Benzo(b)fluoranthene (PAH)</t>
  </si>
  <si>
    <t>Benzo(e)pyrene (PAH)</t>
  </si>
  <si>
    <t>Benzo(g,h,i)perylene (PAH)</t>
  </si>
  <si>
    <t>Benzo(k)fluoranthene (PAH)</t>
  </si>
  <si>
    <t>Chrysene (PAH)</t>
  </si>
  <si>
    <t>Dibenz(a,h)anthracene (PAH)</t>
  </si>
  <si>
    <t>Fluoranthene (PAH)</t>
  </si>
  <si>
    <t>Fluorene (PAH)</t>
  </si>
  <si>
    <t>Indeno(1,2,3-cd)pyrene (PAH)</t>
  </si>
  <si>
    <t>Pyrene (PAH)</t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</si>
  <si>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(3)</t>
    </r>
  </si>
  <si>
    <t>Combustion Turbines 1 through 5</t>
  </si>
  <si>
    <t>5 (Note: Emissions are estimated for one combustion turbine)</t>
  </si>
  <si>
    <t>Calculate Maximum Firing Rate (MFR) for each CT in Btu/hr</t>
  </si>
  <si>
    <t>DWP HARBOR STATION -- CRITERIA POLLUTANT EMISSIONS</t>
  </si>
  <si>
    <t>Natural Gas Use by the Combustion Turbines</t>
  </si>
  <si>
    <t xml:space="preserve">1.  Five new combustion turbines will be installed at the Harbor facility.  The air toxics emissions </t>
  </si>
  <si>
    <t xml:space="preserve">    estimated are for each combustion turbine unit.</t>
  </si>
  <si>
    <r>
      <t>1.  The new combustion turbines (CTs) are GE LM6000 Sprint 47.3 MW (47,300 kW) turbines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</si>
  <si>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(lbs/day)</t>
  </si>
  <si>
    <t>1,000,000 x 379</t>
  </si>
  <si>
    <t>(3) Taken from SCAQMD Title V Technical Guidance Manual, page A-20, 1998.</t>
  </si>
  <si>
    <t>Naphthalene (PAH)</t>
  </si>
  <si>
    <r>
      <t>MW of Natural Gas</t>
    </r>
    <r>
      <rPr>
        <b/>
        <vertAlign val="superscript"/>
        <sz val="10"/>
        <rFont val="Arial"/>
        <family val="2"/>
      </rPr>
      <t xml:space="preserve"> (2)</t>
    </r>
  </si>
  <si>
    <r>
      <t xml:space="preserve">5 (Note: Emissions are estimated for one combustion turbine) </t>
    </r>
    <r>
      <rPr>
        <vertAlign val="superscript"/>
        <sz val="10"/>
        <rFont val="Arial"/>
        <family val="2"/>
      </rPr>
      <t>(1)</t>
    </r>
  </si>
  <si>
    <t>Calculate Molecular Weight of Natural Gas</t>
  </si>
  <si>
    <t>Compound</t>
  </si>
  <si>
    <r>
      <t>Mole%</t>
    </r>
    <r>
      <rPr>
        <vertAlign val="superscript"/>
        <sz val="10"/>
        <rFont val="Arial"/>
        <family val="2"/>
      </rPr>
      <t xml:space="preserve">  (2)</t>
    </r>
  </si>
  <si>
    <t>Weighted MW</t>
  </si>
  <si>
    <t>methane</t>
  </si>
  <si>
    <t>ethane</t>
  </si>
  <si>
    <t>propane</t>
  </si>
  <si>
    <r>
      <t>CO</t>
    </r>
    <r>
      <rPr>
        <vertAlign val="subscript"/>
        <sz val="10"/>
        <rFont val="Arial"/>
        <family val="2"/>
      </rPr>
      <t>2</t>
    </r>
  </si>
  <si>
    <t>Total</t>
  </si>
  <si>
    <r>
      <t>S in ppmv</t>
    </r>
    <r>
      <rPr>
        <b/>
        <vertAlign val="superscript"/>
        <sz val="10"/>
        <rFont val="Arial"/>
        <family val="2"/>
      </rPr>
      <t xml:space="preserve"> (2) </t>
    </r>
  </si>
  <si>
    <r>
      <t xml:space="preserve">     2 ppmv for volatile organic compounds (VOC), and 5 ppmv for 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(6)</t>
    </r>
    <r>
      <rPr>
        <sz val="10"/>
        <rFont val="Arial"/>
        <family val="2"/>
      </rPr>
      <t>.</t>
    </r>
  </si>
  <si>
    <r>
      <t>6. CTs will be provided with SCR, CO Catalyst, and water-steam injection.</t>
    </r>
    <r>
      <rPr>
        <vertAlign val="superscript"/>
        <sz val="10"/>
        <rFont val="Arial"/>
        <family val="2"/>
      </rPr>
      <t>(1)</t>
    </r>
  </si>
  <si>
    <r>
      <t>Exhaust Volume (DSCF/MMBtu) = 8710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(7)</t>
    </r>
  </si>
  <si>
    <t>(6) Specification from LA DWP (Generation - 2000 Project Overview)</t>
  </si>
  <si>
    <t>(2) SCR Bid specification (No. 9628) from LA DWP.  Natural gas LHV calculated to be 953 Btu/scf.</t>
  </si>
  <si>
    <t>(1) Specification provided by LA DWP from Request for Proposal dated September 25, 2000 and</t>
  </si>
  <si>
    <t xml:space="preserve">     S &amp; S Energy Products' Specifications sheet.</t>
  </si>
  <si>
    <t>(7) EPA Method 19, 40 CFR Part 60</t>
  </si>
  <si>
    <t>Anthracene (PAH)</t>
  </si>
  <si>
    <t>Phenanthrene (PAH)</t>
  </si>
  <si>
    <t>Hourly Max</t>
  </si>
  <si>
    <t>(grams/sec)</t>
  </si>
  <si>
    <t>CARB AIR TOXICS EMISSION FACTORS</t>
  </si>
  <si>
    <t>COMBUSTION TURBINES -- NATURAL GAS</t>
  </si>
  <si>
    <t>Nand Tel. No. 916/322-7673).</t>
  </si>
  <si>
    <t>(lbs/MMSCF)</t>
  </si>
  <si>
    <t>Mean Emission</t>
  </si>
  <si>
    <t>DEVELOPMENT OF CRITERIA POLLUTANT EMISSON FACTORS</t>
  </si>
  <si>
    <t>DWP HARBOR STATION -- AIR TOXICS EMISSIONS</t>
  </si>
  <si>
    <t>DWP HARBOR STATION -- AIR TOXICS EMISSIONS IN GRAMS/SECOND</t>
  </si>
  <si>
    <t>FOR COMBUSTION TURBINES AT THE HARBOR PLANT</t>
  </si>
  <si>
    <t>catalysts.  The data were provided by CARB on 10/12/00 (fax from Kirk Rosenkranz to Krishna</t>
  </si>
  <si>
    <t xml:space="preserve">    Maxumum sulfur content of natural gas selected.</t>
  </si>
  <si>
    <t>MMSCF</t>
  </si>
  <si>
    <t>lbs/MMSCF</t>
  </si>
  <si>
    <t>DEVELOPMENT OF THE STACK GAS FLOW RATE</t>
  </si>
  <si>
    <t>FOR THE COMBUSTION TURBINES AT THE HARBOR PLANT</t>
  </si>
  <si>
    <r>
      <t xml:space="preserve">1.  The Harbor Plant will have five new Combustion Turbines with a capacity of 47.3 mW each. </t>
    </r>
    <r>
      <rPr>
        <vertAlign val="superscript"/>
        <sz val="10"/>
        <rFont val="Arial"/>
        <family val="2"/>
      </rPr>
      <t>(1)</t>
    </r>
  </si>
  <si>
    <r>
      <t xml:space="preserve">2.  The stack gas flow rate for the CT ranges from 854,950 lbs/hr (summer) to 1,054,800 lbs/hr (winter). </t>
    </r>
    <r>
      <rPr>
        <vertAlign val="superscript"/>
        <sz val="10"/>
        <rFont val="Arial"/>
        <family val="2"/>
      </rPr>
      <t>(2)</t>
    </r>
  </si>
  <si>
    <r>
      <t xml:space="preserve">3.  The stack gas temperature will average 841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F. </t>
    </r>
    <r>
      <rPr>
        <vertAlign val="superscript"/>
        <sz val="10"/>
        <rFont val="Arial"/>
        <family val="2"/>
      </rPr>
      <t>(2)</t>
    </r>
  </si>
  <si>
    <t>5.  The assumed stack gas molecular weight is 28.</t>
  </si>
  <si>
    <r>
      <t xml:space="preserve">6.  Standard temperature is assumed to be 60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F.</t>
    </r>
  </si>
  <si>
    <t>7.  The stack gas flow rates provided are assumed to include water.</t>
  </si>
  <si>
    <t>8.  The stack gas flows in SCFH and ACFH will be based on the average of the mass flow rates.</t>
  </si>
  <si>
    <t>Calculate the Stack Gas Flow Rate for Each Unit</t>
  </si>
  <si>
    <t xml:space="preserve">Stack Gas Flow Rate, SCFH = </t>
  </si>
  <si>
    <t xml:space="preserve">   Stack Gas Flow (lbs/hr)  x  379 (scf/lb-mole)</t>
  </si>
  <si>
    <t>MW (lbs/lb-mole)</t>
  </si>
  <si>
    <t xml:space="preserve">Stack Gas Flow Rate, ACFH = </t>
  </si>
  <si>
    <t xml:space="preserve">Stack Gas Flow (SCFH) x </t>
  </si>
  <si>
    <t>Winter Mass Flow =</t>
  </si>
  <si>
    <t>lbs/hr</t>
  </si>
  <si>
    <t>Summer Mass Flow  =</t>
  </si>
  <si>
    <t>Average Mass Flow  =</t>
  </si>
  <si>
    <t>Average Temperature =</t>
  </si>
  <si>
    <t>UNIT</t>
  </si>
  <si>
    <t>Average  Stack Gas Flow</t>
  </si>
  <si>
    <t xml:space="preserve">Stack Gas MW </t>
  </si>
  <si>
    <t>Stack Gas Temp</t>
  </si>
  <si>
    <t>Stack Gas Flow</t>
  </si>
  <si>
    <t>(SCFH)</t>
  </si>
  <si>
    <t>(ACFH)</t>
  </si>
  <si>
    <t>(SCFM)</t>
  </si>
  <si>
    <t>(ACFM)</t>
  </si>
  <si>
    <t>CT # 1-5</t>
  </si>
  <si>
    <t>Unit</t>
  </si>
  <si>
    <r>
      <t>Stack Inside Diameter</t>
    </r>
    <r>
      <rPr>
        <vertAlign val="superscript"/>
        <sz val="10"/>
        <rFont val="Arial"/>
        <family val="2"/>
      </rPr>
      <t>(2)</t>
    </r>
  </si>
  <si>
    <t>Stack Exit Velocity</t>
  </si>
  <si>
    <t>Stack Inside Diameter</t>
  </si>
  <si>
    <r>
      <t>Stack Height</t>
    </r>
    <r>
      <rPr>
        <vertAlign val="superscript"/>
        <sz val="10"/>
        <rFont val="Arial"/>
        <family val="2"/>
      </rPr>
      <t>(2)</t>
    </r>
  </si>
  <si>
    <t>Stack Height</t>
  </si>
  <si>
    <t>(FT)</t>
  </si>
  <si>
    <t>(FT/SEC)</t>
  </si>
  <si>
    <t>(M/SEC)</t>
  </si>
  <si>
    <t>(M)</t>
  </si>
  <si>
    <t>CT #1-5</t>
  </si>
  <si>
    <t>(1)  Information provided by LA DWP.</t>
  </si>
  <si>
    <t>(2)  Information from LA DWP in e-mail from Tim Conkin dated 10/18/00.</t>
  </si>
  <si>
    <r>
      <t>4.  The assumed stack gas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content is 15% .</t>
    </r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</si>
  <si>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</si>
  <si>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</si>
  <si>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sz val="10"/>
        <rFont val="Arial"/>
        <family val="2"/>
      </rPr>
      <t>F</t>
    </r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</si>
  <si>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</si>
  <si>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t>NORMAL OPERATION</t>
  </si>
  <si>
    <t>NORMAL OPERATIONS</t>
  </si>
  <si>
    <t>Hrly Emissions</t>
  </si>
  <si>
    <r>
      <t>SO</t>
    </r>
    <r>
      <rPr>
        <vertAlign val="subscript"/>
        <sz val="10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</si>
  <si>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3</t>
    </r>
  </si>
  <si>
    <t>(lbs/BTU)</t>
  </si>
  <si>
    <t>(lb-mole/MMBtu)</t>
  </si>
  <si>
    <t>(lbs/MMscf)</t>
  </si>
  <si>
    <r>
      <t>PM</t>
    </r>
    <r>
      <rPr>
        <b/>
        <vertAlign val="subscript"/>
        <sz val="10"/>
        <rFont val="Arial"/>
        <family val="2"/>
      </rPr>
      <t>10</t>
    </r>
  </si>
  <si>
    <r>
      <t>Total PM</t>
    </r>
    <r>
      <rPr>
        <b/>
        <vertAlign val="subscript"/>
        <sz val="10"/>
        <rFont val="Arial"/>
        <family val="2"/>
      </rPr>
      <t>10</t>
    </r>
  </si>
  <si>
    <t>(8) SCAQMD Application Processing and Calculations, Energy Team, 10-14-93.  Faxed to Krishna Nand on 11-17-00.</t>
  </si>
  <si>
    <r>
      <t>Calculate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from Conversion of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ammonium sulfate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</si>
  <si>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SO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5% molar conversion </t>
    </r>
    <r>
      <rPr>
        <b/>
        <vertAlign val="superscript"/>
        <sz val="10"/>
        <rFont val="Arial"/>
        <family val="2"/>
      </rPr>
      <t>(8)</t>
    </r>
  </si>
  <si>
    <r>
      <t>SO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to ammonium sulfate: 1 mole SO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1 mole of ammonium sulfate </t>
    </r>
    <r>
      <rPr>
        <b/>
        <vertAlign val="superscript"/>
        <sz val="10"/>
        <rFont val="Arial"/>
        <family val="2"/>
      </rPr>
      <t>(8)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</si>
  <si>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conversion of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SO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</si>
</sst>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0.000"/>
    <numFmt numFmtId="167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33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6" xfId="0" applyFill="1" applyBorder="1" applyAlignment="1">
      <alignment/>
    </xf>
    <xf numFmtId="11" fontId="0" fillId="0" borderId="17" xfId="0" applyNumberFormat="1" applyFont="1" applyBorder="1" applyAlignment="1">
      <alignment horizontal="center"/>
    </xf>
    <xf numFmtId="0" fontId="2" fillId="34" borderId="15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0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 applyProtection="1">
      <alignment horizontal="left"/>
      <protection/>
    </xf>
    <xf numFmtId="0" fontId="0" fillId="0" borderId="25" xfId="0" applyBorder="1" applyAlignment="1">
      <alignment horizontal="centerContinuous"/>
    </xf>
    <xf numFmtId="0" fontId="2" fillId="0" borderId="25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>
      <alignment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 applyProtection="1">
      <alignment horizontal="left"/>
      <protection/>
    </xf>
    <xf numFmtId="0" fontId="2" fillId="0" borderId="39" xfId="0" applyFont="1" applyBorder="1" applyAlignment="1">
      <alignment/>
    </xf>
    <xf numFmtId="0" fontId="2" fillId="0" borderId="39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2" fillId="0" borderId="40" xfId="0" applyNumberFormat="1" applyFont="1" applyBorder="1" applyAlignment="1" applyProtection="1">
      <alignment horizontal="center"/>
      <protection/>
    </xf>
    <xf numFmtId="2" fontId="2" fillId="0" borderId="41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 applyProtection="1">
      <alignment horizontal="left"/>
      <protection/>
    </xf>
    <xf numFmtId="11" fontId="0" fillId="0" borderId="46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/>
    </xf>
    <xf numFmtId="11" fontId="0" fillId="0" borderId="40" xfId="0" applyNumberFormat="1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left"/>
      <protection/>
    </xf>
    <xf numFmtId="11" fontId="0" fillId="0" borderId="48" xfId="0" applyNumberFormat="1" applyFont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11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1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35" borderId="0" xfId="0" applyFill="1" applyAlignment="1">
      <alignment/>
    </xf>
    <xf numFmtId="11" fontId="8" fillId="35" borderId="0" xfId="0" applyNumberFormat="1" applyFont="1" applyFill="1" applyAlignment="1">
      <alignment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36" borderId="21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quotePrefix="1">
      <alignment/>
    </xf>
    <xf numFmtId="0" fontId="0" fillId="0" borderId="25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1" fontId="0" fillId="0" borderId="52" xfId="0" applyNumberFormat="1" applyFont="1" applyBorder="1" applyAlignment="1">
      <alignment horizontal="center"/>
    </xf>
    <xf numFmtId="11" fontId="0" fillId="0" borderId="53" xfId="0" applyNumberFormat="1" applyFont="1" applyBorder="1" applyAlignment="1">
      <alignment horizontal="center"/>
    </xf>
    <xf numFmtId="11" fontId="0" fillId="0" borderId="52" xfId="0" applyNumberFormat="1" applyBorder="1" applyAlignment="1">
      <alignment horizontal="center"/>
    </xf>
    <xf numFmtId="11" fontId="0" fillId="0" borderId="54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5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5" fontId="2" fillId="0" borderId="40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2" fontId="0" fillId="0" borderId="58" xfId="0" applyNumberFormat="1" applyFont="1" applyBorder="1" applyAlignment="1" applyProtection="1">
      <alignment horizontal="center"/>
      <protection/>
    </xf>
    <xf numFmtId="2" fontId="0" fillId="0" borderId="40" xfId="0" applyNumberFormat="1" applyFont="1" applyBorder="1" applyAlignment="1" applyProtection="1">
      <alignment horizontal="center"/>
      <protection/>
    </xf>
    <xf numFmtId="11" fontId="0" fillId="0" borderId="59" xfId="0" applyNumberFormat="1" applyBorder="1" applyAlignment="1">
      <alignment horizontal="center"/>
    </xf>
    <xf numFmtId="11" fontId="0" fillId="0" borderId="60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11" fontId="0" fillId="0" borderId="61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59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1" borderId="18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22" xfId="0" applyFill="1" applyBorder="1" applyAlignment="1">
      <alignment/>
    </xf>
    <xf numFmtId="0" fontId="0" fillId="1" borderId="62" xfId="0" applyFill="1" applyBorder="1" applyAlignment="1">
      <alignment/>
    </xf>
    <xf numFmtId="0" fontId="0" fillId="1" borderId="63" xfId="0" applyFill="1" applyBorder="1" applyAlignment="1">
      <alignment/>
    </xf>
    <xf numFmtId="0" fontId="0" fillId="1" borderId="64" xfId="0" applyFill="1" applyBorder="1" applyAlignment="1">
      <alignment/>
    </xf>
    <xf numFmtId="0" fontId="0" fillId="37" borderId="65" xfId="0" applyFill="1" applyBorder="1" applyAlignment="1">
      <alignment/>
    </xf>
    <xf numFmtId="0" fontId="0" fillId="37" borderId="66" xfId="0" applyFill="1" applyBorder="1" applyAlignment="1">
      <alignment/>
    </xf>
    <xf numFmtId="0" fontId="0" fillId="37" borderId="6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0" fillId="37" borderId="64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1" fontId="0" fillId="0" borderId="16" xfId="0" applyNumberFormat="1" applyBorder="1" applyAlignment="1">
      <alignment/>
    </xf>
    <xf numFmtId="0" fontId="0" fillId="1" borderId="13" xfId="0" applyFill="1" applyBorder="1" applyAlignment="1">
      <alignment/>
    </xf>
    <xf numFmtId="0" fontId="0" fillId="1" borderId="14" xfId="0" applyFill="1" applyBorder="1" applyAlignment="1">
      <alignment/>
    </xf>
    <xf numFmtId="0" fontId="0" fillId="1" borderId="57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/>
    </xf>
    <xf numFmtId="0" fontId="2" fillId="1" borderId="2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65" fontId="2" fillId="0" borderId="6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6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1" borderId="13" xfId="0" applyFill="1" applyBorder="1" applyAlignment="1">
      <alignment horizontal="left"/>
    </xf>
    <xf numFmtId="0" fontId="0" fillId="1" borderId="14" xfId="0" applyFill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1" fontId="0" fillId="0" borderId="54" xfId="0" applyNumberFormat="1" applyFont="1" applyBorder="1" applyAlignment="1">
      <alignment horizontal="center"/>
    </xf>
    <xf numFmtId="11" fontId="0" fillId="0" borderId="58" xfId="0" applyNumberFormat="1" applyFont="1" applyBorder="1" applyAlignment="1" applyProtection="1">
      <alignment horizontal="center"/>
      <protection/>
    </xf>
    <xf numFmtId="11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0" fontId="11" fillId="0" borderId="22" xfId="0" applyFont="1" applyBorder="1" applyAlignment="1">
      <alignment horizontal="center"/>
    </xf>
    <xf numFmtId="166" fontId="2" fillId="0" borderId="70" xfId="0" applyNumberFormat="1" applyFont="1" applyBorder="1" applyAlignment="1">
      <alignment horizontal="center"/>
    </xf>
    <xf numFmtId="166" fontId="2" fillId="0" borderId="59" xfId="0" applyNumberFormat="1" applyFont="1" applyBorder="1" applyAlignment="1">
      <alignment horizontal="center"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1" borderId="10" xfId="0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/>
    </xf>
    <xf numFmtId="0" fontId="7" fillId="1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1" borderId="12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0" fontId="7" fillId="1" borderId="5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7" fillId="1" borderId="21" xfId="0" applyFont="1" applyFill="1" applyBorder="1" applyAlignment="1">
      <alignment horizontal="center"/>
    </xf>
    <xf numFmtId="0" fontId="7" fillId="1" borderId="18" xfId="0" applyFont="1" applyFill="1" applyBorder="1" applyAlignment="1">
      <alignment horizontal="center"/>
    </xf>
    <xf numFmtId="0" fontId="7" fillId="1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6</xdr:col>
      <xdr:colOff>0</xdr:colOff>
      <xdr:row>41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6562725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6</xdr:col>
      <xdr:colOff>0</xdr:colOff>
      <xdr:row>41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562725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742950</xdr:colOff>
      <xdr:row>41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6562725"/>
          <a:ext cx="513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114</xdr:row>
      <xdr:rowOff>0</xdr:rowOff>
    </xdr:from>
    <xdr:to>
      <xdr:col>7</xdr:col>
      <xdr:colOff>0</xdr:colOff>
      <xdr:row>114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8575" y="19631025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7</xdr:col>
      <xdr:colOff>0</xdr:colOff>
      <xdr:row>41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7600950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33">
      <selection activeCell="A52" sqref="A52"/>
    </sheetView>
  </sheetViews>
  <sheetFormatPr defaultColWidth="9.140625" defaultRowHeight="12.75"/>
  <cols>
    <col min="1" max="1" width="29.7109375" style="75" customWidth="1"/>
    <col min="2" max="2" width="12.7109375" style="0" customWidth="1"/>
    <col min="3" max="4" width="11.7109375" style="0" customWidth="1"/>
    <col min="5" max="5" width="15.00390625" style="0" bestFit="1" customWidth="1"/>
    <col min="6" max="6" width="11.7109375" style="1" bestFit="1" customWidth="1"/>
  </cols>
  <sheetData>
    <row r="1" spans="1:6" ht="7.5" customHeight="1" thickTop="1">
      <c r="A1" s="21"/>
      <c r="B1" s="22"/>
      <c r="C1" s="23"/>
      <c r="D1" s="23"/>
      <c r="E1" s="23"/>
      <c r="F1" s="179"/>
    </row>
    <row r="2" spans="1:6" ht="17.25">
      <c r="A2" s="208" t="s">
        <v>153</v>
      </c>
      <c r="B2" s="209"/>
      <c r="C2" s="209"/>
      <c r="D2" s="209"/>
      <c r="E2" s="209"/>
      <c r="F2" s="210"/>
    </row>
    <row r="3" spans="1:6" ht="17.25">
      <c r="A3" s="208" t="s">
        <v>247</v>
      </c>
      <c r="B3" s="209"/>
      <c r="C3" s="209"/>
      <c r="D3" s="209"/>
      <c r="E3" s="209"/>
      <c r="F3" s="210"/>
    </row>
    <row r="4" spans="1:6" ht="17.25" customHeight="1" thickBot="1">
      <c r="A4" s="211" t="s">
        <v>154</v>
      </c>
      <c r="B4" s="212"/>
      <c r="C4" s="212"/>
      <c r="D4" s="212"/>
      <c r="E4" s="212"/>
      <c r="F4" s="213"/>
    </row>
    <row r="5" spans="1:6" ht="7.5" customHeight="1" thickTop="1">
      <c r="A5" s="25"/>
      <c r="B5" s="26"/>
      <c r="C5" s="27"/>
      <c r="D5" s="27"/>
      <c r="E5" s="27"/>
      <c r="F5" s="57"/>
    </row>
    <row r="6" spans="1:6" ht="12.75">
      <c r="A6" s="28" t="s">
        <v>38</v>
      </c>
      <c r="B6" s="29" t="s">
        <v>150</v>
      </c>
      <c r="C6" s="30"/>
      <c r="D6" s="31"/>
      <c r="E6" s="102"/>
      <c r="F6" s="62"/>
    </row>
    <row r="7" spans="1:6" ht="12.75" hidden="1">
      <c r="A7" s="28" t="s">
        <v>39</v>
      </c>
      <c r="B7" s="32" t="s">
        <v>40</v>
      </c>
      <c r="C7" s="31"/>
      <c r="D7" s="33"/>
      <c r="E7" s="31"/>
      <c r="F7" s="62"/>
    </row>
    <row r="8" spans="1:6" ht="12.75">
      <c r="A8" s="28" t="s">
        <v>41</v>
      </c>
      <c r="B8" s="29" t="s">
        <v>151</v>
      </c>
      <c r="C8" s="31"/>
      <c r="D8" s="31"/>
      <c r="E8" s="31"/>
      <c r="F8" s="62"/>
    </row>
    <row r="9" spans="1:6" ht="12.75">
      <c r="A9" s="28" t="s">
        <v>42</v>
      </c>
      <c r="B9" s="31" t="s">
        <v>69</v>
      </c>
      <c r="C9" s="31"/>
      <c r="D9" s="31"/>
      <c r="E9" s="31"/>
      <c r="F9" s="62"/>
    </row>
    <row r="10" spans="1:6" ht="12.75">
      <c r="A10" s="28" t="s">
        <v>43</v>
      </c>
      <c r="B10" s="29" t="s">
        <v>44</v>
      </c>
      <c r="C10" s="31"/>
      <c r="D10" s="31"/>
      <c r="E10" s="31"/>
      <c r="F10" s="62"/>
    </row>
    <row r="11" spans="1:6" ht="12.75">
      <c r="A11" s="28" t="s">
        <v>45</v>
      </c>
      <c r="B11" s="29" t="s">
        <v>197</v>
      </c>
      <c r="C11" s="30"/>
      <c r="D11" s="31"/>
      <c r="E11" s="103"/>
      <c r="F11" s="62"/>
    </row>
    <row r="12" spans="1:6" ht="7.5" customHeight="1" thickBot="1">
      <c r="A12" s="34"/>
      <c r="B12" s="35"/>
      <c r="C12" s="36"/>
      <c r="D12" s="36"/>
      <c r="E12" s="36"/>
      <c r="F12" s="67"/>
    </row>
    <row r="13" spans="1:6" ht="7.5" customHeight="1" thickTop="1">
      <c r="A13" s="37"/>
      <c r="B13" s="38"/>
      <c r="C13" s="38"/>
      <c r="D13" s="38"/>
      <c r="E13" s="38"/>
      <c r="F13" s="57"/>
    </row>
    <row r="14" spans="1:6" ht="12.75">
      <c r="A14" s="40" t="s">
        <v>47</v>
      </c>
      <c r="B14" s="6" t="s">
        <v>119</v>
      </c>
      <c r="C14" s="6"/>
      <c r="D14" s="6"/>
      <c r="E14" s="6"/>
      <c r="F14" s="62"/>
    </row>
    <row r="15" spans="1:6" ht="12.75">
      <c r="A15" s="40"/>
      <c r="B15" s="6" t="s">
        <v>118</v>
      </c>
      <c r="C15" s="6"/>
      <c r="D15" s="6"/>
      <c r="E15" s="6"/>
      <c r="F15" s="62"/>
    </row>
    <row r="16" spans="1:6" ht="15">
      <c r="A16" s="40" t="s">
        <v>49</v>
      </c>
      <c r="B16" s="6" t="s">
        <v>50</v>
      </c>
      <c r="C16" s="6"/>
      <c r="D16" s="6"/>
      <c r="E16" s="6"/>
      <c r="F16" s="62"/>
    </row>
    <row r="17" spans="1:6" ht="15">
      <c r="A17" s="40" t="s">
        <v>51</v>
      </c>
      <c r="B17" s="6" t="s">
        <v>52</v>
      </c>
      <c r="C17" s="6"/>
      <c r="D17" s="6"/>
      <c r="E17" s="6"/>
      <c r="F17" s="62"/>
    </row>
    <row r="18" spans="1:6" ht="7.5" customHeight="1" thickBot="1">
      <c r="A18" s="42"/>
      <c r="B18" s="43"/>
      <c r="C18" s="43"/>
      <c r="D18" s="43"/>
      <c r="E18" s="43"/>
      <c r="F18" s="67"/>
    </row>
    <row r="19" spans="1:6" ht="18" customHeight="1" thickBot="1" thickTop="1">
      <c r="A19" s="45" t="s">
        <v>53</v>
      </c>
      <c r="B19" s="46"/>
      <c r="C19" s="46"/>
      <c r="D19" s="47" t="s">
        <v>54</v>
      </c>
      <c r="E19" s="104"/>
      <c r="F19" s="180"/>
    </row>
    <row r="20" spans="1:6" ht="7.5" customHeight="1" thickTop="1">
      <c r="A20" s="37"/>
      <c r="B20" s="38"/>
      <c r="C20" s="38"/>
      <c r="D20" s="38"/>
      <c r="E20" s="38"/>
      <c r="F20" s="57"/>
    </row>
    <row r="21" spans="1:6" ht="15">
      <c r="A21" s="40" t="s">
        <v>76</v>
      </c>
      <c r="B21" s="6"/>
      <c r="C21" s="6"/>
      <c r="D21" s="79">
        <f>+'EF Criteria '!D41</f>
        <v>3582.8</v>
      </c>
      <c r="E21" s="6" t="s">
        <v>197</v>
      </c>
      <c r="F21" s="62"/>
    </row>
    <row r="22" spans="1:6" ht="15">
      <c r="A22" s="40" t="s">
        <v>77</v>
      </c>
      <c r="B22" s="6"/>
      <c r="C22" s="6"/>
      <c r="D22" s="119">
        <f>+'EF Criteria '!E36</f>
        <v>0.409</v>
      </c>
      <c r="E22" s="6" t="s">
        <v>197</v>
      </c>
      <c r="F22" s="62"/>
    </row>
    <row r="23" spans="1:6" ht="12.75">
      <c r="A23" s="40" t="s">
        <v>71</v>
      </c>
      <c r="B23" s="6"/>
      <c r="C23" s="6"/>
      <c r="D23" s="49" t="s">
        <v>70</v>
      </c>
      <c r="E23" s="6" t="s">
        <v>198</v>
      </c>
      <c r="F23" s="62"/>
    </row>
    <row r="24" spans="1:6" ht="12.75">
      <c r="A24" s="40"/>
      <c r="B24" s="6"/>
      <c r="C24" s="6"/>
      <c r="D24" s="49"/>
      <c r="E24" s="6"/>
      <c r="F24" s="62"/>
    </row>
    <row r="25" spans="1:6" ht="12.75">
      <c r="A25" s="40" t="s">
        <v>55</v>
      </c>
      <c r="B25" s="6"/>
      <c r="C25" s="6"/>
      <c r="D25" s="50">
        <v>24</v>
      </c>
      <c r="E25" s="6" t="s">
        <v>56</v>
      </c>
      <c r="F25" s="62"/>
    </row>
    <row r="26" spans="1:6" ht="12.75">
      <c r="A26" s="51"/>
      <c r="B26" s="6"/>
      <c r="C26" s="6"/>
      <c r="D26" s="50">
        <v>7</v>
      </c>
      <c r="E26" s="6" t="s">
        <v>57</v>
      </c>
      <c r="F26" s="62"/>
    </row>
    <row r="27" spans="1:6" ht="12.75">
      <c r="A27" s="51"/>
      <c r="B27" s="6"/>
      <c r="C27" s="6"/>
      <c r="D27" s="52">
        <v>52</v>
      </c>
      <c r="E27" s="105" t="s">
        <v>58</v>
      </c>
      <c r="F27" s="62"/>
    </row>
    <row r="28" spans="1:6" ht="7.5" customHeight="1" thickBot="1">
      <c r="A28" s="42"/>
      <c r="B28" s="43"/>
      <c r="C28" s="43"/>
      <c r="D28" s="43"/>
      <c r="E28" s="43"/>
      <c r="F28" s="67"/>
    </row>
    <row r="29" spans="1:6" ht="13.5" thickTop="1">
      <c r="A29" s="53" t="s">
        <v>67</v>
      </c>
      <c r="B29" s="55" t="s">
        <v>24</v>
      </c>
      <c r="C29" s="56" t="s">
        <v>184</v>
      </c>
      <c r="D29" s="56" t="s">
        <v>60</v>
      </c>
      <c r="E29" s="174" t="s">
        <v>60</v>
      </c>
      <c r="F29" s="81" t="s">
        <v>74</v>
      </c>
    </row>
    <row r="30" spans="1:6" ht="12.75">
      <c r="A30" s="58" t="s">
        <v>61</v>
      </c>
      <c r="B30" s="60" t="s">
        <v>3</v>
      </c>
      <c r="C30" s="61" t="s">
        <v>62</v>
      </c>
      <c r="D30" s="61" t="s">
        <v>62</v>
      </c>
      <c r="E30" s="14" t="s">
        <v>62</v>
      </c>
      <c r="F30" s="82" t="s">
        <v>62</v>
      </c>
    </row>
    <row r="31" spans="1:6" ht="13.5" thickBot="1">
      <c r="A31" s="63"/>
      <c r="B31" s="65" t="s">
        <v>14</v>
      </c>
      <c r="C31" s="66" t="s">
        <v>63</v>
      </c>
      <c r="D31" s="66" t="s">
        <v>64</v>
      </c>
      <c r="E31" s="175" t="s">
        <v>65</v>
      </c>
      <c r="F31" s="83" t="s">
        <v>158</v>
      </c>
    </row>
    <row r="32" spans="1:6" ht="13.5" thickTop="1">
      <c r="A32" s="68" t="s">
        <v>66</v>
      </c>
      <c r="B32" s="78">
        <f>+'EF Criteria '!E75</f>
        <v>19.64</v>
      </c>
      <c r="C32" s="78">
        <f aca="true" t="shared" si="0" ref="C32:C39">ROUND(B32*$D$22,2)</f>
        <v>8.03</v>
      </c>
      <c r="D32" s="80">
        <f aca="true" t="shared" si="1" ref="D32:D39">ROUND(B32*$D$21,2)</f>
        <v>70366.19</v>
      </c>
      <c r="E32" s="176">
        <f aca="true" t="shared" si="2" ref="E32:E39">ROUND(D32/2000,2)</f>
        <v>35.18</v>
      </c>
      <c r="F32" s="181">
        <f aca="true" t="shared" si="3" ref="F32:F39">ROUND(C32*24,2)</f>
        <v>192.72</v>
      </c>
    </row>
    <row r="33" spans="1:6" ht="12.75">
      <c r="A33" s="69" t="s">
        <v>12</v>
      </c>
      <c r="B33" s="77">
        <f>+'EF Criteria '!E76</f>
        <v>14.39</v>
      </c>
      <c r="C33" s="77">
        <f t="shared" si="0"/>
        <v>5.89</v>
      </c>
      <c r="D33" s="129">
        <f t="shared" si="1"/>
        <v>51556.49</v>
      </c>
      <c r="E33" s="177">
        <f t="shared" si="2"/>
        <v>25.78</v>
      </c>
      <c r="F33" s="142">
        <f t="shared" si="3"/>
        <v>141.36</v>
      </c>
    </row>
    <row r="34" spans="1:6" ht="12.75">
      <c r="A34" s="69" t="s">
        <v>68</v>
      </c>
      <c r="B34" s="77">
        <f>+'EF Criteria '!E77</f>
        <v>2.73</v>
      </c>
      <c r="C34" s="77">
        <f t="shared" si="0"/>
        <v>1.12</v>
      </c>
      <c r="D34" s="129">
        <f t="shared" si="1"/>
        <v>9781.04</v>
      </c>
      <c r="E34" s="177">
        <f t="shared" si="2"/>
        <v>4.89</v>
      </c>
      <c r="F34" s="142">
        <f t="shared" si="3"/>
        <v>26.88</v>
      </c>
    </row>
    <row r="35" spans="1:6" ht="15">
      <c r="A35" s="69" t="s">
        <v>75</v>
      </c>
      <c r="B35" s="77">
        <f>+'EF Criteria '!E78</f>
        <v>7.25</v>
      </c>
      <c r="C35" s="77">
        <f t="shared" si="0"/>
        <v>2.97</v>
      </c>
      <c r="D35" s="129">
        <f t="shared" si="1"/>
        <v>25975.3</v>
      </c>
      <c r="E35" s="177">
        <f t="shared" si="2"/>
        <v>12.99</v>
      </c>
      <c r="F35" s="142">
        <f t="shared" si="3"/>
        <v>71.28</v>
      </c>
    </row>
    <row r="36" spans="1:6" ht="15">
      <c r="A36" s="69" t="s">
        <v>255</v>
      </c>
      <c r="B36" s="77">
        <f>+'EF Criteria '!E87</f>
        <v>6.93</v>
      </c>
      <c r="C36" s="77">
        <f t="shared" si="0"/>
        <v>2.83</v>
      </c>
      <c r="D36" s="129">
        <f t="shared" si="1"/>
        <v>24828.8</v>
      </c>
      <c r="E36" s="177">
        <f t="shared" si="2"/>
        <v>12.41</v>
      </c>
      <c r="F36" s="142">
        <f t="shared" si="3"/>
        <v>67.92</v>
      </c>
    </row>
    <row r="37" spans="1:6" ht="15">
      <c r="A37" s="69" t="s">
        <v>261</v>
      </c>
      <c r="B37" s="77">
        <f>'EF Criteria '!F103</f>
        <v>0.152</v>
      </c>
      <c r="C37" s="77">
        <f t="shared" si="0"/>
        <v>0.06</v>
      </c>
      <c r="D37" s="129">
        <f>ROUND(B37*$D$21,2)</f>
        <v>544.59</v>
      </c>
      <c r="E37" s="177">
        <f t="shared" si="2"/>
        <v>0.27</v>
      </c>
      <c r="F37" s="142">
        <f>ROUND(C37*24,2)</f>
        <v>1.44</v>
      </c>
    </row>
    <row r="38" spans="1:6" ht="15">
      <c r="A38" s="69" t="s">
        <v>256</v>
      </c>
      <c r="B38" s="77" t="s">
        <v>32</v>
      </c>
      <c r="C38" s="77">
        <f>C36+C37</f>
        <v>2.89</v>
      </c>
      <c r="D38" s="129">
        <f>D36+D37</f>
        <v>25373.39</v>
      </c>
      <c r="E38" s="177">
        <f>E36+E37</f>
        <v>12.68</v>
      </c>
      <c r="F38" s="142">
        <f>F36+F37</f>
        <v>69.36</v>
      </c>
    </row>
    <row r="39" spans="1:6" ht="15">
      <c r="A39" s="69" t="s">
        <v>73</v>
      </c>
      <c r="B39" s="77">
        <f>+'EF Criteria '!E88</f>
        <v>1.48</v>
      </c>
      <c r="C39" s="77">
        <f t="shared" si="0"/>
        <v>0.61</v>
      </c>
      <c r="D39" s="129">
        <f t="shared" si="1"/>
        <v>5302.54</v>
      </c>
      <c r="E39" s="177">
        <f t="shared" si="2"/>
        <v>2.65</v>
      </c>
      <c r="F39" s="142">
        <f t="shared" si="3"/>
        <v>14.64</v>
      </c>
    </row>
    <row r="40" spans="1:6" ht="13.5" thickBot="1">
      <c r="A40" s="70"/>
      <c r="B40" s="71"/>
      <c r="C40" s="72"/>
      <c r="D40" s="72"/>
      <c r="E40" s="178"/>
      <c r="F40" s="143"/>
    </row>
    <row r="41" spans="1:5" ht="14.25" thickBot="1" thickTop="1">
      <c r="A41" s="6"/>
      <c r="B41" s="49"/>
      <c r="C41" s="73"/>
      <c r="D41" s="73"/>
      <c r="E41" s="73"/>
    </row>
    <row r="42" spans="1:2" ht="13.5" thickTop="1">
      <c r="A42" s="53" t="s">
        <v>67</v>
      </c>
      <c r="B42" s="57" t="s">
        <v>184</v>
      </c>
    </row>
    <row r="43" spans="1:2" ht="12.75">
      <c r="A43" s="58" t="s">
        <v>61</v>
      </c>
      <c r="B43" s="205" t="s">
        <v>249</v>
      </c>
    </row>
    <row r="44" spans="1:2" ht="13.5" thickBot="1">
      <c r="A44" s="63"/>
      <c r="B44" s="67" t="s">
        <v>185</v>
      </c>
    </row>
    <row r="45" spans="1:2" ht="13.5" thickTop="1">
      <c r="A45" s="68" t="s">
        <v>66</v>
      </c>
      <c r="B45" s="206">
        <f>ROUND(C32*454/3600,3)</f>
        <v>1.013</v>
      </c>
    </row>
    <row r="46" spans="1:2" ht="12.75">
      <c r="A46" s="69" t="s">
        <v>12</v>
      </c>
      <c r="B46" s="207">
        <f aca="true" t="shared" si="4" ref="B46:B52">ROUND(C33*454/3600,3)</f>
        <v>0.743</v>
      </c>
    </row>
    <row r="47" spans="1:2" ht="12.75">
      <c r="A47" s="69" t="s">
        <v>68</v>
      </c>
      <c r="B47" s="207">
        <f t="shared" si="4"/>
        <v>0.141</v>
      </c>
    </row>
    <row r="48" spans="1:2" ht="15">
      <c r="A48" s="69" t="s">
        <v>75</v>
      </c>
      <c r="B48" s="207">
        <f t="shared" si="4"/>
        <v>0.375</v>
      </c>
    </row>
    <row r="49" spans="1:2" ht="15">
      <c r="A49" s="69" t="s">
        <v>255</v>
      </c>
      <c r="B49" s="207">
        <f t="shared" si="4"/>
        <v>0.357</v>
      </c>
    </row>
    <row r="50" spans="1:2" ht="15">
      <c r="A50" s="69" t="s">
        <v>261</v>
      </c>
      <c r="B50" s="207">
        <f t="shared" si="4"/>
        <v>0.008</v>
      </c>
    </row>
    <row r="51" spans="1:2" ht="15">
      <c r="A51" s="69" t="s">
        <v>256</v>
      </c>
      <c r="B51" s="207">
        <f t="shared" si="4"/>
        <v>0.364</v>
      </c>
    </row>
    <row r="52" spans="1:2" ht="15">
      <c r="A52" s="69" t="s">
        <v>73</v>
      </c>
      <c r="B52" s="207">
        <f t="shared" si="4"/>
        <v>0.077</v>
      </c>
    </row>
    <row r="53" spans="1:2" ht="13.5" thickBot="1">
      <c r="A53" s="70"/>
      <c r="B53" s="183"/>
    </row>
    <row r="54" ht="13.5" thickTop="1"/>
  </sheetData>
  <sheetProtection/>
  <mergeCells count="3">
    <mergeCell ref="A2:F2"/>
    <mergeCell ref="A3:F3"/>
    <mergeCell ref="A4:F4"/>
  </mergeCells>
  <printOptions horizontalCentered="1"/>
  <pageMargins left="0.75" right="0.75" top="0.69" bottom="0.65" header="0.5" footer="0.29"/>
  <pageSetup fitToHeight="1" fitToWidth="1" horizontalDpi="600" verticalDpi="600" orientation="portrait" scale="98" r:id="rId2"/>
  <headerFooter alignWithMargins="0">
    <oddFooter>&amp;L&amp;6K:\REPORTS\R1350\harbor\&amp;F\&amp;A&amp;C&amp;P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21">
      <selection activeCell="D40" sqref="D40"/>
    </sheetView>
  </sheetViews>
  <sheetFormatPr defaultColWidth="9.140625" defaultRowHeight="12.75"/>
  <cols>
    <col min="1" max="1" width="25.7109375" style="75" customWidth="1"/>
    <col min="2" max="2" width="15.7109375" style="0" customWidth="1"/>
    <col min="3" max="3" width="12.7109375" style="0" customWidth="1"/>
    <col min="4" max="4" width="11.7109375" style="0" customWidth="1"/>
    <col min="5" max="5" width="14.00390625" style="0" customWidth="1"/>
    <col min="6" max="6" width="15.57421875" style="0" customWidth="1"/>
  </cols>
  <sheetData>
    <row r="1" spans="1:6" ht="7.5" customHeight="1" thickTop="1">
      <c r="A1" s="21"/>
      <c r="B1" s="22"/>
      <c r="C1" s="22"/>
      <c r="D1" s="23"/>
      <c r="E1" s="23"/>
      <c r="F1" s="101"/>
    </row>
    <row r="2" spans="1:6" ht="17.25">
      <c r="A2" s="208" t="s">
        <v>192</v>
      </c>
      <c r="B2" s="209"/>
      <c r="C2" s="209"/>
      <c r="D2" s="209"/>
      <c r="E2" s="209"/>
      <c r="F2" s="210"/>
    </row>
    <row r="3" spans="1:6" ht="17.25">
      <c r="A3" s="208" t="s">
        <v>248</v>
      </c>
      <c r="B3" s="209"/>
      <c r="C3" s="209"/>
      <c r="D3" s="209"/>
      <c r="E3" s="209"/>
      <c r="F3" s="210"/>
    </row>
    <row r="4" spans="1:6" ht="17.25" customHeight="1" thickBot="1">
      <c r="A4" s="211" t="s">
        <v>154</v>
      </c>
      <c r="B4" s="212"/>
      <c r="C4" s="212"/>
      <c r="D4" s="212"/>
      <c r="E4" s="212"/>
      <c r="F4" s="213"/>
    </row>
    <row r="5" spans="1:6" ht="7.5" customHeight="1" thickTop="1">
      <c r="A5" s="25"/>
      <c r="B5" s="26"/>
      <c r="C5" s="26"/>
      <c r="D5" s="27"/>
      <c r="E5" s="27"/>
      <c r="F5" s="39"/>
    </row>
    <row r="6" spans="1:6" ht="12.75">
      <c r="A6" s="28" t="s">
        <v>38</v>
      </c>
      <c r="C6" s="29" t="s">
        <v>150</v>
      </c>
      <c r="D6" s="30"/>
      <c r="E6" s="102"/>
      <c r="F6" s="41"/>
    </row>
    <row r="7" spans="1:6" ht="12.75" hidden="1">
      <c r="A7" s="28" t="s">
        <v>39</v>
      </c>
      <c r="C7" s="32" t="s">
        <v>40</v>
      </c>
      <c r="D7" s="31"/>
      <c r="E7" s="31"/>
      <c r="F7" s="41"/>
    </row>
    <row r="8" spans="1:6" ht="15">
      <c r="A8" s="28" t="s">
        <v>41</v>
      </c>
      <c r="C8" s="29" t="s">
        <v>163</v>
      </c>
      <c r="D8" s="31"/>
      <c r="E8" s="31"/>
      <c r="F8" s="41"/>
    </row>
    <row r="9" spans="1:6" ht="12.75">
      <c r="A9" s="28" t="s">
        <v>42</v>
      </c>
      <c r="C9" s="31" t="s">
        <v>69</v>
      </c>
      <c r="D9" s="31"/>
      <c r="E9" s="31"/>
      <c r="F9" s="41"/>
    </row>
    <row r="10" spans="1:6" ht="12.75">
      <c r="A10" s="28" t="s">
        <v>43</v>
      </c>
      <c r="C10" s="29" t="s">
        <v>44</v>
      </c>
      <c r="D10" s="31"/>
      <c r="E10" s="31"/>
      <c r="F10" s="41"/>
    </row>
    <row r="11" spans="1:6" ht="12.75">
      <c r="A11" s="28" t="s">
        <v>45</v>
      </c>
      <c r="C11" s="29" t="s">
        <v>197</v>
      </c>
      <c r="D11" s="30"/>
      <c r="E11" s="103"/>
      <c r="F11" s="41"/>
    </row>
    <row r="12" spans="1:6" ht="7.5" customHeight="1" thickBot="1">
      <c r="A12" s="34"/>
      <c r="B12" s="35"/>
      <c r="C12" s="35"/>
      <c r="D12" s="36"/>
      <c r="E12" s="36"/>
      <c r="F12" s="44"/>
    </row>
    <row r="13" spans="1:6" ht="7.5" customHeight="1" thickTop="1">
      <c r="A13" s="37"/>
      <c r="B13" s="38"/>
      <c r="C13" s="38"/>
      <c r="D13" s="38"/>
      <c r="E13" s="38"/>
      <c r="F13" s="39"/>
    </row>
    <row r="14" spans="1:6" ht="12.75">
      <c r="A14" s="40" t="s">
        <v>47</v>
      </c>
      <c r="C14" s="6" t="s">
        <v>48</v>
      </c>
      <c r="D14" s="6"/>
      <c r="E14" s="6"/>
      <c r="F14" s="41"/>
    </row>
    <row r="15" spans="1:6" ht="15">
      <c r="A15" s="40" t="s">
        <v>49</v>
      </c>
      <c r="C15" s="6" t="s">
        <v>50</v>
      </c>
      <c r="D15" s="6"/>
      <c r="E15" s="6"/>
      <c r="F15" s="41"/>
    </row>
    <row r="16" spans="1:6" ht="15">
      <c r="A16" s="40" t="s">
        <v>51</v>
      </c>
      <c r="C16" s="6" t="s">
        <v>52</v>
      </c>
      <c r="D16" s="6"/>
      <c r="E16" s="6"/>
      <c r="F16" s="41"/>
    </row>
    <row r="17" spans="1:6" ht="7.5" customHeight="1" thickBot="1">
      <c r="A17" s="42"/>
      <c r="B17" s="43"/>
      <c r="C17" s="43"/>
      <c r="D17" s="43"/>
      <c r="E17" s="43"/>
      <c r="F17" s="44"/>
    </row>
    <row r="18" spans="1:6" ht="18" customHeight="1" thickBot="1" thickTop="1">
      <c r="A18" s="45" t="s">
        <v>53</v>
      </c>
      <c r="B18" s="46"/>
      <c r="C18" s="46"/>
      <c r="D18" s="46"/>
      <c r="E18" s="104"/>
      <c r="F18" s="48"/>
    </row>
    <row r="19" spans="1:6" ht="7.5" customHeight="1" thickTop="1">
      <c r="A19" s="37"/>
      <c r="B19" s="38"/>
      <c r="C19" s="38"/>
      <c r="D19" s="38"/>
      <c r="E19" s="38"/>
      <c r="F19" s="39"/>
    </row>
    <row r="20" spans="1:6" ht="15">
      <c r="A20" s="40" t="s">
        <v>76</v>
      </c>
      <c r="B20" s="6"/>
      <c r="C20" s="6"/>
      <c r="D20" s="79">
        <f>+'EF Criteria '!D41</f>
        <v>3582.8</v>
      </c>
      <c r="E20" s="6" t="s">
        <v>197</v>
      </c>
      <c r="F20" s="41"/>
    </row>
    <row r="21" spans="1:6" ht="15">
      <c r="A21" s="40" t="s">
        <v>77</v>
      </c>
      <c r="B21" s="6"/>
      <c r="C21" s="6"/>
      <c r="D21" s="119">
        <f>+'EF Criteria '!E36</f>
        <v>0.409</v>
      </c>
      <c r="E21" s="6" t="s">
        <v>197</v>
      </c>
      <c r="F21" s="41"/>
    </row>
    <row r="22" spans="1:6" ht="15">
      <c r="A22" s="40" t="s">
        <v>124</v>
      </c>
      <c r="B22" s="6"/>
      <c r="C22" s="6"/>
      <c r="D22" s="6" t="s">
        <v>70</v>
      </c>
      <c r="E22" s="6" t="s">
        <v>198</v>
      </c>
      <c r="F22" s="41"/>
    </row>
    <row r="23" spans="1:6" ht="12.75">
      <c r="A23" s="40"/>
      <c r="B23" s="6"/>
      <c r="C23" s="6"/>
      <c r="D23" s="6"/>
      <c r="E23" s="6"/>
      <c r="F23" s="41"/>
    </row>
    <row r="24" spans="1:6" ht="12.75">
      <c r="A24" s="40" t="s">
        <v>55</v>
      </c>
      <c r="B24" s="6"/>
      <c r="C24" s="6"/>
      <c r="D24" s="6">
        <v>24</v>
      </c>
      <c r="E24" s="6" t="s">
        <v>56</v>
      </c>
      <c r="F24" s="41"/>
    </row>
    <row r="25" spans="1:6" ht="12.75">
      <c r="A25" s="51"/>
      <c r="B25" s="6"/>
      <c r="C25" s="6"/>
      <c r="D25" s="6">
        <v>7</v>
      </c>
      <c r="E25" s="6" t="s">
        <v>57</v>
      </c>
      <c r="F25" s="41"/>
    </row>
    <row r="26" spans="1:6" ht="12.75">
      <c r="A26" s="51"/>
      <c r="B26" s="6"/>
      <c r="C26" s="6"/>
      <c r="D26" s="6">
        <v>52</v>
      </c>
      <c r="E26" s="105" t="s">
        <v>58</v>
      </c>
      <c r="F26" s="41"/>
    </row>
    <row r="27" spans="1:6" ht="7.5" customHeight="1" thickBot="1">
      <c r="A27" s="42"/>
      <c r="B27" s="43"/>
      <c r="C27" s="43"/>
      <c r="D27" s="43"/>
      <c r="E27" s="43"/>
      <c r="F27" s="44"/>
    </row>
    <row r="28" spans="1:6" ht="7.5" customHeight="1" thickBot="1" thickTop="1">
      <c r="A28" s="51"/>
      <c r="B28" s="6"/>
      <c r="C28" s="6"/>
      <c r="D28" s="6"/>
      <c r="E28" s="6"/>
      <c r="F28" s="41"/>
    </row>
    <row r="29" spans="1:6" ht="13.5" thickTop="1">
      <c r="A29" s="53"/>
      <c r="B29" s="54" t="s">
        <v>78</v>
      </c>
      <c r="C29" s="55" t="s">
        <v>24</v>
      </c>
      <c r="D29" s="55" t="s">
        <v>59</v>
      </c>
      <c r="E29" s="106" t="s">
        <v>60</v>
      </c>
      <c r="F29" s="81" t="s">
        <v>60</v>
      </c>
    </row>
    <row r="30" spans="1:6" ht="12.75">
      <c r="A30" s="58" t="s">
        <v>78</v>
      </c>
      <c r="B30" s="59" t="s">
        <v>79</v>
      </c>
      <c r="C30" s="60" t="s">
        <v>3</v>
      </c>
      <c r="D30" s="60" t="s">
        <v>62</v>
      </c>
      <c r="E30" s="107" t="s">
        <v>62</v>
      </c>
      <c r="F30" s="82" t="s">
        <v>62</v>
      </c>
    </row>
    <row r="31" spans="1:6" ht="13.5" thickBot="1">
      <c r="A31" s="63"/>
      <c r="B31" s="64"/>
      <c r="C31" s="65" t="s">
        <v>14</v>
      </c>
      <c r="D31" s="65" t="s">
        <v>63</v>
      </c>
      <c r="E31" s="108" t="s">
        <v>64</v>
      </c>
      <c r="F31" s="83" t="s">
        <v>65</v>
      </c>
    </row>
    <row r="32" spans="1:6" ht="13.5" thickTop="1">
      <c r="A32" s="84" t="str">
        <f>'Air Toxics EF'!B15</f>
        <v>1,3-Butadiene</v>
      </c>
      <c r="B32" s="98">
        <f>'Air Toxics EF'!C15</f>
        <v>106990</v>
      </c>
      <c r="C32" s="85">
        <f>'Air Toxics EF'!E15</f>
        <v>0.000127</v>
      </c>
      <c r="D32" s="87">
        <f aca="true" t="shared" si="0" ref="D32:D51">$D$21*C32</f>
        <v>5.1942999999999994E-05</v>
      </c>
      <c r="E32" s="24">
        <f aca="true" t="shared" si="1" ref="E32:E51">$D$20*C32</f>
        <v>0.4550156</v>
      </c>
      <c r="F32" s="133">
        <f>(E32/2000)</f>
        <v>0.0002275078</v>
      </c>
    </row>
    <row r="33" spans="1:6" ht="12.75">
      <c r="A33" s="86" t="str">
        <f>'Air Toxics EF'!B20</f>
        <v>Acetaldehyde</v>
      </c>
      <c r="B33" s="99">
        <f>'Air Toxics EF'!C20</f>
        <v>75070</v>
      </c>
      <c r="C33" s="87">
        <f>'Air Toxics EF'!E20</f>
        <v>0.137</v>
      </c>
      <c r="D33" s="87">
        <f t="shared" si="0"/>
        <v>0.056033</v>
      </c>
      <c r="E33" s="109">
        <f t="shared" si="1"/>
        <v>490.84360000000004</v>
      </c>
      <c r="F33" s="133">
        <f aca="true" t="shared" si="2" ref="F33:F51">(E33/2000)</f>
        <v>0.24542180000000002</v>
      </c>
    </row>
    <row r="34" spans="1:6" ht="12.75">
      <c r="A34" s="88" t="str">
        <f>'Air Toxics EF'!B21</f>
        <v>Acrolein</v>
      </c>
      <c r="B34" s="100">
        <f>'Air Toxics EF'!C21</f>
        <v>107028</v>
      </c>
      <c r="C34" s="89">
        <f>'Air Toxics EF'!E21</f>
        <v>0.0189</v>
      </c>
      <c r="D34" s="89">
        <f t="shared" si="0"/>
        <v>0.007730099999999999</v>
      </c>
      <c r="E34" s="110">
        <f t="shared" si="1"/>
        <v>67.71492</v>
      </c>
      <c r="F34" s="134">
        <f t="shared" si="2"/>
        <v>0.033857460000000006</v>
      </c>
    </row>
    <row r="35" spans="1:6" ht="12.75">
      <c r="A35" s="86" t="s">
        <v>80</v>
      </c>
      <c r="B35" s="130">
        <v>7664417</v>
      </c>
      <c r="C35" s="202">
        <f>+'EF Criteria '!E78</f>
        <v>7.25</v>
      </c>
      <c r="D35" s="87">
        <f>$D$21*C35</f>
        <v>2.9652499999999997</v>
      </c>
      <c r="E35" s="109">
        <f>$D$20*C35</f>
        <v>25975.300000000003</v>
      </c>
      <c r="F35" s="133">
        <f>ROUND(E35/2000,2)</f>
        <v>12.99</v>
      </c>
    </row>
    <row r="36" spans="1:6" ht="12.75">
      <c r="A36" s="86" t="str">
        <f>'Air Toxics EF'!B23</f>
        <v>Benz(a)anthracene (PAH)</v>
      </c>
      <c r="B36" s="99">
        <f>'Air Toxics EF'!C23</f>
        <v>56553</v>
      </c>
      <c r="C36" s="87">
        <f>'Air Toxics EF'!E23</f>
        <v>2.26E-05</v>
      </c>
      <c r="D36" s="87">
        <f t="shared" si="0"/>
        <v>9.2434E-06</v>
      </c>
      <c r="E36" s="109">
        <f t="shared" si="1"/>
        <v>0.08097128</v>
      </c>
      <c r="F36" s="133">
        <f t="shared" si="2"/>
        <v>4.048564E-05</v>
      </c>
    </row>
    <row r="37" spans="1:6" ht="12.75">
      <c r="A37" s="86" t="str">
        <f>'Air Toxics EF'!B24</f>
        <v>Benzene</v>
      </c>
      <c r="B37" s="99">
        <f>'Air Toxics EF'!C24</f>
        <v>71432</v>
      </c>
      <c r="C37" s="87">
        <f>'Air Toxics EF'!E24</f>
        <v>0.0133</v>
      </c>
      <c r="D37" s="87">
        <f t="shared" si="0"/>
        <v>0.0054397</v>
      </c>
      <c r="E37" s="109">
        <f t="shared" si="1"/>
        <v>47.65124</v>
      </c>
      <c r="F37" s="133">
        <f t="shared" si="2"/>
        <v>0.023825620000000002</v>
      </c>
    </row>
    <row r="38" spans="1:6" ht="12.75">
      <c r="A38" s="86" t="str">
        <f>'Air Toxics EF'!B25</f>
        <v>Benzo(a)pyrene (PAH)</v>
      </c>
      <c r="B38" s="99">
        <f>'Air Toxics EF'!C25</f>
        <v>50328</v>
      </c>
      <c r="C38" s="87">
        <f>'Air Toxics EF'!E25</f>
        <v>1.39E-05</v>
      </c>
      <c r="D38" s="87">
        <f t="shared" si="0"/>
        <v>5.6851E-06</v>
      </c>
      <c r="E38" s="109">
        <f t="shared" si="1"/>
        <v>0.049800920000000005</v>
      </c>
      <c r="F38" s="133">
        <f t="shared" si="2"/>
        <v>2.4900460000000004E-05</v>
      </c>
    </row>
    <row r="39" spans="1:6" ht="12.75">
      <c r="A39" s="88" t="str">
        <f>'Air Toxics EF'!B26</f>
        <v>Benzo(b)fluoranthene (PAH)</v>
      </c>
      <c r="B39" s="100">
        <f>'Air Toxics EF'!C26</f>
        <v>205992</v>
      </c>
      <c r="C39" s="89">
        <f>'Air Toxics EF'!E26</f>
        <v>1.13E-05</v>
      </c>
      <c r="D39" s="87">
        <f t="shared" si="0"/>
        <v>4.6217E-06</v>
      </c>
      <c r="E39" s="110">
        <f t="shared" si="1"/>
        <v>0.04048564</v>
      </c>
      <c r="F39" s="133">
        <f t="shared" si="2"/>
        <v>2.024282E-05</v>
      </c>
    </row>
    <row r="40" spans="1:6" ht="12.75">
      <c r="A40" s="90" t="str">
        <f>'Air Toxics EF'!B29</f>
        <v>Benzo(k)fluoranthene (PAH)</v>
      </c>
      <c r="B40" s="91">
        <f>'Air Toxics EF'!C29</f>
        <v>207089</v>
      </c>
      <c r="C40" s="92">
        <f>'Air Toxics EF'!E29</f>
        <v>1.1E-05</v>
      </c>
      <c r="D40" s="92">
        <f t="shared" si="0"/>
        <v>4.499E-06</v>
      </c>
      <c r="E40" s="111">
        <f t="shared" si="1"/>
        <v>0.0394108</v>
      </c>
      <c r="F40" s="133">
        <f t="shared" si="2"/>
        <v>1.9705400000000003E-05</v>
      </c>
    </row>
    <row r="41" spans="1:6" ht="12.75">
      <c r="A41" s="90" t="str">
        <f>'Air Toxics EF'!B30</f>
        <v>Chrysene (PAH)</v>
      </c>
      <c r="B41" s="91">
        <f>'Air Toxics EF'!C30</f>
        <v>218019</v>
      </c>
      <c r="C41" s="92">
        <f>'Air Toxics EF'!E30</f>
        <v>2.52E-05</v>
      </c>
      <c r="D41" s="92">
        <f t="shared" si="0"/>
        <v>1.03068E-05</v>
      </c>
      <c r="E41" s="111">
        <f t="shared" si="1"/>
        <v>0.09028656</v>
      </c>
      <c r="F41" s="133">
        <f t="shared" si="2"/>
        <v>4.5143280000000004E-05</v>
      </c>
    </row>
    <row r="42" spans="1:6" ht="12.75">
      <c r="A42" s="90" t="str">
        <f>'Air Toxics EF'!B31</f>
        <v>Dibenz(a,h)anthracene (PAH)</v>
      </c>
      <c r="B42" s="91">
        <f>'Air Toxics EF'!C31</f>
        <v>53703</v>
      </c>
      <c r="C42" s="92">
        <f>'Air Toxics EF'!E31</f>
        <v>2.35E-05</v>
      </c>
      <c r="D42" s="92">
        <f t="shared" si="0"/>
        <v>9.6115E-06</v>
      </c>
      <c r="E42" s="111">
        <f t="shared" si="1"/>
        <v>0.0841958</v>
      </c>
      <c r="F42" s="133">
        <f t="shared" si="2"/>
        <v>4.20979E-05</v>
      </c>
    </row>
    <row r="43" spans="1:6" ht="12.75">
      <c r="A43" s="90" t="str">
        <f>'Air Toxics EF'!B32</f>
        <v>Ethylbenzene</v>
      </c>
      <c r="B43" s="91">
        <f>'Air Toxics EF'!C32</f>
        <v>100414</v>
      </c>
      <c r="C43" s="92">
        <f>'Air Toxics EF'!E32</f>
        <v>0.0179</v>
      </c>
      <c r="D43" s="92">
        <f t="shared" si="0"/>
        <v>0.0073211</v>
      </c>
      <c r="E43" s="111">
        <f t="shared" si="1"/>
        <v>64.13212</v>
      </c>
      <c r="F43" s="133">
        <f t="shared" si="2"/>
        <v>0.03206606</v>
      </c>
    </row>
    <row r="44" spans="1:6" ht="12.75">
      <c r="A44" s="90" t="str">
        <f>'Air Toxics EF'!B35</f>
        <v>Formaldehyde</v>
      </c>
      <c r="B44" s="91">
        <f>'Air Toxics EF'!C35</f>
        <v>50000</v>
      </c>
      <c r="C44" s="92">
        <f>'Air Toxics EF'!E35</f>
        <v>0.917</v>
      </c>
      <c r="D44" s="92">
        <f t="shared" si="0"/>
        <v>0.37505299999999997</v>
      </c>
      <c r="E44" s="111">
        <f t="shared" si="1"/>
        <v>3285.4276000000004</v>
      </c>
      <c r="F44" s="133">
        <f t="shared" si="2"/>
        <v>1.6427138000000001</v>
      </c>
    </row>
    <row r="45" spans="1:6" ht="12.75">
      <c r="A45" s="90" t="str">
        <f>'Air Toxics EF'!B36</f>
        <v>Hexane</v>
      </c>
      <c r="B45" s="91">
        <f>'Air Toxics EF'!C36</f>
        <v>110543</v>
      </c>
      <c r="C45" s="92">
        <f>'Air Toxics EF'!E36</f>
        <v>0.259</v>
      </c>
      <c r="D45" s="92">
        <f t="shared" si="0"/>
        <v>0.105931</v>
      </c>
      <c r="E45" s="111">
        <f t="shared" si="1"/>
        <v>927.9452000000001</v>
      </c>
      <c r="F45" s="133">
        <f t="shared" si="2"/>
        <v>0.46397260000000007</v>
      </c>
    </row>
    <row r="46" spans="1:6" ht="12.75">
      <c r="A46" s="90" t="str">
        <f>'Air Toxics EF'!B37</f>
        <v>Indeno(1,2,3-cd)pyrene (PAH)</v>
      </c>
      <c r="B46" s="91">
        <f>'Air Toxics EF'!C37</f>
        <v>193395</v>
      </c>
      <c r="C46" s="92">
        <f>'Air Toxics EF'!E37</f>
        <v>2.35E-05</v>
      </c>
      <c r="D46" s="92">
        <f t="shared" si="0"/>
        <v>9.6115E-06</v>
      </c>
      <c r="E46" s="111">
        <f t="shared" si="1"/>
        <v>0.0841958</v>
      </c>
      <c r="F46" s="133">
        <f t="shared" si="2"/>
        <v>4.20979E-05</v>
      </c>
    </row>
    <row r="47" spans="1:6" ht="12.75">
      <c r="A47" s="90" t="str">
        <f>'Air Toxics EF'!B38</f>
        <v>Naphthalene (PAH)</v>
      </c>
      <c r="B47" s="91">
        <f>'Air Toxics EF'!C38</f>
        <v>91203</v>
      </c>
      <c r="C47" s="92">
        <f>'Air Toxics EF'!E38</f>
        <v>0.00166</v>
      </c>
      <c r="D47" s="92">
        <f t="shared" si="0"/>
        <v>0.00067894</v>
      </c>
      <c r="E47" s="111">
        <f t="shared" si="1"/>
        <v>5.9474480000000005</v>
      </c>
      <c r="F47" s="133">
        <f t="shared" si="2"/>
        <v>0.002973724</v>
      </c>
    </row>
    <row r="48" spans="1:6" ht="12.75">
      <c r="A48" s="90" t="str">
        <f>'Air Toxics EF'!B41</f>
        <v>Propylene</v>
      </c>
      <c r="B48" s="91">
        <f>'Air Toxics EF'!C41</f>
        <v>115071</v>
      </c>
      <c r="C48" s="92">
        <f>'Air Toxics EF'!E41</f>
        <v>0.771</v>
      </c>
      <c r="D48" s="92">
        <f t="shared" si="0"/>
        <v>0.315339</v>
      </c>
      <c r="E48" s="111">
        <f t="shared" si="1"/>
        <v>2762.3388</v>
      </c>
      <c r="F48" s="133">
        <f t="shared" si="2"/>
        <v>1.3811694</v>
      </c>
    </row>
    <row r="49" spans="1:6" ht="12.75">
      <c r="A49" s="90" t="str">
        <f>'Air Toxics EF'!B42</f>
        <v>Propylene Oxide</v>
      </c>
      <c r="B49" s="91">
        <f>'Air Toxics EF'!C42</f>
        <v>75569</v>
      </c>
      <c r="C49" s="92">
        <f>'Air Toxics EF'!E42</f>
        <v>0.0478</v>
      </c>
      <c r="D49" s="92">
        <f t="shared" si="0"/>
        <v>0.0195502</v>
      </c>
      <c r="E49" s="111">
        <f t="shared" si="1"/>
        <v>171.25784000000002</v>
      </c>
      <c r="F49" s="133">
        <f t="shared" si="2"/>
        <v>0.08562892000000001</v>
      </c>
    </row>
    <row r="50" spans="1:6" ht="12.75">
      <c r="A50" s="90" t="str">
        <f>'Air Toxics EF'!B44</f>
        <v>Toluene</v>
      </c>
      <c r="B50" s="91">
        <f>'Air Toxics EF'!C44</f>
        <v>108883</v>
      </c>
      <c r="C50" s="92">
        <f>'Air Toxics EF'!E44</f>
        <v>0.071</v>
      </c>
      <c r="D50" s="92">
        <f t="shared" si="0"/>
        <v>0.029038999999999995</v>
      </c>
      <c r="E50" s="111">
        <f t="shared" si="1"/>
        <v>254.37879999999998</v>
      </c>
      <c r="F50" s="133">
        <f t="shared" si="2"/>
        <v>0.12718939999999998</v>
      </c>
    </row>
    <row r="51" spans="1:6" ht="13.5" thickBot="1">
      <c r="A51" s="137" t="str">
        <f>'Air Toxics EF'!B45</f>
        <v>Xylene(Total)</v>
      </c>
      <c r="B51" s="93">
        <v>1330207</v>
      </c>
      <c r="C51" s="94">
        <f>'Air Toxics EF'!E45</f>
        <v>0.0261</v>
      </c>
      <c r="D51" s="94">
        <f t="shared" si="0"/>
        <v>0.0106749</v>
      </c>
      <c r="E51" s="112">
        <f t="shared" si="1"/>
        <v>93.51108</v>
      </c>
      <c r="F51" s="136">
        <f t="shared" si="2"/>
        <v>0.046755540000000005</v>
      </c>
    </row>
    <row r="52" spans="1:5" ht="13.5" thickTop="1">
      <c r="A52" s="116" t="s">
        <v>155</v>
      </c>
      <c r="B52" s="96"/>
      <c r="C52" s="96"/>
      <c r="D52" s="96"/>
      <c r="E52" s="97"/>
    </row>
    <row r="53" spans="1:5" ht="12.75">
      <c r="A53" s="116" t="s">
        <v>156</v>
      </c>
      <c r="B53" s="96"/>
      <c r="C53" s="96"/>
      <c r="D53" s="96"/>
      <c r="E53" s="97"/>
    </row>
    <row r="54" ht="12.75">
      <c r="A54" t="s">
        <v>83</v>
      </c>
    </row>
    <row r="55" spans="1:5" ht="12.75">
      <c r="A55" t="s">
        <v>84</v>
      </c>
      <c r="E55" s="74"/>
    </row>
    <row r="56" ht="12.75">
      <c r="A56" s="75" t="s">
        <v>82</v>
      </c>
    </row>
    <row r="57" ht="12.75">
      <c r="A57" s="75" t="s">
        <v>85</v>
      </c>
    </row>
    <row r="58" ht="12.75">
      <c r="A58" t="s">
        <v>81</v>
      </c>
    </row>
    <row r="59" ht="15">
      <c r="A59" s="76"/>
    </row>
    <row r="62" ht="12.75">
      <c r="A62"/>
    </row>
    <row r="63" ht="15">
      <c r="A63" s="76"/>
    </row>
    <row r="65" ht="3" customHeight="1"/>
  </sheetData>
  <sheetProtection/>
  <mergeCells count="3">
    <mergeCell ref="A2:F2"/>
    <mergeCell ref="A3:F3"/>
    <mergeCell ref="A4:F4"/>
  </mergeCells>
  <printOptions horizontalCentered="1"/>
  <pageMargins left="0.75" right="0.75" top="0.69" bottom="0.65" header="0.5" footer="0.29"/>
  <pageSetup fitToHeight="1" fitToWidth="1" horizontalDpi="600" verticalDpi="600" orientation="portrait" scale="93" r:id="rId1"/>
  <headerFooter alignWithMargins="0">
    <oddFooter>&amp;L&amp;6K:\REPORTS\R1350\harbor\&amp;F\&amp;A&amp;C&amp;P of &amp;N&amp;R&amp;6&amp;D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5.7109375" style="75" customWidth="1"/>
    <col min="2" max="2" width="15.7109375" style="0" customWidth="1"/>
    <col min="3" max="3" width="12.7109375" style="0" customWidth="1"/>
    <col min="4" max="4" width="11.7109375" style="0" customWidth="1"/>
    <col min="5" max="5" width="14.00390625" style="0" customWidth="1"/>
    <col min="6" max="6" width="15.57421875" style="0" customWidth="1"/>
  </cols>
  <sheetData>
    <row r="1" spans="1:6" ht="7.5" customHeight="1" thickTop="1">
      <c r="A1" s="21"/>
      <c r="B1" s="22"/>
      <c r="C1" s="22"/>
      <c r="D1" s="23"/>
      <c r="E1" s="23"/>
      <c r="F1" s="101"/>
    </row>
    <row r="2" spans="1:6" ht="17.25">
      <c r="A2" s="208" t="s">
        <v>193</v>
      </c>
      <c r="B2" s="209"/>
      <c r="C2" s="209"/>
      <c r="D2" s="209"/>
      <c r="E2" s="209"/>
      <c r="F2" s="210"/>
    </row>
    <row r="3" spans="1:6" ht="17.25">
      <c r="A3" s="208" t="s">
        <v>248</v>
      </c>
      <c r="B3" s="209"/>
      <c r="C3" s="209"/>
      <c r="D3" s="209"/>
      <c r="E3" s="209"/>
      <c r="F3" s="210"/>
    </row>
    <row r="4" spans="1:6" ht="17.25" customHeight="1" thickBot="1">
      <c r="A4" s="211" t="s">
        <v>154</v>
      </c>
      <c r="B4" s="212"/>
      <c r="C4" s="212"/>
      <c r="D4" s="212"/>
      <c r="E4" s="212"/>
      <c r="F4" s="213"/>
    </row>
    <row r="5" spans="1:6" ht="7.5" customHeight="1" thickTop="1">
      <c r="A5" s="25"/>
      <c r="B5" s="26"/>
      <c r="C5" s="26"/>
      <c r="D5" s="27"/>
      <c r="E5" s="27"/>
      <c r="F5" s="39"/>
    </row>
    <row r="6" spans="1:6" ht="12.75">
      <c r="A6" s="28" t="s">
        <v>38</v>
      </c>
      <c r="C6" s="29" t="s">
        <v>150</v>
      </c>
      <c r="D6" s="30"/>
      <c r="E6" s="102"/>
      <c r="F6" s="41"/>
    </row>
    <row r="7" spans="1:6" ht="12.75" hidden="1">
      <c r="A7" s="28" t="s">
        <v>39</v>
      </c>
      <c r="C7" s="32" t="s">
        <v>40</v>
      </c>
      <c r="D7" s="31"/>
      <c r="E7" s="31"/>
      <c r="F7" s="41"/>
    </row>
    <row r="8" spans="1:6" ht="15">
      <c r="A8" s="28" t="s">
        <v>41</v>
      </c>
      <c r="C8" s="29" t="s">
        <v>163</v>
      </c>
      <c r="D8" s="31"/>
      <c r="E8" s="31"/>
      <c r="F8" s="41"/>
    </row>
    <row r="9" spans="1:6" ht="12.75">
      <c r="A9" s="28" t="s">
        <v>42</v>
      </c>
      <c r="C9" s="31" t="s">
        <v>69</v>
      </c>
      <c r="D9" s="31"/>
      <c r="E9" s="31"/>
      <c r="F9" s="41"/>
    </row>
    <row r="10" spans="1:6" ht="12.75">
      <c r="A10" s="28" t="s">
        <v>43</v>
      </c>
      <c r="C10" s="29" t="s">
        <v>44</v>
      </c>
      <c r="D10" s="31"/>
      <c r="E10" s="31"/>
      <c r="F10" s="41"/>
    </row>
    <row r="11" spans="1:6" ht="12.75">
      <c r="A11" s="28" t="s">
        <v>45</v>
      </c>
      <c r="C11" s="29" t="s">
        <v>46</v>
      </c>
      <c r="D11" s="30"/>
      <c r="E11" s="103"/>
      <c r="F11" s="41"/>
    </row>
    <row r="12" spans="1:6" ht="7.5" customHeight="1" thickBot="1">
      <c r="A12" s="34"/>
      <c r="B12" s="35"/>
      <c r="C12" s="35"/>
      <c r="D12" s="36"/>
      <c r="E12" s="36"/>
      <c r="F12" s="44"/>
    </row>
    <row r="13" spans="1:6" ht="7.5" customHeight="1" thickTop="1">
      <c r="A13" s="37"/>
      <c r="B13" s="38"/>
      <c r="C13" s="38"/>
      <c r="D13" s="38"/>
      <c r="E13" s="38"/>
      <c r="F13" s="39"/>
    </row>
    <row r="14" spans="1:6" ht="12.75">
      <c r="A14" s="40" t="s">
        <v>47</v>
      </c>
      <c r="C14" s="6" t="s">
        <v>48</v>
      </c>
      <c r="D14" s="6"/>
      <c r="E14" s="6"/>
      <c r="F14" s="41"/>
    </row>
    <row r="15" spans="1:6" ht="15">
      <c r="A15" s="40" t="s">
        <v>49</v>
      </c>
      <c r="C15" s="6" t="s">
        <v>50</v>
      </c>
      <c r="D15" s="6"/>
      <c r="E15" s="6"/>
      <c r="F15" s="41"/>
    </row>
    <row r="16" spans="1:6" ht="15">
      <c r="A16" s="40" t="s">
        <v>51</v>
      </c>
      <c r="C16" s="6" t="s">
        <v>52</v>
      </c>
      <c r="D16" s="6"/>
      <c r="E16" s="6"/>
      <c r="F16" s="41"/>
    </row>
    <row r="17" spans="1:6" ht="7.5" customHeight="1" thickBot="1">
      <c r="A17" s="42"/>
      <c r="B17" s="43"/>
      <c r="C17" s="43"/>
      <c r="D17" s="43"/>
      <c r="E17" s="43"/>
      <c r="F17" s="44"/>
    </row>
    <row r="18" spans="1:6" ht="18" customHeight="1" thickBot="1" thickTop="1">
      <c r="A18" s="45" t="s">
        <v>53</v>
      </c>
      <c r="B18" s="46"/>
      <c r="C18" s="46"/>
      <c r="D18" s="46"/>
      <c r="E18" s="104"/>
      <c r="F18" s="48"/>
    </row>
    <row r="19" spans="1:6" ht="7.5" customHeight="1" thickTop="1">
      <c r="A19" s="37"/>
      <c r="B19" s="38"/>
      <c r="C19" s="38"/>
      <c r="D19" s="38"/>
      <c r="E19" s="38"/>
      <c r="F19" s="39"/>
    </row>
    <row r="20" spans="1:6" ht="15">
      <c r="A20" s="40" t="s">
        <v>76</v>
      </c>
      <c r="B20" s="6"/>
      <c r="C20" s="6"/>
      <c r="D20" s="79">
        <f>+'EF Criteria '!D41</f>
        <v>3582.8</v>
      </c>
      <c r="E20" s="6" t="s">
        <v>197</v>
      </c>
      <c r="F20" s="41"/>
    </row>
    <row r="21" spans="1:6" ht="15">
      <c r="A21" s="40" t="s">
        <v>77</v>
      </c>
      <c r="B21" s="6"/>
      <c r="C21" s="6"/>
      <c r="D21" s="119">
        <f>+'EF Criteria '!E36</f>
        <v>0.409</v>
      </c>
      <c r="E21" s="6" t="s">
        <v>197</v>
      </c>
      <c r="F21" s="41"/>
    </row>
    <row r="22" spans="1:6" ht="15">
      <c r="A22" s="40" t="s">
        <v>124</v>
      </c>
      <c r="B22" s="6"/>
      <c r="C22" s="6"/>
      <c r="D22" s="6" t="s">
        <v>70</v>
      </c>
      <c r="E22" s="6" t="s">
        <v>198</v>
      </c>
      <c r="F22" s="41"/>
    </row>
    <row r="23" spans="1:6" ht="12.75">
      <c r="A23" s="40"/>
      <c r="B23" s="6"/>
      <c r="C23" s="6"/>
      <c r="D23" s="6"/>
      <c r="E23" s="6"/>
      <c r="F23" s="41"/>
    </row>
    <row r="24" spans="1:6" ht="12.75">
      <c r="A24" s="40" t="s">
        <v>55</v>
      </c>
      <c r="B24" s="6"/>
      <c r="C24" s="6"/>
      <c r="D24" s="6">
        <v>24</v>
      </c>
      <c r="E24" s="6" t="s">
        <v>56</v>
      </c>
      <c r="F24" s="41"/>
    </row>
    <row r="25" spans="1:6" ht="12.75">
      <c r="A25" s="51"/>
      <c r="B25" s="6"/>
      <c r="C25" s="6"/>
      <c r="D25" s="6">
        <v>7</v>
      </c>
      <c r="E25" s="6" t="s">
        <v>57</v>
      </c>
      <c r="F25" s="41"/>
    </row>
    <row r="26" spans="1:6" ht="12.75">
      <c r="A26" s="51"/>
      <c r="B26" s="6"/>
      <c r="C26" s="6"/>
      <c r="D26" s="6">
        <v>52</v>
      </c>
      <c r="E26" s="105" t="s">
        <v>58</v>
      </c>
      <c r="F26" s="41"/>
    </row>
    <row r="27" spans="1:6" ht="7.5" customHeight="1" thickBot="1">
      <c r="A27" s="42"/>
      <c r="B27" s="43"/>
      <c r="C27" s="43"/>
      <c r="D27" s="43"/>
      <c r="E27" s="43"/>
      <c r="F27" s="44"/>
    </row>
    <row r="28" spans="1:6" ht="7.5" customHeight="1" thickBot="1" thickTop="1">
      <c r="A28" s="51"/>
      <c r="B28" s="6"/>
      <c r="C28" s="6"/>
      <c r="D28" s="6"/>
      <c r="E28" s="6"/>
      <c r="F28" s="41"/>
    </row>
    <row r="29" spans="1:6" ht="13.5" thickTop="1">
      <c r="A29" s="53"/>
      <c r="B29" s="54" t="s">
        <v>78</v>
      </c>
      <c r="C29" s="55" t="s">
        <v>24</v>
      </c>
      <c r="D29" s="55" t="s">
        <v>184</v>
      </c>
      <c r="E29" s="106" t="s">
        <v>184</v>
      </c>
      <c r="F29" s="81"/>
    </row>
    <row r="30" spans="1:6" ht="12.75">
      <c r="A30" s="58" t="s">
        <v>78</v>
      </c>
      <c r="B30" s="59" t="s">
        <v>79</v>
      </c>
      <c r="C30" s="60" t="s">
        <v>3</v>
      </c>
      <c r="D30" s="60" t="s">
        <v>62</v>
      </c>
      <c r="E30" s="107" t="s">
        <v>62</v>
      </c>
      <c r="F30" s="82"/>
    </row>
    <row r="31" spans="1:6" ht="13.5" thickBot="1">
      <c r="A31" s="63"/>
      <c r="B31" s="64"/>
      <c r="C31" s="65" t="s">
        <v>14</v>
      </c>
      <c r="D31" s="65" t="s">
        <v>63</v>
      </c>
      <c r="E31" s="108" t="s">
        <v>185</v>
      </c>
      <c r="F31" s="83"/>
    </row>
    <row r="32" spans="1:6" ht="13.5" thickTop="1">
      <c r="A32" s="84" t="str">
        <f>'Air Toxics EF'!B15</f>
        <v>1,3-Butadiene</v>
      </c>
      <c r="B32" s="98">
        <f>'Air Toxics EF'!C15</f>
        <v>106990</v>
      </c>
      <c r="C32" s="85">
        <f>'Air Toxics EF'!E15</f>
        <v>0.000127</v>
      </c>
      <c r="D32" s="87">
        <f aca="true" t="shared" si="0" ref="D32:D51">$D$21*C32</f>
        <v>5.1942999999999994E-05</v>
      </c>
      <c r="E32" s="24">
        <f>D32*454/3600</f>
        <v>6.550589444444444E-06</v>
      </c>
      <c r="F32" s="133"/>
    </row>
    <row r="33" spans="1:6" ht="12.75">
      <c r="A33" s="86" t="str">
        <f>'Air Toxics EF'!B20</f>
        <v>Acetaldehyde</v>
      </c>
      <c r="B33" s="99">
        <f>'Air Toxics EF'!C20</f>
        <v>75070</v>
      </c>
      <c r="C33" s="87">
        <f>'Air Toxics EF'!E20</f>
        <v>0.137</v>
      </c>
      <c r="D33" s="87">
        <f t="shared" si="0"/>
        <v>0.056033</v>
      </c>
      <c r="E33" s="109">
        <f aca="true" t="shared" si="1" ref="E33:E51">D33*454/3600</f>
        <v>0.007066383888888889</v>
      </c>
      <c r="F33" s="133"/>
    </row>
    <row r="34" spans="1:6" ht="12.75">
      <c r="A34" s="88" t="str">
        <f>'Air Toxics EF'!B21</f>
        <v>Acrolein</v>
      </c>
      <c r="B34" s="100">
        <f>'Air Toxics EF'!C21</f>
        <v>107028</v>
      </c>
      <c r="C34" s="89">
        <f>'Air Toxics EF'!E21</f>
        <v>0.0189</v>
      </c>
      <c r="D34" s="89">
        <f t="shared" si="0"/>
        <v>0.007730099999999999</v>
      </c>
      <c r="E34" s="110">
        <f t="shared" si="1"/>
        <v>0.0009748515</v>
      </c>
      <c r="F34" s="134"/>
    </row>
    <row r="35" spans="1:6" ht="12.75">
      <c r="A35" s="86" t="s">
        <v>80</v>
      </c>
      <c r="B35" s="130">
        <v>7664417</v>
      </c>
      <c r="C35" s="131">
        <f>+'EF Criteria '!E78</f>
        <v>7.25</v>
      </c>
      <c r="D35" s="132">
        <f t="shared" si="0"/>
        <v>2.9652499999999997</v>
      </c>
      <c r="E35" s="109">
        <f t="shared" si="1"/>
        <v>0.3739509722222222</v>
      </c>
      <c r="F35" s="135"/>
    </row>
    <row r="36" spans="1:6" ht="12.75">
      <c r="A36" s="86" t="str">
        <f>'Air Toxics EF'!B23</f>
        <v>Benz(a)anthracene (PAH)</v>
      </c>
      <c r="B36" s="99">
        <f>'Air Toxics EF'!C23</f>
        <v>56553</v>
      </c>
      <c r="C36" s="87">
        <f>'Air Toxics EF'!E23</f>
        <v>2.26E-05</v>
      </c>
      <c r="D36" s="87">
        <f t="shared" si="0"/>
        <v>9.2434E-06</v>
      </c>
      <c r="E36" s="109">
        <f t="shared" si="1"/>
        <v>1.1656954444444444E-06</v>
      </c>
      <c r="F36" s="133"/>
    </row>
    <row r="37" spans="1:6" ht="12.75">
      <c r="A37" s="86" t="str">
        <f>'Air Toxics EF'!B24</f>
        <v>Benzene</v>
      </c>
      <c r="B37" s="99">
        <f>'Air Toxics EF'!C24</f>
        <v>71432</v>
      </c>
      <c r="C37" s="87">
        <f>'Air Toxics EF'!E24</f>
        <v>0.0133</v>
      </c>
      <c r="D37" s="87">
        <f t="shared" si="0"/>
        <v>0.0054397</v>
      </c>
      <c r="E37" s="109">
        <f t="shared" si="1"/>
        <v>0.0006860066111111111</v>
      </c>
      <c r="F37" s="133"/>
    </row>
    <row r="38" spans="1:6" ht="12.75">
      <c r="A38" s="86" t="str">
        <f>'Air Toxics EF'!B25</f>
        <v>Benzo(a)pyrene (PAH)</v>
      </c>
      <c r="B38" s="99">
        <f>'Air Toxics EF'!C25</f>
        <v>50328</v>
      </c>
      <c r="C38" s="87">
        <f>'Air Toxics EF'!E25</f>
        <v>1.39E-05</v>
      </c>
      <c r="D38" s="87">
        <f t="shared" si="0"/>
        <v>5.6851E-06</v>
      </c>
      <c r="E38" s="109">
        <f t="shared" si="1"/>
        <v>7.169542777777778E-07</v>
      </c>
      <c r="F38" s="133"/>
    </row>
    <row r="39" spans="1:6" ht="12.75">
      <c r="A39" s="88" t="str">
        <f>'Air Toxics EF'!B26</f>
        <v>Benzo(b)fluoranthene (PAH)</v>
      </c>
      <c r="B39" s="100">
        <f>'Air Toxics EF'!C26</f>
        <v>205992</v>
      </c>
      <c r="C39" s="89">
        <f>'Air Toxics EF'!E26</f>
        <v>1.13E-05</v>
      </c>
      <c r="D39" s="87">
        <f t="shared" si="0"/>
        <v>4.6217E-06</v>
      </c>
      <c r="E39" s="110">
        <f t="shared" si="1"/>
        <v>5.828477222222222E-07</v>
      </c>
      <c r="F39" s="133"/>
    </row>
    <row r="40" spans="1:6" ht="12.75">
      <c r="A40" s="90" t="str">
        <f>'Air Toxics EF'!B29</f>
        <v>Benzo(k)fluoranthene (PAH)</v>
      </c>
      <c r="B40" s="91">
        <f>'Air Toxics EF'!C29</f>
        <v>207089</v>
      </c>
      <c r="C40" s="92">
        <f>'Air Toxics EF'!E29</f>
        <v>1.1E-05</v>
      </c>
      <c r="D40" s="92">
        <f t="shared" si="0"/>
        <v>4.499E-06</v>
      </c>
      <c r="E40" s="109">
        <f t="shared" si="1"/>
        <v>5.673738888888888E-07</v>
      </c>
      <c r="F40" s="133"/>
    </row>
    <row r="41" spans="1:6" ht="12.75">
      <c r="A41" s="90" t="str">
        <f>'Air Toxics EF'!B30</f>
        <v>Chrysene (PAH)</v>
      </c>
      <c r="B41" s="91">
        <f>'Air Toxics EF'!C30</f>
        <v>218019</v>
      </c>
      <c r="C41" s="92">
        <f>'Air Toxics EF'!E30</f>
        <v>2.52E-05</v>
      </c>
      <c r="D41" s="92">
        <f t="shared" si="0"/>
        <v>1.03068E-05</v>
      </c>
      <c r="E41" s="109">
        <f t="shared" si="1"/>
        <v>1.2998019999999999E-06</v>
      </c>
      <c r="F41" s="133"/>
    </row>
    <row r="42" spans="1:6" ht="12.75">
      <c r="A42" s="90" t="str">
        <f>'Air Toxics EF'!B31</f>
        <v>Dibenz(a,h)anthracene (PAH)</v>
      </c>
      <c r="B42" s="91">
        <f>'Air Toxics EF'!C31</f>
        <v>53703</v>
      </c>
      <c r="C42" s="92">
        <f>'Air Toxics EF'!E31</f>
        <v>2.35E-05</v>
      </c>
      <c r="D42" s="92">
        <f t="shared" si="0"/>
        <v>9.6115E-06</v>
      </c>
      <c r="E42" s="109">
        <f t="shared" si="1"/>
        <v>1.2121169444444444E-06</v>
      </c>
      <c r="F42" s="133"/>
    </row>
    <row r="43" spans="1:6" ht="12.75">
      <c r="A43" s="90" t="str">
        <f>'Air Toxics EF'!B32</f>
        <v>Ethylbenzene</v>
      </c>
      <c r="B43" s="91">
        <f>'Air Toxics EF'!C32</f>
        <v>100414</v>
      </c>
      <c r="C43" s="92">
        <f>'Air Toxics EF'!E32</f>
        <v>0.0179</v>
      </c>
      <c r="D43" s="92">
        <f t="shared" si="0"/>
        <v>0.0073211</v>
      </c>
      <c r="E43" s="109">
        <f t="shared" si="1"/>
        <v>0.0009232720555555555</v>
      </c>
      <c r="F43" s="133"/>
    </row>
    <row r="44" spans="1:6" ht="12.75">
      <c r="A44" s="90" t="str">
        <f>'Air Toxics EF'!B35</f>
        <v>Formaldehyde</v>
      </c>
      <c r="B44" s="91">
        <f>'Air Toxics EF'!C35</f>
        <v>50000</v>
      </c>
      <c r="C44" s="92">
        <f>'Air Toxics EF'!E35</f>
        <v>0.917</v>
      </c>
      <c r="D44" s="92">
        <f t="shared" si="0"/>
        <v>0.37505299999999997</v>
      </c>
      <c r="E44" s="109">
        <f t="shared" si="1"/>
        <v>0.04729835055555555</v>
      </c>
      <c r="F44" s="133"/>
    </row>
    <row r="45" spans="1:6" ht="12.75">
      <c r="A45" s="90" t="str">
        <f>'Air Toxics EF'!B36</f>
        <v>Hexane</v>
      </c>
      <c r="B45" s="91">
        <f>'Air Toxics EF'!C36</f>
        <v>110543</v>
      </c>
      <c r="C45" s="92">
        <f>'Air Toxics EF'!E36</f>
        <v>0.259</v>
      </c>
      <c r="D45" s="92">
        <f t="shared" si="0"/>
        <v>0.105931</v>
      </c>
      <c r="E45" s="109">
        <f t="shared" si="1"/>
        <v>0.013359076111111113</v>
      </c>
      <c r="F45" s="133"/>
    </row>
    <row r="46" spans="1:6" ht="12.75">
      <c r="A46" s="90" t="str">
        <f>'Air Toxics EF'!B37</f>
        <v>Indeno(1,2,3-cd)pyrene (PAH)</v>
      </c>
      <c r="B46" s="91">
        <f>'Air Toxics EF'!C37</f>
        <v>193395</v>
      </c>
      <c r="C46" s="92">
        <f>'Air Toxics EF'!E37</f>
        <v>2.35E-05</v>
      </c>
      <c r="D46" s="92">
        <f t="shared" si="0"/>
        <v>9.6115E-06</v>
      </c>
      <c r="E46" s="109">
        <f t="shared" si="1"/>
        <v>1.2121169444444444E-06</v>
      </c>
      <c r="F46" s="133"/>
    </row>
    <row r="47" spans="1:6" ht="12.75">
      <c r="A47" s="90" t="str">
        <f>'Air Toxics EF'!B38</f>
        <v>Naphthalene (PAH)</v>
      </c>
      <c r="B47" s="91">
        <f>'Air Toxics EF'!C38</f>
        <v>91203</v>
      </c>
      <c r="C47" s="92">
        <f>'Air Toxics EF'!E38</f>
        <v>0.00166</v>
      </c>
      <c r="D47" s="92">
        <f t="shared" si="0"/>
        <v>0.00067894</v>
      </c>
      <c r="E47" s="109">
        <f t="shared" si="1"/>
        <v>8.562187777777778E-05</v>
      </c>
      <c r="F47" s="133"/>
    </row>
    <row r="48" spans="1:6" ht="12.75">
      <c r="A48" s="90" t="str">
        <f>'Air Toxics EF'!B41</f>
        <v>Propylene</v>
      </c>
      <c r="B48" s="91">
        <f>'Air Toxics EF'!C41</f>
        <v>115071</v>
      </c>
      <c r="C48" s="92">
        <f>'Air Toxics EF'!E41</f>
        <v>0.771</v>
      </c>
      <c r="D48" s="92">
        <f t="shared" si="0"/>
        <v>0.315339</v>
      </c>
      <c r="E48" s="109">
        <f t="shared" si="1"/>
        <v>0.03976775166666666</v>
      </c>
      <c r="F48" s="133"/>
    </row>
    <row r="49" spans="1:6" ht="12.75">
      <c r="A49" s="90" t="str">
        <f>'Air Toxics EF'!B42</f>
        <v>Propylene Oxide</v>
      </c>
      <c r="B49" s="91">
        <f>'Air Toxics EF'!C42</f>
        <v>75569</v>
      </c>
      <c r="C49" s="92">
        <f>'Air Toxics EF'!E42</f>
        <v>0.0478</v>
      </c>
      <c r="D49" s="92">
        <f t="shared" si="0"/>
        <v>0.0195502</v>
      </c>
      <c r="E49" s="109">
        <f t="shared" si="1"/>
        <v>0.0024654974444444444</v>
      </c>
      <c r="F49" s="133"/>
    </row>
    <row r="50" spans="1:6" ht="12.75">
      <c r="A50" s="90" t="str">
        <f>'Air Toxics EF'!B44</f>
        <v>Toluene</v>
      </c>
      <c r="B50" s="91">
        <f>'Air Toxics EF'!C44</f>
        <v>108883</v>
      </c>
      <c r="C50" s="92">
        <f>'Air Toxics EF'!E44</f>
        <v>0.071</v>
      </c>
      <c r="D50" s="92">
        <f t="shared" si="0"/>
        <v>0.029038999999999995</v>
      </c>
      <c r="E50" s="109">
        <f t="shared" si="1"/>
        <v>0.0036621405555555546</v>
      </c>
      <c r="F50" s="133"/>
    </row>
    <row r="51" spans="1:6" ht="13.5" thickBot="1">
      <c r="A51" s="137" t="str">
        <f>'Air Toxics EF'!B45</f>
        <v>Xylene(Total)</v>
      </c>
      <c r="B51" s="93">
        <v>1330207</v>
      </c>
      <c r="C51" s="94">
        <f>'Air Toxics EF'!E45</f>
        <v>0.0261</v>
      </c>
      <c r="D51" s="94">
        <f t="shared" si="0"/>
        <v>0.0106749</v>
      </c>
      <c r="E51" s="201">
        <f t="shared" si="1"/>
        <v>0.0013462234999999999</v>
      </c>
      <c r="F51" s="136"/>
    </row>
    <row r="52" spans="1:5" ht="13.5" thickTop="1">
      <c r="A52" s="116" t="s">
        <v>155</v>
      </c>
      <c r="B52" s="96"/>
      <c r="C52" s="96"/>
      <c r="D52" s="96"/>
      <c r="E52" s="97"/>
    </row>
    <row r="53" spans="1:5" ht="12.75">
      <c r="A53" s="116" t="s">
        <v>156</v>
      </c>
      <c r="B53" s="96"/>
      <c r="C53" s="96"/>
      <c r="D53" s="96"/>
      <c r="E53" s="97"/>
    </row>
    <row r="54" ht="12.75">
      <c r="A54" t="s">
        <v>83</v>
      </c>
    </row>
    <row r="55" spans="1:5" ht="12.75">
      <c r="A55" t="s">
        <v>84</v>
      </c>
      <c r="E55" s="74"/>
    </row>
    <row r="56" ht="12.75">
      <c r="A56" s="75" t="s">
        <v>82</v>
      </c>
    </row>
    <row r="57" ht="12.75">
      <c r="A57" s="75" t="s">
        <v>85</v>
      </c>
    </row>
    <row r="58" ht="12.75">
      <c r="A58" t="s">
        <v>81</v>
      </c>
    </row>
    <row r="59" ht="12.75">
      <c r="A59" s="182"/>
    </row>
    <row r="62" ht="12.75">
      <c r="A62"/>
    </row>
    <row r="63" ht="15">
      <c r="A63" s="76"/>
    </row>
    <row r="65" ht="3" customHeight="1"/>
  </sheetData>
  <sheetProtection/>
  <mergeCells count="3">
    <mergeCell ref="A2:F2"/>
    <mergeCell ref="A3:F3"/>
    <mergeCell ref="A4:F4"/>
  </mergeCells>
  <printOptions horizontalCentered="1"/>
  <pageMargins left="0.75" right="0.75" top="0.69" bottom="0.65" header="0.5" footer="0.29"/>
  <pageSetup fitToHeight="1" fitToWidth="1" horizontalDpi="600" verticalDpi="600" orientation="portrait" scale="93" r:id="rId1"/>
  <headerFooter alignWithMargins="0">
    <oddFooter>&amp;L&amp;6K:\REPORTS\R1350\harbor\&amp;F\&amp;A&amp;C&amp;P of &amp;N&amp;R&amp;6&amp;D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01">
      <selection activeCell="A115" sqref="A115"/>
    </sheetView>
  </sheetViews>
  <sheetFormatPr defaultColWidth="9.140625" defaultRowHeight="12.75"/>
  <cols>
    <col min="1" max="7" width="13.7109375" style="0" customWidth="1"/>
  </cols>
  <sheetData>
    <row r="1" spans="1:7" ht="17.25">
      <c r="A1" s="214" t="s">
        <v>191</v>
      </c>
      <c r="B1" s="215"/>
      <c r="C1" s="215"/>
      <c r="D1" s="215"/>
      <c r="E1" s="215"/>
      <c r="F1" s="215"/>
      <c r="G1" s="216"/>
    </row>
    <row r="2" spans="1:7" ht="17.25">
      <c r="A2" s="219" t="s">
        <v>194</v>
      </c>
      <c r="B2" s="220"/>
      <c r="C2" s="220"/>
      <c r="D2" s="220"/>
      <c r="E2" s="220"/>
      <c r="F2" s="220"/>
      <c r="G2" s="221"/>
    </row>
    <row r="3" spans="1:7" ht="17.25">
      <c r="A3" s="219" t="s">
        <v>20</v>
      </c>
      <c r="B3" s="220"/>
      <c r="C3" s="220"/>
      <c r="D3" s="220"/>
      <c r="E3" s="220"/>
      <c r="F3" s="220"/>
      <c r="G3" s="221"/>
    </row>
    <row r="4" spans="1:7" ht="13.5" thickBot="1">
      <c r="A4" s="171"/>
      <c r="B4" s="172"/>
      <c r="C4" s="172"/>
      <c r="D4" s="172"/>
      <c r="E4" s="172"/>
      <c r="F4" s="172"/>
      <c r="G4" s="173"/>
    </row>
    <row r="5" spans="1:7" ht="12.75">
      <c r="A5" s="3"/>
      <c r="B5" s="4"/>
      <c r="C5" s="4"/>
      <c r="D5" s="4"/>
      <c r="E5" s="4"/>
      <c r="F5" s="4"/>
      <c r="G5" s="126"/>
    </row>
    <row r="6" spans="1:7" ht="15">
      <c r="A6" s="5" t="s">
        <v>157</v>
      </c>
      <c r="B6" s="6"/>
      <c r="C6" s="6"/>
      <c r="D6" s="6"/>
      <c r="E6" s="6"/>
      <c r="F6" s="6"/>
      <c r="G6" s="127"/>
    </row>
    <row r="7" spans="1:7" ht="15">
      <c r="A7" s="5" t="s">
        <v>19</v>
      </c>
      <c r="B7" s="6"/>
      <c r="C7" s="6"/>
      <c r="D7" s="6"/>
      <c r="E7" s="6"/>
      <c r="F7" s="6"/>
      <c r="G7" s="127"/>
    </row>
    <row r="8" spans="1:7" ht="15">
      <c r="A8" s="5" t="s">
        <v>134</v>
      </c>
      <c r="B8" s="6"/>
      <c r="C8" s="6"/>
      <c r="D8" s="6"/>
      <c r="E8" s="6"/>
      <c r="F8" s="6"/>
      <c r="G8" s="127"/>
    </row>
    <row r="9" spans="1:7" ht="12.75">
      <c r="A9" s="5" t="s">
        <v>25</v>
      </c>
      <c r="B9" s="6"/>
      <c r="C9" s="6"/>
      <c r="D9" s="6"/>
      <c r="E9" s="6"/>
      <c r="F9" s="6"/>
      <c r="G9" s="127"/>
    </row>
    <row r="10" spans="1:7" ht="16.5">
      <c r="A10" s="5" t="s">
        <v>174</v>
      </c>
      <c r="B10" s="6"/>
      <c r="C10" s="6"/>
      <c r="D10" s="6"/>
      <c r="E10" s="6"/>
      <c r="F10" s="6"/>
      <c r="G10" s="127"/>
    </row>
    <row r="11" spans="1:7" ht="15">
      <c r="A11" s="5" t="s">
        <v>26</v>
      </c>
      <c r="B11" s="6"/>
      <c r="C11" s="6"/>
      <c r="D11" s="6"/>
      <c r="E11" s="6"/>
      <c r="F11" s="6"/>
      <c r="G11" s="127"/>
    </row>
    <row r="12" spans="1:7" ht="15.75" thickBot="1">
      <c r="A12" s="7" t="s">
        <v>175</v>
      </c>
      <c r="B12" s="8"/>
      <c r="C12" s="8"/>
      <c r="D12" s="8"/>
      <c r="E12" s="8"/>
      <c r="F12" s="8"/>
      <c r="G12" s="128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9" t="s">
        <v>164</v>
      </c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2:7" ht="15">
      <c r="B16" s="138" t="s">
        <v>165</v>
      </c>
      <c r="C16" s="138" t="s">
        <v>166</v>
      </c>
      <c r="D16" s="139" t="s">
        <v>132</v>
      </c>
      <c r="E16" s="140" t="s">
        <v>167</v>
      </c>
      <c r="F16" s="6"/>
      <c r="G16" s="6"/>
    </row>
    <row r="17" spans="2:7" ht="12.75">
      <c r="B17" s="138" t="s">
        <v>168</v>
      </c>
      <c r="C17" s="138">
        <v>94</v>
      </c>
      <c r="D17" s="139">
        <v>16</v>
      </c>
      <c r="E17" s="141">
        <f>ROUND(C17*D17/100,1)</f>
        <v>15</v>
      </c>
      <c r="F17" s="6"/>
      <c r="G17" s="6"/>
    </row>
    <row r="18" spans="2:7" ht="12.75">
      <c r="B18" s="138" t="s">
        <v>169</v>
      </c>
      <c r="C18" s="138">
        <v>3</v>
      </c>
      <c r="D18" s="139">
        <v>30</v>
      </c>
      <c r="E18" s="141">
        <f>ROUND(C18*D18/100,1)</f>
        <v>0.9</v>
      </c>
      <c r="F18" s="6"/>
      <c r="G18" s="6"/>
    </row>
    <row r="19" spans="2:7" ht="12.75">
      <c r="B19" s="138" t="s">
        <v>170</v>
      </c>
      <c r="C19" s="138">
        <v>2</v>
      </c>
      <c r="D19" s="139">
        <v>44</v>
      </c>
      <c r="E19" s="141">
        <f>ROUND(C19*D19/100,1)</f>
        <v>0.9</v>
      </c>
      <c r="F19" s="6"/>
      <c r="G19" s="6"/>
    </row>
    <row r="20" spans="2:7" ht="15">
      <c r="B20" s="138" t="s">
        <v>171</v>
      </c>
      <c r="C20" s="138">
        <v>1</v>
      </c>
      <c r="D20" s="139">
        <v>44</v>
      </c>
      <c r="E20" s="141">
        <f>ROUND(C20*D20/100,1)</f>
        <v>0.4</v>
      </c>
      <c r="F20" s="6"/>
      <c r="G20" s="6"/>
    </row>
    <row r="21" spans="2:7" ht="12.75">
      <c r="B21" s="138"/>
      <c r="C21" s="138"/>
      <c r="D21" s="139"/>
      <c r="E21" s="141"/>
      <c r="F21" s="6"/>
      <c r="G21" s="6"/>
    </row>
    <row r="22" spans="2:7" ht="12.75">
      <c r="B22" s="1" t="s">
        <v>172</v>
      </c>
      <c r="C22" s="2"/>
      <c r="D22" s="49"/>
      <c r="E22" s="14">
        <f>SUM(E17:E21)</f>
        <v>17.2</v>
      </c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4:7" ht="12.75">
      <c r="D25" s="6"/>
      <c r="E25" s="6"/>
      <c r="F25" s="6"/>
      <c r="G25" s="6"/>
    </row>
    <row r="26" spans="1:5" ht="12.75">
      <c r="A26" s="217" t="s">
        <v>152</v>
      </c>
      <c r="B26" s="217"/>
      <c r="C26" s="217"/>
      <c r="D26" s="217"/>
      <c r="E26" s="217"/>
    </row>
    <row r="27" spans="4:5" ht="12.75">
      <c r="D27" s="1"/>
      <c r="E27" s="1"/>
    </row>
    <row r="28" ht="12.75">
      <c r="A28" s="9" t="s">
        <v>0</v>
      </c>
    </row>
    <row r="30" spans="1:5" ht="12.75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</row>
    <row r="31" spans="1:5" ht="12.75">
      <c r="A31" s="1" t="s">
        <v>6</v>
      </c>
      <c r="B31" s="1" t="s">
        <v>7</v>
      </c>
      <c r="C31" s="1" t="s">
        <v>8</v>
      </c>
      <c r="D31" s="1" t="s">
        <v>9</v>
      </c>
      <c r="E31" s="1" t="s">
        <v>9</v>
      </c>
    </row>
    <row r="32" spans="1:5" ht="12.75">
      <c r="A32" s="10">
        <f>B32*C32</f>
        <v>390225000</v>
      </c>
      <c r="B32" s="2">
        <v>47300</v>
      </c>
      <c r="C32" s="2">
        <v>8250</v>
      </c>
      <c r="D32" s="2">
        <v>953</v>
      </c>
      <c r="E32" s="2">
        <v>1050</v>
      </c>
    </row>
    <row r="33" ht="12.75">
      <c r="A33" s="11"/>
    </row>
    <row r="34" ht="12.75">
      <c r="A34" s="19" t="s">
        <v>120</v>
      </c>
    </row>
    <row r="35" ht="12.75">
      <c r="A35" s="11"/>
    </row>
    <row r="36" spans="1:6" ht="12.75">
      <c r="A36" s="19" t="s">
        <v>121</v>
      </c>
      <c r="E36" s="9">
        <f>ROUND(A32/(D32*1000000),3)</f>
        <v>0.409</v>
      </c>
      <c r="F36" s="9" t="s">
        <v>123</v>
      </c>
    </row>
    <row r="37" spans="1:5" ht="12.75">
      <c r="A37" s="19"/>
      <c r="E37" s="9"/>
    </row>
    <row r="38" spans="1:5" ht="12.75">
      <c r="A38" s="19" t="s">
        <v>27</v>
      </c>
      <c r="E38" s="9"/>
    </row>
    <row r="39" spans="1:5" ht="12.75">
      <c r="A39" s="20" t="s">
        <v>28</v>
      </c>
      <c r="E39" s="9"/>
    </row>
    <row r="40" spans="1:5" ht="12.75">
      <c r="A40" s="20"/>
      <c r="E40" s="9"/>
    </row>
    <row r="41" spans="1:5" ht="12.75">
      <c r="A41" s="19" t="s">
        <v>29</v>
      </c>
      <c r="D41" s="9">
        <f>ROUND(E36*8760,1)</f>
        <v>3582.8</v>
      </c>
      <c r="E41" s="9" t="s">
        <v>122</v>
      </c>
    </row>
    <row r="43" spans="1:5" ht="15">
      <c r="A43" s="9" t="s">
        <v>22</v>
      </c>
      <c r="B43" s="9"/>
      <c r="C43" s="9"/>
      <c r="D43" s="9"/>
      <c r="E43" s="9"/>
    </row>
    <row r="45" spans="1:5" ht="15">
      <c r="A45" s="122" t="s">
        <v>149</v>
      </c>
      <c r="B45" s="14"/>
      <c r="C45" s="12"/>
      <c r="E45" s="13"/>
    </row>
    <row r="46" spans="1:8" ht="12.75">
      <c r="A46" s="121"/>
      <c r="B46" s="14"/>
      <c r="C46" s="218" t="s">
        <v>159</v>
      </c>
      <c r="D46" s="218"/>
      <c r="E46" s="13"/>
      <c r="F46" s="13"/>
      <c r="G46" s="13"/>
      <c r="H46" s="13"/>
    </row>
    <row r="47" spans="1:8" ht="12.75">
      <c r="A47" s="121"/>
      <c r="C47" s="13"/>
      <c r="D47" s="13"/>
      <c r="E47" s="13"/>
      <c r="F47" s="13"/>
      <c r="G47" s="13"/>
      <c r="H47" s="13"/>
    </row>
    <row r="48" spans="1:8" ht="12.75">
      <c r="A48" s="121"/>
      <c r="B48" s="9"/>
      <c r="C48" s="9"/>
      <c r="D48" s="9"/>
      <c r="E48" s="9"/>
      <c r="F48" s="13"/>
      <c r="G48" s="13"/>
      <c r="H48" s="13"/>
    </row>
    <row r="49" spans="1:7" ht="16.5">
      <c r="A49" s="122" t="s">
        <v>176</v>
      </c>
      <c r="B49" s="9"/>
      <c r="C49" s="9"/>
      <c r="D49" s="9"/>
      <c r="E49" s="9"/>
      <c r="F49" s="1"/>
      <c r="G49" s="1"/>
    </row>
    <row r="50" spans="1:7" ht="12.75">
      <c r="A50" s="121"/>
      <c r="B50" s="9"/>
      <c r="C50" s="9"/>
      <c r="D50" s="9"/>
      <c r="E50" s="9"/>
      <c r="F50" s="1"/>
      <c r="G50" s="1"/>
    </row>
    <row r="51" spans="1:7" ht="12.75">
      <c r="A51" s="121"/>
      <c r="B51" s="9"/>
      <c r="C51" s="9"/>
      <c r="D51" s="9"/>
      <c r="E51" s="9"/>
      <c r="F51" s="1"/>
      <c r="G51" s="1"/>
    </row>
    <row r="52" spans="1:7" ht="12.75">
      <c r="A52" s="121"/>
      <c r="B52" s="9"/>
      <c r="C52" s="9"/>
      <c r="D52" s="9"/>
      <c r="E52" s="9"/>
      <c r="F52" s="1"/>
      <c r="G52" s="1"/>
    </row>
    <row r="53" spans="1:7" ht="12.75">
      <c r="A53" s="121"/>
      <c r="B53" s="9"/>
      <c r="C53" s="9"/>
      <c r="D53" s="9"/>
      <c r="E53" s="9"/>
      <c r="F53" s="1"/>
      <c r="G53" s="1"/>
    </row>
    <row r="54" spans="1:7" ht="12.75">
      <c r="A54" s="121"/>
      <c r="B54" s="9"/>
      <c r="C54" s="9"/>
      <c r="D54" s="9"/>
      <c r="E54" s="9"/>
      <c r="F54" s="1"/>
      <c r="G54" s="1"/>
    </row>
    <row r="55" spans="1:7" ht="12.75">
      <c r="A55" s="121"/>
      <c r="B55" s="9"/>
      <c r="C55" s="9"/>
      <c r="D55" s="9"/>
      <c r="E55" s="9"/>
      <c r="F55" s="1"/>
      <c r="G55" s="1"/>
    </row>
    <row r="56" spans="1:7" ht="12.75">
      <c r="A56" s="121"/>
      <c r="B56" s="9"/>
      <c r="C56" s="9"/>
      <c r="D56" s="9"/>
      <c r="E56" s="9"/>
      <c r="F56" s="1"/>
      <c r="G56" s="1"/>
    </row>
    <row r="57" spans="1:7" ht="12.75">
      <c r="A57" s="123"/>
      <c r="C57" s="9"/>
      <c r="D57" s="9"/>
      <c r="E57" s="9"/>
      <c r="F57" s="120"/>
      <c r="G57" s="124"/>
    </row>
    <row r="58" spans="1:7" ht="12.75">
      <c r="A58" s="123"/>
      <c r="C58" s="9"/>
      <c r="D58" s="9"/>
      <c r="E58" s="9"/>
      <c r="F58" s="120"/>
      <c r="G58" s="124"/>
    </row>
    <row r="59" spans="1:11" ht="12.75">
      <c r="A59" s="9"/>
      <c r="C59" s="9"/>
      <c r="D59" s="9"/>
      <c r="E59" s="9"/>
      <c r="F59" s="9"/>
      <c r="G59" s="9"/>
      <c r="J59" s="6"/>
      <c r="K59" s="14"/>
    </row>
    <row r="60" spans="1:11" ht="12.75">
      <c r="A60" s="1" t="s">
        <v>10</v>
      </c>
      <c r="B60" s="121" t="s">
        <v>129</v>
      </c>
      <c r="C60" s="121" t="s">
        <v>131</v>
      </c>
      <c r="D60" s="1" t="s">
        <v>126</v>
      </c>
      <c r="E60" s="1" t="s">
        <v>132</v>
      </c>
      <c r="F60" s="1" t="s">
        <v>128</v>
      </c>
      <c r="G60" s="1" t="s">
        <v>11</v>
      </c>
      <c r="J60" s="6"/>
      <c r="K60" s="6"/>
    </row>
    <row r="61" spans="2:7" ht="12.75">
      <c r="B61" s="121" t="s">
        <v>130</v>
      </c>
      <c r="C61" s="121" t="s">
        <v>127</v>
      </c>
      <c r="D61" s="1" t="s">
        <v>21</v>
      </c>
      <c r="E61" s="1" t="s">
        <v>125</v>
      </c>
      <c r="F61" s="1" t="s">
        <v>133</v>
      </c>
      <c r="G61" s="1" t="s">
        <v>15</v>
      </c>
    </row>
    <row r="63" spans="1:7" ht="15">
      <c r="A63" s="13" t="s">
        <v>18</v>
      </c>
      <c r="B63" s="2">
        <v>15</v>
      </c>
      <c r="C63" s="121">
        <f>8710*20.9/(20.9-B63)</f>
        <v>30854.067796610176</v>
      </c>
      <c r="D63" s="2">
        <v>5</v>
      </c>
      <c r="E63" s="125">
        <v>46</v>
      </c>
      <c r="F63" s="124">
        <f>ROUND($E$36,3)</f>
        <v>0.409</v>
      </c>
      <c r="G63" s="1">
        <f>ROUND(C63*D63*E63/(1000000*379),4)</f>
        <v>0.0187</v>
      </c>
    </row>
    <row r="64" spans="1:7" ht="12.75">
      <c r="A64" t="s">
        <v>12</v>
      </c>
      <c r="B64" s="2">
        <v>15</v>
      </c>
      <c r="C64" s="121">
        <f>8710*20.9/(20.9-B64)</f>
        <v>30854.067796610176</v>
      </c>
      <c r="D64" s="2">
        <v>6</v>
      </c>
      <c r="E64" s="125">
        <v>28</v>
      </c>
      <c r="F64" s="124">
        <f>ROUND($E$36,3)</f>
        <v>0.409</v>
      </c>
      <c r="G64" s="1">
        <f>ROUND(C64*D64*E64/(1000000*379),4)</f>
        <v>0.0137</v>
      </c>
    </row>
    <row r="65" spans="1:7" ht="15">
      <c r="A65" t="s">
        <v>17</v>
      </c>
      <c r="B65" s="2">
        <v>15</v>
      </c>
      <c r="C65" s="121">
        <f>8710*20.9/(20.9-B65)</f>
        <v>30854.067796610176</v>
      </c>
      <c r="D65" s="2">
        <v>2</v>
      </c>
      <c r="E65" s="125">
        <v>16</v>
      </c>
      <c r="F65" s="124">
        <f>ROUND($E$36,3)</f>
        <v>0.409</v>
      </c>
      <c r="G65" s="1">
        <f>ROUND(C65*D65*E65/(1000000*379),4)</f>
        <v>0.0026</v>
      </c>
    </row>
    <row r="66" spans="1:7" ht="15">
      <c r="A66" t="s">
        <v>16</v>
      </c>
      <c r="B66" s="2">
        <v>15</v>
      </c>
      <c r="C66" s="121">
        <f>8710*20.9/(20.9-B66)</f>
        <v>30854.067796610176</v>
      </c>
      <c r="D66" s="2">
        <v>5</v>
      </c>
      <c r="E66" s="125">
        <v>17</v>
      </c>
      <c r="F66" s="124">
        <f>ROUND($E$36,3)</f>
        <v>0.409</v>
      </c>
      <c r="G66" s="1">
        <f>ROUND(C66*D66*E66/(1000000*379),4)</f>
        <v>0.0069</v>
      </c>
    </row>
    <row r="70" ht="12.75">
      <c r="A70" s="9" t="s">
        <v>35</v>
      </c>
    </row>
    <row r="71" spans="1:5" ht="12.75">
      <c r="A71" s="16"/>
      <c r="B71" s="16"/>
      <c r="C71" s="16"/>
      <c r="D71" s="16"/>
      <c r="E71" s="16"/>
    </row>
    <row r="72" spans="2:6" ht="12.75">
      <c r="B72" s="1" t="s">
        <v>10</v>
      </c>
      <c r="C72" s="1" t="s">
        <v>11</v>
      </c>
      <c r="D72" s="1" t="s">
        <v>5</v>
      </c>
      <c r="E72" s="1" t="s">
        <v>13</v>
      </c>
      <c r="F72" s="1"/>
    </row>
    <row r="73" spans="2:6" ht="12.75">
      <c r="B73" s="1"/>
      <c r="C73" s="1" t="s">
        <v>15</v>
      </c>
      <c r="D73" s="1" t="s">
        <v>9</v>
      </c>
      <c r="E73" s="1" t="s">
        <v>14</v>
      </c>
      <c r="F73" s="1"/>
    </row>
    <row r="75" spans="2:6" ht="15">
      <c r="B75" s="13" t="s">
        <v>18</v>
      </c>
      <c r="C75" s="15">
        <f>G63</f>
        <v>0.0187</v>
      </c>
      <c r="D75" s="2">
        <v>1050</v>
      </c>
      <c r="E75" s="17">
        <f>ROUND(D75*C75,2)</f>
        <v>19.64</v>
      </c>
      <c r="F75" s="17"/>
    </row>
    <row r="76" spans="2:6" ht="12.75">
      <c r="B76" s="13" t="s">
        <v>12</v>
      </c>
      <c r="C76" s="15">
        <f>G64</f>
        <v>0.0137</v>
      </c>
      <c r="D76" s="2">
        <v>1050</v>
      </c>
      <c r="E76" s="17">
        <f>ROUND(D76*C76,2)</f>
        <v>14.39</v>
      </c>
      <c r="F76" s="17"/>
    </row>
    <row r="77" spans="2:6" ht="15">
      <c r="B77" s="13" t="s">
        <v>23</v>
      </c>
      <c r="C77" s="15">
        <f>G65</f>
        <v>0.0026</v>
      </c>
      <c r="D77" s="2">
        <v>1050</v>
      </c>
      <c r="E77" s="17">
        <f>ROUND(D77*C77,2)</f>
        <v>2.73</v>
      </c>
      <c r="F77" s="17"/>
    </row>
    <row r="78" spans="2:6" ht="15">
      <c r="B78" s="13" t="s">
        <v>16</v>
      </c>
      <c r="C78" s="15">
        <f>G66</f>
        <v>0.0069</v>
      </c>
      <c r="D78" s="2">
        <v>1050</v>
      </c>
      <c r="E78" s="17">
        <f>ROUND(D78*C78,2)</f>
        <v>7.25</v>
      </c>
      <c r="F78" s="17"/>
    </row>
    <row r="79" spans="2:6" ht="12.75">
      <c r="B79" s="13"/>
      <c r="C79" s="15"/>
      <c r="D79" s="2"/>
      <c r="E79" s="17"/>
      <c r="F79" s="17"/>
    </row>
    <row r="80" spans="2:6" ht="12.75">
      <c r="B80" s="13"/>
      <c r="C80" s="15"/>
      <c r="D80" s="2"/>
      <c r="E80" s="17"/>
      <c r="F80" s="17"/>
    </row>
    <row r="81" spans="1:6" ht="15">
      <c r="A81" s="9" t="s">
        <v>36</v>
      </c>
      <c r="B81" s="9"/>
      <c r="C81" s="18"/>
      <c r="D81" s="1"/>
      <c r="E81" s="17"/>
      <c r="F81" s="17"/>
    </row>
    <row r="82" spans="1:6" ht="12.75">
      <c r="A82" s="9"/>
      <c r="B82" s="9"/>
      <c r="C82" s="18"/>
      <c r="D82" s="1"/>
      <c r="E82" s="17"/>
      <c r="F82" s="17"/>
    </row>
    <row r="83" spans="1:6" ht="12.75">
      <c r="A83" s="9"/>
      <c r="B83" s="9" t="s">
        <v>10</v>
      </c>
      <c r="C83" s="18" t="s">
        <v>24</v>
      </c>
      <c r="D83" s="1" t="s">
        <v>5</v>
      </c>
      <c r="E83" s="18" t="s">
        <v>24</v>
      </c>
      <c r="F83" s="17" t="s">
        <v>30</v>
      </c>
    </row>
    <row r="84" spans="1:6" ht="12.75">
      <c r="A84" s="9"/>
      <c r="B84" s="9"/>
      <c r="C84" s="18" t="s">
        <v>3</v>
      </c>
      <c r="D84" s="1" t="s">
        <v>9</v>
      </c>
      <c r="E84" s="18" t="s">
        <v>3</v>
      </c>
      <c r="F84" s="17"/>
    </row>
    <row r="85" spans="2:6" ht="12.75">
      <c r="B85" s="13"/>
      <c r="C85" s="18" t="s">
        <v>15</v>
      </c>
      <c r="D85" s="2"/>
      <c r="E85" s="18" t="s">
        <v>14</v>
      </c>
      <c r="F85" s="17" t="s">
        <v>31</v>
      </c>
    </row>
    <row r="86" spans="2:6" ht="12.75">
      <c r="B86" s="13"/>
      <c r="C86" s="18"/>
      <c r="D86" s="2"/>
      <c r="E86" s="17"/>
      <c r="F86" s="17"/>
    </row>
    <row r="87" spans="2:6" ht="15">
      <c r="B87" s="13" t="s">
        <v>114</v>
      </c>
      <c r="C87" s="2">
        <v>0.0066</v>
      </c>
      <c r="D87" s="2">
        <v>1050</v>
      </c>
      <c r="E87" s="17">
        <f>ROUND(D87*C87,2)</f>
        <v>6.93</v>
      </c>
      <c r="F87" s="117" t="s">
        <v>32</v>
      </c>
    </row>
    <row r="88" spans="2:6" ht="16.5">
      <c r="B88" s="13" t="s">
        <v>115</v>
      </c>
      <c r="C88" s="2" t="s">
        <v>37</v>
      </c>
      <c r="D88" s="2">
        <v>1050</v>
      </c>
      <c r="E88" s="17">
        <f>ROUND(D88*0.94*F88,2)</f>
        <v>1.48</v>
      </c>
      <c r="F88" s="118">
        <f>+F96</f>
        <v>0.0015</v>
      </c>
    </row>
    <row r="91" ht="12.75">
      <c r="A91" s="9" t="s">
        <v>116</v>
      </c>
    </row>
    <row r="93" ht="15">
      <c r="B93" s="9" t="s">
        <v>117</v>
      </c>
    </row>
    <row r="95" spans="2:6" ht="28.5">
      <c r="B95" s="114"/>
      <c r="C95" s="114" t="s">
        <v>173</v>
      </c>
      <c r="D95" s="115" t="s">
        <v>113</v>
      </c>
      <c r="E95" s="113" t="s">
        <v>162</v>
      </c>
      <c r="F95" s="114" t="s">
        <v>112</v>
      </c>
    </row>
    <row r="96" spans="2:6" ht="12.75">
      <c r="B96" s="1"/>
      <c r="C96" s="2">
        <v>8</v>
      </c>
      <c r="D96" s="2">
        <v>32</v>
      </c>
      <c r="E96" s="2">
        <f>E22</f>
        <v>17.2</v>
      </c>
      <c r="F96" s="1">
        <f>ROUND((C96*D96*100)/(E96*1000000),4)</f>
        <v>0.0015</v>
      </c>
    </row>
    <row r="97" spans="2:6" ht="12.75">
      <c r="B97" s="1"/>
      <c r="C97" s="2"/>
      <c r="D97" s="2"/>
      <c r="E97" s="2"/>
      <c r="F97" s="1"/>
    </row>
    <row r="98" spans="1:6" ht="15">
      <c r="A98" s="9" t="s">
        <v>258</v>
      </c>
      <c r="B98" s="1"/>
      <c r="C98" s="2"/>
      <c r="D98" s="2"/>
      <c r="E98" s="2"/>
      <c r="F98" s="1"/>
    </row>
    <row r="99" spans="1:6" ht="16.5">
      <c r="A99" s="9" t="s">
        <v>259</v>
      </c>
      <c r="B99" s="1"/>
      <c r="C99" s="2"/>
      <c r="D99" s="2"/>
      <c r="E99" s="2"/>
      <c r="F99" s="1"/>
    </row>
    <row r="100" spans="1:6" ht="14.25" customHeight="1">
      <c r="A100" s="9" t="s">
        <v>260</v>
      </c>
      <c r="B100" s="1"/>
      <c r="C100" s="2"/>
      <c r="D100" s="2"/>
      <c r="E100" s="2"/>
      <c r="F100" s="1"/>
    </row>
    <row r="101" spans="2:6" ht="15">
      <c r="B101" s="1" t="s">
        <v>73</v>
      </c>
      <c r="C101" s="2" t="s">
        <v>250</v>
      </c>
      <c r="D101" s="2" t="s">
        <v>251</v>
      </c>
      <c r="E101" s="2" t="s">
        <v>72</v>
      </c>
      <c r="F101" s="1" t="s">
        <v>72</v>
      </c>
    </row>
    <row r="102" spans="2:6" ht="12.75">
      <c r="B102" s="1" t="s">
        <v>252</v>
      </c>
      <c r="C102" s="2" t="s">
        <v>253</v>
      </c>
      <c r="D102" s="2" t="s">
        <v>253</v>
      </c>
      <c r="E102" s="2" t="s">
        <v>15</v>
      </c>
      <c r="F102" s="1" t="s">
        <v>254</v>
      </c>
    </row>
    <row r="103" spans="2:6" ht="12.75">
      <c r="B103" s="1">
        <f>ROUND(E88/1050,4)</f>
        <v>0.0014</v>
      </c>
      <c r="C103" s="203">
        <f>B103/64</f>
        <v>2.1875E-05</v>
      </c>
      <c r="D103" s="203">
        <f>0.05*C103</f>
        <v>1.0937500000000001E-06</v>
      </c>
      <c r="E103" s="203">
        <f>D103*132.2</f>
        <v>0.00014459375</v>
      </c>
      <c r="F103" s="204">
        <f>ROUND(E103*D88,3)</f>
        <v>0.152</v>
      </c>
    </row>
    <row r="106" ht="12.75">
      <c r="A106" t="s">
        <v>179</v>
      </c>
    </row>
    <row r="107" ht="12.75">
      <c r="A107" t="s">
        <v>180</v>
      </c>
    </row>
    <row r="108" ht="12.75">
      <c r="A108" t="s">
        <v>178</v>
      </c>
    </row>
    <row r="109" ht="12.75">
      <c r="A109" t="s">
        <v>196</v>
      </c>
    </row>
    <row r="110" ht="12.75">
      <c r="A110" t="s">
        <v>160</v>
      </c>
    </row>
    <row r="111" spans="1:6" ht="12.75">
      <c r="A111" t="s">
        <v>33</v>
      </c>
      <c r="F111" s="16"/>
    </row>
    <row r="112" spans="1:7" ht="12.75">
      <c r="A112" t="s">
        <v>34</v>
      </c>
      <c r="F112" s="1"/>
      <c r="G112" s="1"/>
    </row>
    <row r="113" ht="12.75">
      <c r="A113" t="s">
        <v>177</v>
      </c>
    </row>
    <row r="114" ht="12.75">
      <c r="A114" t="s">
        <v>181</v>
      </c>
    </row>
    <row r="115" ht="12.75">
      <c r="A115" t="s">
        <v>257</v>
      </c>
    </row>
    <row r="116" ht="12.75">
      <c r="A116" s="9"/>
    </row>
    <row r="117" spans="6:7" ht="12.75">
      <c r="F117" s="1"/>
      <c r="G117" s="1"/>
    </row>
    <row r="118" spans="2:7" ht="12.75">
      <c r="B118" s="1"/>
      <c r="C118" s="1"/>
      <c r="D118" s="1"/>
      <c r="E118" s="1"/>
      <c r="F118" s="2"/>
      <c r="G118" s="2"/>
    </row>
    <row r="119" spans="2:7" ht="12.75">
      <c r="B119" s="1"/>
      <c r="C119" s="1"/>
      <c r="D119" s="1"/>
      <c r="E119" s="1"/>
      <c r="F119" s="2"/>
      <c r="G119" s="2"/>
    </row>
    <row r="120" spans="6:7" ht="12.75">
      <c r="F120" s="2"/>
      <c r="G120" s="2"/>
    </row>
    <row r="121" spans="2:5" ht="12.75">
      <c r="B121" s="9"/>
      <c r="C121" s="17"/>
      <c r="D121" s="15"/>
      <c r="E121" s="2"/>
    </row>
    <row r="122" spans="2:5" ht="12.75">
      <c r="B122" s="9"/>
      <c r="C122" s="17"/>
      <c r="D122" s="15"/>
      <c r="E122" s="2"/>
    </row>
    <row r="123" spans="2:5" ht="12.75">
      <c r="B123" s="9"/>
      <c r="C123" s="17"/>
      <c r="D123" s="15"/>
      <c r="E123" s="2"/>
    </row>
    <row r="124" spans="2:5" ht="12.75">
      <c r="B124" s="9"/>
      <c r="C124" s="17"/>
      <c r="D124" s="15"/>
      <c r="E124" s="2"/>
    </row>
    <row r="125" spans="2:5" ht="12.75">
      <c r="B125" s="9"/>
      <c r="C125" s="17"/>
      <c r="D125" s="2"/>
      <c r="E125" s="2"/>
    </row>
    <row r="126" spans="2:5" ht="12.75">
      <c r="B126" s="9"/>
      <c r="C126" s="17"/>
      <c r="D126" s="2"/>
      <c r="E126" s="2"/>
    </row>
  </sheetData>
  <sheetProtection/>
  <mergeCells count="5">
    <mergeCell ref="A1:G1"/>
    <mergeCell ref="A26:E26"/>
    <mergeCell ref="C46:D46"/>
    <mergeCell ref="A2:G2"/>
    <mergeCell ref="A3:G3"/>
  </mergeCells>
  <printOptions horizontalCentered="1"/>
  <pageMargins left="0.75" right="0.75" top="0.69" bottom="0.65" header="0.5" footer="0.29"/>
  <pageSetup fitToHeight="2" fitToWidth="1" horizontalDpi="600" verticalDpi="600" orientation="portrait" scale="86" r:id="rId2"/>
  <headerFooter alignWithMargins="0">
    <oddFooter>&amp;L&amp;6K:\REPORTS\R1350\harbor\&amp;F\&amp;A&amp;C&amp;P of &amp;N&amp;R&amp;6&amp;D</oddFooter>
  </headerFooter>
  <rowBreaks count="1" manualBreakCount="1">
    <brk id="6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1.28125" style="0" customWidth="1"/>
    <col min="2" max="2" width="15.140625" style="0" customWidth="1"/>
    <col min="3" max="3" width="11.57421875" style="0" customWidth="1"/>
    <col min="4" max="4" width="11.28125" style="0" customWidth="1"/>
    <col min="5" max="6" width="10.140625" style="0" bestFit="1" customWidth="1"/>
    <col min="7" max="7" width="10.57421875" style="0" bestFit="1" customWidth="1"/>
    <col min="8" max="8" width="9.140625" style="191" customWidth="1"/>
  </cols>
  <sheetData>
    <row r="1" spans="1:8" ht="17.25">
      <c r="A1" s="214" t="s">
        <v>199</v>
      </c>
      <c r="B1" s="215"/>
      <c r="C1" s="215"/>
      <c r="D1" s="215"/>
      <c r="E1" s="215"/>
      <c r="F1" s="215"/>
      <c r="G1" s="215"/>
      <c r="H1" s="216"/>
    </row>
    <row r="2" spans="1:8" ht="17.25">
      <c r="A2" s="219" t="s">
        <v>200</v>
      </c>
      <c r="B2" s="220"/>
      <c r="C2" s="220"/>
      <c r="D2" s="220"/>
      <c r="E2" s="220"/>
      <c r="F2" s="220"/>
      <c r="G2" s="220"/>
      <c r="H2" s="221"/>
    </row>
    <row r="3" spans="1:8" ht="17.25">
      <c r="A3" s="219" t="s">
        <v>20</v>
      </c>
      <c r="B3" s="220"/>
      <c r="C3" s="220"/>
      <c r="D3" s="220"/>
      <c r="E3" s="220"/>
      <c r="F3" s="220"/>
      <c r="G3" s="220"/>
      <c r="H3" s="221"/>
    </row>
    <row r="4" spans="1:8" ht="13.5" thickBot="1">
      <c r="A4" s="185"/>
      <c r="B4" s="186"/>
      <c r="C4" s="186"/>
      <c r="D4" s="186"/>
      <c r="E4" s="186"/>
      <c r="F4" s="186"/>
      <c r="G4" s="186"/>
      <c r="H4" s="173"/>
    </row>
    <row r="5" spans="1:8" ht="12.75">
      <c r="A5" s="3"/>
      <c r="B5" s="4"/>
      <c r="C5" s="4"/>
      <c r="D5" s="4"/>
      <c r="E5" s="4"/>
      <c r="F5" s="4"/>
      <c r="G5" s="4"/>
      <c r="H5" s="187"/>
    </row>
    <row r="6" spans="1:8" ht="15">
      <c r="A6" s="5" t="s">
        <v>201</v>
      </c>
      <c r="B6" s="6"/>
      <c r="C6" s="6"/>
      <c r="D6" s="6"/>
      <c r="E6" s="6"/>
      <c r="F6" s="6"/>
      <c r="G6" s="6"/>
      <c r="H6" s="188"/>
    </row>
    <row r="7" spans="1:8" ht="15">
      <c r="A7" s="5" t="s">
        <v>202</v>
      </c>
      <c r="B7" s="6"/>
      <c r="C7" s="6"/>
      <c r="D7" s="6"/>
      <c r="E7" s="6"/>
      <c r="F7" s="6"/>
      <c r="G7" s="6"/>
      <c r="H7" s="188"/>
    </row>
    <row r="8" spans="1:8" ht="15">
      <c r="A8" s="5" t="s">
        <v>203</v>
      </c>
      <c r="B8" s="6"/>
      <c r="C8" s="6"/>
      <c r="D8" s="6"/>
      <c r="E8" s="6"/>
      <c r="F8" s="6"/>
      <c r="G8" s="6"/>
      <c r="H8" s="188"/>
    </row>
    <row r="9" spans="1:8" ht="15">
      <c r="A9" s="5" t="s">
        <v>242</v>
      </c>
      <c r="B9" s="6"/>
      <c r="C9" s="6"/>
      <c r="D9" s="6"/>
      <c r="E9" s="6"/>
      <c r="F9" s="6"/>
      <c r="G9" s="6"/>
      <c r="H9" s="188"/>
    </row>
    <row r="10" spans="1:8" ht="12.75">
      <c r="A10" s="5" t="s">
        <v>204</v>
      </c>
      <c r="B10" s="6"/>
      <c r="C10" s="6"/>
      <c r="D10" s="6"/>
      <c r="E10" s="6"/>
      <c r="F10" s="6"/>
      <c r="G10" s="6"/>
      <c r="H10" s="188"/>
    </row>
    <row r="11" spans="1:8" ht="15">
      <c r="A11" s="5" t="s">
        <v>205</v>
      </c>
      <c r="B11" s="6"/>
      <c r="C11" s="6"/>
      <c r="D11" s="6"/>
      <c r="E11" s="6"/>
      <c r="F11" s="6"/>
      <c r="G11" s="6"/>
      <c r="H11" s="188"/>
    </row>
    <row r="12" spans="1:8" ht="12.75">
      <c r="A12" s="5" t="s">
        <v>206</v>
      </c>
      <c r="B12" s="6"/>
      <c r="C12" s="6"/>
      <c r="D12" s="6"/>
      <c r="E12" s="6"/>
      <c r="F12" s="6"/>
      <c r="G12" s="6"/>
      <c r="H12" s="188"/>
    </row>
    <row r="13" spans="1:8" ht="13.5" thickBot="1">
      <c r="A13" s="7" t="s">
        <v>207</v>
      </c>
      <c r="B13" s="8"/>
      <c r="C13" s="8"/>
      <c r="D13" s="8"/>
      <c r="E13" s="8"/>
      <c r="F13" s="8"/>
      <c r="G13" s="8"/>
      <c r="H13" s="189"/>
    </row>
    <row r="14" spans="4:8" ht="12.75">
      <c r="D14" s="6"/>
      <c r="E14" s="6"/>
      <c r="F14" s="6"/>
      <c r="G14" s="6"/>
      <c r="H14" s="190"/>
    </row>
    <row r="15" spans="1:5" ht="12.75">
      <c r="A15" s="217" t="s">
        <v>208</v>
      </c>
      <c r="B15" s="217"/>
      <c r="C15" s="217"/>
      <c r="D15" s="217"/>
      <c r="E15" s="217"/>
    </row>
    <row r="16" spans="4:5" ht="12.75">
      <c r="D16" s="1"/>
      <c r="E16" s="1"/>
    </row>
    <row r="17" spans="1:8" s="13" customFormat="1" ht="13.5" thickBot="1">
      <c r="A17" s="9" t="s">
        <v>209</v>
      </c>
      <c r="B17" s="9"/>
      <c r="C17" s="192" t="s">
        <v>210</v>
      </c>
      <c r="D17" s="192"/>
      <c r="E17" s="192"/>
      <c r="F17" s="192"/>
      <c r="G17" s="9"/>
      <c r="H17" s="184"/>
    </row>
    <row r="18" spans="4:8" s="13" customFormat="1" ht="12.75">
      <c r="D18" s="9" t="s">
        <v>211</v>
      </c>
      <c r="H18" s="184"/>
    </row>
    <row r="19" s="13" customFormat="1" ht="12.75">
      <c r="H19" s="184"/>
    </row>
    <row r="20" spans="1:8" s="13" customFormat="1" ht="15.75" thickBot="1">
      <c r="A20" s="9" t="s">
        <v>212</v>
      </c>
      <c r="B20" s="9"/>
      <c r="C20" s="9" t="s">
        <v>213</v>
      </c>
      <c r="D20" s="9"/>
      <c r="E20" s="192" t="s">
        <v>243</v>
      </c>
      <c r="F20" s="192"/>
      <c r="G20" s="9"/>
      <c r="H20" s="193"/>
    </row>
    <row r="21" spans="5:8" s="13" customFormat="1" ht="15">
      <c r="E21" s="9" t="s">
        <v>244</v>
      </c>
      <c r="H21" s="184"/>
    </row>
    <row r="22" s="13" customFormat="1" ht="12.75">
      <c r="H22" s="184"/>
    </row>
    <row r="23" spans="1:8" s="13" customFormat="1" ht="12.75">
      <c r="A23" s="222" t="s">
        <v>214</v>
      </c>
      <c r="B23" s="222"/>
      <c r="C23" s="195">
        <v>1054800</v>
      </c>
      <c r="D23" s="13" t="s">
        <v>215</v>
      </c>
      <c r="E23" s="222" t="s">
        <v>216</v>
      </c>
      <c r="F23" s="222"/>
      <c r="G23" s="20">
        <v>854950</v>
      </c>
      <c r="H23" s="184" t="s">
        <v>215</v>
      </c>
    </row>
    <row r="24" spans="1:8" s="13" customFormat="1" ht="12.75">
      <c r="A24" s="194"/>
      <c r="B24" s="194"/>
      <c r="C24" s="194"/>
      <c r="E24" s="194"/>
      <c r="F24" s="194"/>
      <c r="G24" s="20"/>
      <c r="H24" s="184"/>
    </row>
    <row r="25" spans="1:8" s="13" customFormat="1" ht="15">
      <c r="A25" s="222" t="s">
        <v>217</v>
      </c>
      <c r="B25" s="222"/>
      <c r="C25" s="195">
        <f>ROUND((C23+G23)/2,0)</f>
        <v>954875</v>
      </c>
      <c r="D25" s="13" t="s">
        <v>215</v>
      </c>
      <c r="E25" s="223" t="s">
        <v>218</v>
      </c>
      <c r="F25" s="223"/>
      <c r="G25" s="20">
        <v>841</v>
      </c>
      <c r="H25" s="196" t="s">
        <v>245</v>
      </c>
    </row>
    <row r="26" s="13" customFormat="1" ht="12.75">
      <c r="H26" s="184"/>
    </row>
    <row r="27" spans="1:8" s="13" customFormat="1" ht="26.25">
      <c r="A27" s="197" t="s">
        <v>219</v>
      </c>
      <c r="B27" s="198" t="s">
        <v>220</v>
      </c>
      <c r="C27" s="198" t="s">
        <v>221</v>
      </c>
      <c r="D27" s="198" t="s">
        <v>222</v>
      </c>
      <c r="E27" s="198" t="s">
        <v>223</v>
      </c>
      <c r="F27" s="198" t="s">
        <v>223</v>
      </c>
      <c r="G27" s="198" t="s">
        <v>223</v>
      </c>
      <c r="H27" s="198" t="s">
        <v>223</v>
      </c>
    </row>
    <row r="28" spans="2:8" s="13" customFormat="1" ht="15">
      <c r="B28" s="120" t="s">
        <v>63</v>
      </c>
      <c r="C28" s="120" t="s">
        <v>125</v>
      </c>
      <c r="D28" s="120" t="s">
        <v>246</v>
      </c>
      <c r="E28" s="120" t="s">
        <v>224</v>
      </c>
      <c r="F28" s="120" t="s">
        <v>225</v>
      </c>
      <c r="G28" s="120" t="s">
        <v>226</v>
      </c>
      <c r="H28" s="120" t="s">
        <v>227</v>
      </c>
    </row>
    <row r="29" spans="1:8" s="13" customFormat="1" ht="12.75">
      <c r="A29" s="120"/>
      <c r="B29" s="120"/>
      <c r="C29" s="120"/>
      <c r="D29" s="120"/>
      <c r="E29" s="120"/>
      <c r="H29" s="184"/>
    </row>
    <row r="30" spans="1:8" s="13" customFormat="1" ht="12.75">
      <c r="A30" s="120" t="s">
        <v>228</v>
      </c>
      <c r="B30" s="199">
        <f>C25</f>
        <v>954875</v>
      </c>
      <c r="C30" s="120">
        <v>28</v>
      </c>
      <c r="D30" s="199">
        <f>G25</f>
        <v>841</v>
      </c>
      <c r="E30" s="199">
        <f>ROUND(B30*379/C30,0)</f>
        <v>12924915</v>
      </c>
      <c r="F30" s="199">
        <f>ROUND(E30*((D30+460)/520),2)</f>
        <v>32337143.11</v>
      </c>
      <c r="G30" s="199">
        <f>ROUND(E30/60,0)</f>
        <v>215415</v>
      </c>
      <c r="H30" s="199">
        <f>ROUND(F30/60,0)</f>
        <v>538952</v>
      </c>
    </row>
    <row r="31" spans="1:8" s="13" customFormat="1" ht="12.75">
      <c r="A31" s="120"/>
      <c r="B31" s="199"/>
      <c r="C31" s="120"/>
      <c r="D31" s="199"/>
      <c r="E31" s="199"/>
      <c r="F31" s="199"/>
      <c r="G31" s="199"/>
      <c r="H31" s="199"/>
    </row>
    <row r="32" spans="1:8" s="13" customFormat="1" ht="39">
      <c r="A32" s="120" t="s">
        <v>229</v>
      </c>
      <c r="B32" s="198" t="s">
        <v>230</v>
      </c>
      <c r="C32" s="198" t="s">
        <v>231</v>
      </c>
      <c r="D32" s="115" t="s">
        <v>231</v>
      </c>
      <c r="E32" s="115" t="s">
        <v>232</v>
      </c>
      <c r="F32" s="198" t="s">
        <v>233</v>
      </c>
      <c r="G32" s="115" t="s">
        <v>234</v>
      </c>
      <c r="H32" s="199"/>
    </row>
    <row r="33" spans="1:8" s="13" customFormat="1" ht="12.75">
      <c r="A33" s="120"/>
      <c r="B33" s="199" t="s">
        <v>235</v>
      </c>
      <c r="C33" s="120" t="s">
        <v>236</v>
      </c>
      <c r="D33" s="121" t="s">
        <v>237</v>
      </c>
      <c r="E33" s="121" t="s">
        <v>238</v>
      </c>
      <c r="F33" s="199" t="s">
        <v>235</v>
      </c>
      <c r="G33" s="121" t="s">
        <v>238</v>
      </c>
      <c r="H33" s="199"/>
    </row>
    <row r="34" spans="1:8" s="13" customFormat="1" ht="12.75">
      <c r="A34" s="120"/>
      <c r="B34" s="199"/>
      <c r="C34" s="120"/>
      <c r="D34" s="121"/>
      <c r="E34" s="121"/>
      <c r="F34" s="199"/>
      <c r="G34" s="121"/>
      <c r="H34" s="199"/>
    </row>
    <row r="35" spans="1:8" s="13" customFormat="1" ht="12.75">
      <c r="A35" s="120" t="s">
        <v>239</v>
      </c>
      <c r="B35" s="199">
        <v>10</v>
      </c>
      <c r="C35" s="120">
        <f>ROUND(H30/(PI()*(B35^2/4)*60),2)</f>
        <v>114.37</v>
      </c>
      <c r="D35" s="200">
        <f>ROUND(C35*0.3048,2)</f>
        <v>34.86</v>
      </c>
      <c r="E35" s="200">
        <f>ROUND(B35*0.3048,2)</f>
        <v>3.05</v>
      </c>
      <c r="F35" s="199">
        <v>110</v>
      </c>
      <c r="G35" s="200">
        <f>ROUND(F35*0.3048,2)</f>
        <v>33.53</v>
      </c>
      <c r="H35" s="199"/>
    </row>
    <row r="36" spans="1:8" s="13" customFormat="1" ht="12.75">
      <c r="A36" s="120"/>
      <c r="B36" s="199"/>
      <c r="C36" s="120"/>
      <c r="D36" s="199"/>
      <c r="E36" s="199"/>
      <c r="F36" s="199"/>
      <c r="G36" s="199"/>
      <c r="H36" s="199"/>
    </row>
    <row r="37" spans="1:8" ht="12" customHeight="1">
      <c r="A37" s="10"/>
      <c r="B37" s="120"/>
      <c r="C37" s="120"/>
      <c r="D37" s="120"/>
      <c r="E37" s="2"/>
      <c r="G37" s="1"/>
      <c r="H37" s="1"/>
    </row>
    <row r="38" spans="1:5" ht="12.75">
      <c r="A38" s="9"/>
      <c r="B38" s="9"/>
      <c r="C38" s="9"/>
      <c r="D38" s="9"/>
      <c r="E38" s="9"/>
    </row>
    <row r="39" ht="12.75">
      <c r="A39" t="s">
        <v>240</v>
      </c>
    </row>
    <row r="40" ht="12.75">
      <c r="A40" t="s">
        <v>241</v>
      </c>
    </row>
    <row r="43" ht="12.75">
      <c r="A43" s="9"/>
    </row>
    <row r="44" spans="6:7" ht="12.75">
      <c r="F44" s="1"/>
      <c r="G44" s="1"/>
    </row>
    <row r="45" spans="2:7" ht="12.75">
      <c r="B45" s="1"/>
      <c r="C45" s="1"/>
      <c r="D45" s="1"/>
      <c r="E45" s="1"/>
      <c r="F45" s="2"/>
      <c r="G45" s="2"/>
    </row>
    <row r="46" spans="2:7" ht="12.75">
      <c r="B46" s="1"/>
      <c r="C46" s="1"/>
      <c r="D46" s="1"/>
      <c r="E46" s="1"/>
      <c r="F46" s="2"/>
      <c r="G46" s="2"/>
    </row>
    <row r="47" spans="6:7" ht="12.75">
      <c r="F47" s="2"/>
      <c r="G47" s="2"/>
    </row>
    <row r="48" spans="2:5" ht="12.75">
      <c r="B48" s="9"/>
      <c r="C48" s="17"/>
      <c r="D48" s="15"/>
      <c r="E48" s="2"/>
    </row>
    <row r="49" spans="2:5" ht="12.75">
      <c r="B49" s="9"/>
      <c r="C49" s="17"/>
      <c r="D49" s="15"/>
      <c r="E49" s="2"/>
    </row>
    <row r="50" spans="2:5" ht="12.75">
      <c r="B50" s="9"/>
      <c r="C50" s="17"/>
      <c r="D50" s="15"/>
      <c r="E50" s="2"/>
    </row>
    <row r="51" spans="2:5" ht="12.75">
      <c r="B51" s="9"/>
      <c r="C51" s="17"/>
      <c r="D51" s="15"/>
      <c r="E51" s="2"/>
    </row>
    <row r="52" spans="2:5" ht="12.75">
      <c r="B52" s="9"/>
      <c r="C52" s="17"/>
      <c r="D52" s="2"/>
      <c r="E52" s="2"/>
    </row>
    <row r="53" spans="2:5" ht="12.75">
      <c r="B53" s="9"/>
      <c r="C53" s="17"/>
      <c r="D53" s="2"/>
      <c r="E53" s="2"/>
    </row>
  </sheetData>
  <sheetProtection/>
  <mergeCells count="8">
    <mergeCell ref="A1:H1"/>
    <mergeCell ref="A3:H3"/>
    <mergeCell ref="A25:B25"/>
    <mergeCell ref="E25:F25"/>
    <mergeCell ref="A2:H2"/>
    <mergeCell ref="A15:E15"/>
    <mergeCell ref="A23:B23"/>
    <mergeCell ref="E23:F23"/>
  </mergeCells>
  <printOptions horizontalCentered="1"/>
  <pageMargins left="0.75" right="0.75" top="0.69" bottom="0.65" header="0.5" footer="0.29"/>
  <pageSetup fitToHeight="1" fitToWidth="1" horizontalDpi="600" verticalDpi="600" orientation="portrait" r:id="rId2"/>
  <headerFooter alignWithMargins="0">
    <oddFooter>&amp;L&amp;6K:\REPORTS\R1350\harbor\&amp;F\&amp;A&amp;C&amp;P of &amp;N&amp;R&amp;6&amp;D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ht="13.5" thickBot="1"/>
    <row r="2" spans="1:5" ht="18" thickTop="1">
      <c r="A2" s="224" t="s">
        <v>186</v>
      </c>
      <c r="B2" s="225"/>
      <c r="C2" s="225"/>
      <c r="D2" s="225"/>
      <c r="E2" s="226"/>
    </row>
    <row r="3" spans="1:5" ht="17.25">
      <c r="A3" s="227" t="s">
        <v>187</v>
      </c>
      <c r="B3" s="220"/>
      <c r="C3" s="220"/>
      <c r="D3" s="220"/>
      <c r="E3" s="228"/>
    </row>
    <row r="4" spans="1:5" ht="12.75">
      <c r="A4" s="147"/>
      <c r="B4" s="148"/>
      <c r="C4" s="148"/>
      <c r="D4" s="148"/>
      <c r="E4" s="149"/>
    </row>
    <row r="5" spans="1:5" ht="12.75">
      <c r="A5" s="147"/>
      <c r="B5" s="148"/>
      <c r="C5" s="148"/>
      <c r="D5" s="148"/>
      <c r="E5" s="149"/>
    </row>
    <row r="6" spans="1:5" ht="12.75">
      <c r="A6" s="150"/>
      <c r="B6" s="151"/>
      <c r="C6" s="151"/>
      <c r="D6" s="151"/>
      <c r="E6" s="152"/>
    </row>
    <row r="7" spans="1:5" ht="12.75">
      <c r="A7" s="153" t="s">
        <v>105</v>
      </c>
      <c r="B7" s="154"/>
      <c r="C7" s="154"/>
      <c r="D7" s="154"/>
      <c r="E7" s="155"/>
    </row>
    <row r="8" spans="1:5" ht="12.75">
      <c r="A8" s="156" t="s">
        <v>106</v>
      </c>
      <c r="B8" s="157"/>
      <c r="C8" s="157"/>
      <c r="D8" s="157"/>
      <c r="E8" s="158"/>
    </row>
    <row r="9" spans="1:5" ht="12.75">
      <c r="A9" s="156" t="s">
        <v>195</v>
      </c>
      <c r="B9" s="157"/>
      <c r="C9" s="157"/>
      <c r="D9" s="157"/>
      <c r="E9" s="158"/>
    </row>
    <row r="10" spans="1:5" ht="12.75">
      <c r="A10" s="159" t="s">
        <v>188</v>
      </c>
      <c r="B10" s="160"/>
      <c r="C10" s="160"/>
      <c r="D10" s="160"/>
      <c r="E10" s="161"/>
    </row>
    <row r="11" spans="1:5" ht="12.75">
      <c r="A11" s="162"/>
      <c r="B11" s="163"/>
      <c r="C11" s="163"/>
      <c r="D11" s="163"/>
      <c r="E11" s="164"/>
    </row>
    <row r="12" spans="1:5" ht="12.75">
      <c r="A12" s="165" t="s">
        <v>103</v>
      </c>
      <c r="B12" s="61" t="s">
        <v>78</v>
      </c>
      <c r="C12" s="61" t="s">
        <v>99</v>
      </c>
      <c r="D12" s="61" t="s">
        <v>100</v>
      </c>
      <c r="E12" s="82" t="s">
        <v>190</v>
      </c>
    </row>
    <row r="13" spans="1:5" ht="12.75">
      <c r="A13" s="165" t="s">
        <v>102</v>
      </c>
      <c r="B13" s="61"/>
      <c r="C13" s="61"/>
      <c r="D13" s="61" t="s">
        <v>101</v>
      </c>
      <c r="E13" s="82" t="s">
        <v>3</v>
      </c>
    </row>
    <row r="14" spans="1:5" ht="12.75">
      <c r="A14" s="166"/>
      <c r="B14" s="167"/>
      <c r="C14" s="167"/>
      <c r="D14" s="167" t="s">
        <v>104</v>
      </c>
      <c r="E14" s="168" t="s">
        <v>189</v>
      </c>
    </row>
    <row r="15" spans="1:5" ht="12.75">
      <c r="A15" s="144" t="s">
        <v>68</v>
      </c>
      <c r="B15" s="95" t="s">
        <v>90</v>
      </c>
      <c r="C15" s="91">
        <v>106990</v>
      </c>
      <c r="D15" s="91" t="s">
        <v>107</v>
      </c>
      <c r="E15" s="133">
        <v>0.000127</v>
      </c>
    </row>
    <row r="16" spans="1:5" ht="12.75">
      <c r="A16" s="144" t="s">
        <v>91</v>
      </c>
      <c r="B16" s="95" t="s">
        <v>108</v>
      </c>
      <c r="C16" s="91">
        <v>91587</v>
      </c>
      <c r="D16" s="91" t="s">
        <v>109</v>
      </c>
      <c r="E16" s="133">
        <v>2.72E-07</v>
      </c>
    </row>
    <row r="17" spans="1:5" ht="12.75">
      <c r="A17" s="144" t="s">
        <v>91</v>
      </c>
      <c r="B17" s="95" t="s">
        <v>110</v>
      </c>
      <c r="C17" s="91">
        <v>91576</v>
      </c>
      <c r="D17" s="91" t="s">
        <v>109</v>
      </c>
      <c r="E17" s="133">
        <v>5.29E-06</v>
      </c>
    </row>
    <row r="18" spans="1:5" ht="12.75">
      <c r="A18" s="144" t="s">
        <v>86</v>
      </c>
      <c r="B18" s="95" t="s">
        <v>135</v>
      </c>
      <c r="C18" s="91">
        <v>83329</v>
      </c>
      <c r="D18" s="91" t="s">
        <v>109</v>
      </c>
      <c r="E18" s="133">
        <v>1.9E-05</v>
      </c>
    </row>
    <row r="19" spans="1:5" ht="12.75">
      <c r="A19" s="144" t="s">
        <v>86</v>
      </c>
      <c r="B19" s="95" t="s">
        <v>136</v>
      </c>
      <c r="C19" s="91">
        <v>208968</v>
      </c>
      <c r="D19" s="91" t="s">
        <v>109</v>
      </c>
      <c r="E19" s="133">
        <v>1.47E-05</v>
      </c>
    </row>
    <row r="20" spans="1:5" ht="12.75">
      <c r="A20" s="144" t="s">
        <v>68</v>
      </c>
      <c r="B20" s="95" t="s">
        <v>87</v>
      </c>
      <c r="C20" s="91">
        <v>75070</v>
      </c>
      <c r="D20" s="91" t="s">
        <v>107</v>
      </c>
      <c r="E20" s="133">
        <v>0.137</v>
      </c>
    </row>
    <row r="21" spans="1:5" ht="12.75">
      <c r="A21" s="144" t="s">
        <v>68</v>
      </c>
      <c r="B21" s="95" t="s">
        <v>88</v>
      </c>
      <c r="C21" s="91">
        <v>107028</v>
      </c>
      <c r="D21" s="91" t="s">
        <v>107</v>
      </c>
      <c r="E21" s="133">
        <v>0.0189</v>
      </c>
    </row>
    <row r="22" spans="1:5" ht="12.75">
      <c r="A22" s="144" t="s">
        <v>86</v>
      </c>
      <c r="B22" s="95" t="s">
        <v>182</v>
      </c>
      <c r="C22" s="91">
        <v>120127</v>
      </c>
      <c r="D22" s="91" t="s">
        <v>109</v>
      </c>
      <c r="E22" s="133">
        <v>3.38E-05</v>
      </c>
    </row>
    <row r="23" spans="1:5" ht="12.75">
      <c r="A23" s="144" t="s">
        <v>86</v>
      </c>
      <c r="B23" s="95" t="s">
        <v>137</v>
      </c>
      <c r="C23" s="91">
        <v>56553</v>
      </c>
      <c r="D23" s="91" t="s">
        <v>107</v>
      </c>
      <c r="E23" s="133">
        <v>2.26E-05</v>
      </c>
    </row>
    <row r="24" spans="1:5" ht="12.75">
      <c r="A24" s="144" t="s">
        <v>68</v>
      </c>
      <c r="B24" s="95" t="s">
        <v>89</v>
      </c>
      <c r="C24" s="91">
        <v>71432</v>
      </c>
      <c r="D24" s="91" t="s">
        <v>107</v>
      </c>
      <c r="E24" s="133">
        <v>0.0133</v>
      </c>
    </row>
    <row r="25" spans="1:5" ht="12.75">
      <c r="A25" s="144" t="s">
        <v>86</v>
      </c>
      <c r="B25" s="95" t="s">
        <v>138</v>
      </c>
      <c r="C25" s="91">
        <v>50328</v>
      </c>
      <c r="D25" s="91" t="s">
        <v>107</v>
      </c>
      <c r="E25" s="133">
        <v>1.39E-05</v>
      </c>
    </row>
    <row r="26" spans="1:5" ht="12.75">
      <c r="A26" s="144" t="s">
        <v>86</v>
      </c>
      <c r="B26" s="95" t="s">
        <v>139</v>
      </c>
      <c r="C26" s="91">
        <v>205992</v>
      </c>
      <c r="D26" s="91" t="s">
        <v>107</v>
      </c>
      <c r="E26" s="133">
        <v>1.13E-05</v>
      </c>
    </row>
    <row r="27" spans="1:5" ht="12.75">
      <c r="A27" s="144" t="s">
        <v>86</v>
      </c>
      <c r="B27" s="95" t="s">
        <v>140</v>
      </c>
      <c r="C27" s="91">
        <v>192972</v>
      </c>
      <c r="D27" s="91" t="s">
        <v>109</v>
      </c>
      <c r="E27" s="133">
        <v>5.44E-07</v>
      </c>
    </row>
    <row r="28" spans="1:5" ht="12.75">
      <c r="A28" s="144" t="s">
        <v>86</v>
      </c>
      <c r="B28" s="95" t="s">
        <v>141</v>
      </c>
      <c r="C28" s="91">
        <v>191242</v>
      </c>
      <c r="D28" s="91" t="s">
        <v>109</v>
      </c>
      <c r="E28" s="133">
        <v>1.37E-05</v>
      </c>
    </row>
    <row r="29" spans="1:5" ht="12.75">
      <c r="A29" s="144" t="s">
        <v>86</v>
      </c>
      <c r="B29" s="95" t="s">
        <v>142</v>
      </c>
      <c r="C29" s="91">
        <v>207089</v>
      </c>
      <c r="D29" s="91" t="s">
        <v>107</v>
      </c>
      <c r="E29" s="133">
        <v>1.1E-05</v>
      </c>
    </row>
    <row r="30" spans="1:5" ht="12.75">
      <c r="A30" s="144" t="s">
        <v>86</v>
      </c>
      <c r="B30" s="95" t="s">
        <v>143</v>
      </c>
      <c r="C30" s="91">
        <v>218019</v>
      </c>
      <c r="D30" s="91" t="s">
        <v>107</v>
      </c>
      <c r="E30" s="133">
        <v>2.52E-05</v>
      </c>
    </row>
    <row r="31" spans="1:5" ht="12.75">
      <c r="A31" s="144" t="s">
        <v>86</v>
      </c>
      <c r="B31" s="95" t="s">
        <v>144</v>
      </c>
      <c r="C31" s="91">
        <v>53703</v>
      </c>
      <c r="D31" s="91" t="s">
        <v>107</v>
      </c>
      <c r="E31" s="133">
        <v>2.35E-05</v>
      </c>
    </row>
    <row r="32" spans="1:5" ht="12.75">
      <c r="A32" s="144" t="s">
        <v>91</v>
      </c>
      <c r="B32" s="95" t="s">
        <v>92</v>
      </c>
      <c r="C32" s="91">
        <v>100414</v>
      </c>
      <c r="D32" s="91" t="s">
        <v>107</v>
      </c>
      <c r="E32" s="133">
        <v>0.0179</v>
      </c>
    </row>
    <row r="33" spans="1:5" ht="12.75">
      <c r="A33" s="144" t="s">
        <v>86</v>
      </c>
      <c r="B33" s="95" t="s">
        <v>145</v>
      </c>
      <c r="C33" s="91">
        <v>206440</v>
      </c>
      <c r="D33" s="91" t="s">
        <v>109</v>
      </c>
      <c r="E33" s="133">
        <v>4.32E-05</v>
      </c>
    </row>
    <row r="34" spans="1:5" ht="12.75">
      <c r="A34" s="144" t="s">
        <v>86</v>
      </c>
      <c r="B34" s="95" t="s">
        <v>146</v>
      </c>
      <c r="C34" s="91">
        <v>86737</v>
      </c>
      <c r="D34" s="91" t="s">
        <v>109</v>
      </c>
      <c r="E34" s="133">
        <v>5.8E-05</v>
      </c>
    </row>
    <row r="35" spans="1:5" ht="12.75">
      <c r="A35" s="144" t="s">
        <v>68</v>
      </c>
      <c r="B35" s="95" t="s">
        <v>93</v>
      </c>
      <c r="C35" s="91">
        <v>50000</v>
      </c>
      <c r="D35" s="91" t="s">
        <v>107</v>
      </c>
      <c r="E35" s="133">
        <v>0.917</v>
      </c>
    </row>
    <row r="36" spans="1:5" ht="12.75">
      <c r="A36" s="144" t="s">
        <v>68</v>
      </c>
      <c r="B36" s="95" t="s">
        <v>94</v>
      </c>
      <c r="C36" s="91">
        <v>110543</v>
      </c>
      <c r="D36" s="91" t="s">
        <v>107</v>
      </c>
      <c r="E36" s="133">
        <v>0.259</v>
      </c>
    </row>
    <row r="37" spans="1:5" ht="12.75">
      <c r="A37" s="144" t="s">
        <v>86</v>
      </c>
      <c r="B37" s="95" t="s">
        <v>147</v>
      </c>
      <c r="C37" s="91">
        <v>193395</v>
      </c>
      <c r="D37" s="91" t="s">
        <v>107</v>
      </c>
      <c r="E37" s="133">
        <v>2.35E-05</v>
      </c>
    </row>
    <row r="38" spans="1:5" ht="12.75">
      <c r="A38" s="144" t="s">
        <v>86</v>
      </c>
      <c r="B38" s="95" t="s">
        <v>161</v>
      </c>
      <c r="C38" s="91">
        <v>91203</v>
      </c>
      <c r="D38" s="91" t="s">
        <v>107</v>
      </c>
      <c r="E38" s="133">
        <v>0.00166</v>
      </c>
    </row>
    <row r="39" spans="1:5" ht="12.75">
      <c r="A39" s="144" t="s">
        <v>91</v>
      </c>
      <c r="B39" s="95" t="s">
        <v>111</v>
      </c>
      <c r="C39" s="91">
        <v>198550</v>
      </c>
      <c r="D39" s="91" t="s">
        <v>109</v>
      </c>
      <c r="E39" s="133">
        <v>7E-07</v>
      </c>
    </row>
    <row r="40" spans="1:5" ht="12.75">
      <c r="A40" s="144" t="s">
        <v>86</v>
      </c>
      <c r="B40" s="95" t="s">
        <v>183</v>
      </c>
      <c r="C40" s="91">
        <v>85018</v>
      </c>
      <c r="D40" s="91" t="s">
        <v>109</v>
      </c>
      <c r="E40" s="133">
        <v>0.000313</v>
      </c>
    </row>
    <row r="41" spans="1:5" ht="12.75">
      <c r="A41" s="144" t="s">
        <v>68</v>
      </c>
      <c r="B41" s="95" t="s">
        <v>95</v>
      </c>
      <c r="C41" s="91">
        <v>115071</v>
      </c>
      <c r="D41" s="91" t="s">
        <v>107</v>
      </c>
      <c r="E41" s="133">
        <v>0.771</v>
      </c>
    </row>
    <row r="42" spans="1:5" ht="12.75">
      <c r="A42" s="144" t="s">
        <v>68</v>
      </c>
      <c r="B42" s="95" t="s">
        <v>96</v>
      </c>
      <c r="C42" s="91">
        <v>75569</v>
      </c>
      <c r="D42" s="91" t="s">
        <v>107</v>
      </c>
      <c r="E42" s="133">
        <v>0.0478</v>
      </c>
    </row>
    <row r="43" spans="1:5" ht="12.75">
      <c r="A43" s="144" t="s">
        <v>86</v>
      </c>
      <c r="B43" s="95" t="s">
        <v>148</v>
      </c>
      <c r="C43" s="91">
        <v>129000</v>
      </c>
      <c r="D43" s="91" t="s">
        <v>109</v>
      </c>
      <c r="E43" s="133">
        <v>2.77E-05</v>
      </c>
    </row>
    <row r="44" spans="1:5" ht="12.75">
      <c r="A44" s="144" t="s">
        <v>68</v>
      </c>
      <c r="B44" s="95" t="s">
        <v>97</v>
      </c>
      <c r="C44" s="91">
        <v>108883</v>
      </c>
      <c r="D44" s="91" t="s">
        <v>107</v>
      </c>
      <c r="E44" s="133">
        <v>0.071</v>
      </c>
    </row>
    <row r="45" spans="1:5" ht="13.5" thickBot="1">
      <c r="A45" s="145" t="s">
        <v>68</v>
      </c>
      <c r="B45" s="146" t="s">
        <v>98</v>
      </c>
      <c r="C45" s="93">
        <v>1330207</v>
      </c>
      <c r="D45" s="93" t="s">
        <v>107</v>
      </c>
      <c r="E45" s="136">
        <v>0.0261</v>
      </c>
    </row>
    <row r="46" spans="1:5" ht="13.5" thickTop="1">
      <c r="A46" s="38"/>
      <c r="B46" s="38"/>
      <c r="C46" s="38"/>
      <c r="D46" s="169"/>
      <c r="E46" s="170"/>
    </row>
  </sheetData>
  <sheetProtection/>
  <mergeCells count="2">
    <mergeCell ref="A2:E2"/>
    <mergeCell ref="A3:E3"/>
  </mergeCells>
  <printOptions horizontalCentered="1"/>
  <pageMargins left="0.75" right="0.75" top="0.69" bottom="0.65" header="0.5" footer="0.29"/>
  <pageSetup fitToHeight="1" fitToWidth="1" horizontalDpi="600" verticalDpi="600" orientation="portrait" r:id="rId1"/>
  <headerFooter alignWithMargins="0">
    <oddFooter>&amp;L&amp;6K:\REPORTS\R1350\harbor\&amp;F\&amp;A&amp;C&amp;P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2000-11-17T19:18:41Z</cp:lastPrinted>
  <dcterms:created xsi:type="dcterms:W3CDTF">2000-10-10T16:56:45Z</dcterms:created>
  <dcterms:modified xsi:type="dcterms:W3CDTF">2014-08-06T18:57:06Z</dcterms:modified>
  <cp:category/>
  <cp:version/>
  <cp:contentType/>
  <cp:contentStatus/>
</cp:coreProperties>
</file>