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0" windowWidth="11868" windowHeight="6540" activeTab="0"/>
  </bookViews>
  <sheets>
    <sheet name="Summaries" sheetId="1" r:id="rId1"/>
    <sheet name="GradingHGS" sheetId="2" r:id="rId2"/>
    <sheet name="TankDemolitionHGS" sheetId="3" r:id="rId3"/>
    <sheet name="BackfillHGS" sheetId="4" r:id="rId4"/>
    <sheet name="FoundationsHGS" sheetId="5" r:id="rId5"/>
    <sheet name="Equipment InstallationHGS" sheetId="6" r:id="rId6"/>
    <sheet name="PavingHGS" sheetId="7" r:id="rId7"/>
    <sheet name="GradingSGS" sheetId="8" r:id="rId8"/>
    <sheet name="SlabDemolitionSGS" sheetId="9" r:id="rId9"/>
    <sheet name="FoundationsSGS" sheetId="10" r:id="rId10"/>
    <sheet name="Equipment InstallationSGS" sheetId="11" r:id="rId11"/>
    <sheet name="PavingSGS" sheetId="12" r:id="rId12"/>
    <sheet name="GradingVGS" sheetId="13" r:id="rId13"/>
    <sheet name="DemolitionVGS" sheetId="14" r:id="rId14"/>
    <sheet name="FoundationsVGS" sheetId="15" r:id="rId15"/>
    <sheet name="Equipment InstallationVGS" sheetId="16" r:id="rId16"/>
    <sheet name="PavingVGS" sheetId="17" r:id="rId17"/>
    <sheet name="Const. Equip. Emission Factors" sheetId="18" r:id="rId18"/>
    <sheet name="Fug. Dust Emission Factors" sheetId="19" r:id="rId19"/>
    <sheet name="Motor Vehicle Emission Factors" sheetId="20" r:id="rId20"/>
    <sheet name="Fuel Use" sheetId="21" r:id="rId21"/>
    <sheet name="SummariesAltB" sheetId="22" r:id="rId22"/>
    <sheet name="FoundationsHGSAltB" sheetId="23" r:id="rId23"/>
    <sheet name="Equipment InstallationHGSAltB" sheetId="24" r:id="rId24"/>
    <sheet name="Fuel Use AltB" sheetId="25" r:id="rId25"/>
    <sheet name="Summaries AltC" sheetId="26" r:id="rId26"/>
    <sheet name="DemolitionVGSAltC" sheetId="27" r:id="rId27"/>
    <sheet name="Fuel Use AltC" sheetId="28" r:id="rId28"/>
  </sheets>
  <definedNames>
    <definedName name="_xlnm.Print_Titles" localSheetId="19">'Motor Vehicle Emission Factors'!$A:$B</definedName>
  </definedNames>
  <calcPr fullCalcOnLoad="1"/>
</workbook>
</file>

<file path=xl/sharedStrings.xml><?xml version="1.0" encoding="utf-8"?>
<sst xmlns="http://schemas.openxmlformats.org/spreadsheetml/2006/main" count="3874" uniqueCount="373">
  <si>
    <t>Vehicle Type</t>
  </si>
  <si>
    <t>Road Type</t>
  </si>
  <si>
    <t>Vehicle Class</t>
  </si>
  <si>
    <t>Light duty truck, cat</t>
  </si>
  <si>
    <t>Heavy heavy-duty truck, diesel</t>
  </si>
  <si>
    <t>Medium heavy-duty truck, diesel</t>
  </si>
  <si>
    <t>Medium duty truck, cat</t>
  </si>
  <si>
    <t>Collector</t>
  </si>
  <si>
    <t>Speed (mph)</t>
  </si>
  <si>
    <t>CO</t>
  </si>
  <si>
    <t>Exhaust</t>
  </si>
  <si>
    <t>g/mi</t>
  </si>
  <si>
    <t>g/trip</t>
  </si>
  <si>
    <t>Hot Soak</t>
  </si>
  <si>
    <t>Evap. Running</t>
  </si>
  <si>
    <t>Resting</t>
  </si>
  <si>
    <t>Diurnal</t>
  </si>
  <si>
    <t>g/hr</t>
  </si>
  <si>
    <t>NOx</t>
  </si>
  <si>
    <t>PM10</t>
  </si>
  <si>
    <t>Tire Wear</t>
  </si>
  <si>
    <t>Brake Wear</t>
  </si>
  <si>
    <r>
      <t>Paved Road Dust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</si>
  <si>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 All except paved road dust from ARB EMFAC7G motor vehicle emission factor model, 2/10/2000 version, for calendar year 2001, summertime</t>
    </r>
  </si>
  <si>
    <t>TOTAL</t>
  </si>
  <si>
    <r>
      <t>a</t>
    </r>
    <r>
      <rPr>
        <sz val="8"/>
        <rFont val="Arial"/>
        <family val="2"/>
      </rPr>
      <t xml:space="preserve">  Includes resting losses for 12-hours of constant or decreasing ambient temperature and diurnal emissions during 12 hours of increasing ambient temperature</t>
    </r>
  </si>
  <si>
    <t>Equipment Type</t>
  </si>
  <si>
    <t>Crane</t>
  </si>
  <si>
    <t>Fuel</t>
  </si>
  <si>
    <t>Horsepower</t>
  </si>
  <si>
    <t>Load Factor</t>
  </si>
  <si>
    <t>Diesel</t>
  </si>
  <si>
    <t>lb/hr</t>
  </si>
  <si>
    <t>Front End Loader</t>
  </si>
  <si>
    <t>Number</t>
  </si>
  <si>
    <t>Start</t>
  </si>
  <si>
    <t>End</t>
  </si>
  <si>
    <t>NOx lb/day</t>
  </si>
  <si>
    <t>SOx lb/day</t>
  </si>
  <si>
    <t>CO   lb/day</t>
  </si>
  <si>
    <t>Exhaust PM10 lb/day</t>
  </si>
  <si>
    <t>Fugitive PM10 lb/day</t>
  </si>
  <si>
    <t>Total PM10 lb/day</t>
  </si>
  <si>
    <t>Grader</t>
  </si>
  <si>
    <t>Bulldozing</t>
  </si>
  <si>
    <t>Grading</t>
  </si>
  <si>
    <t>Miles/Day</t>
  </si>
  <si>
    <t>D6 Bulldozer</t>
  </si>
  <si>
    <t>Skip Loader</t>
  </si>
  <si>
    <t>Compactor, Vibrating Sheeps Foot</t>
  </si>
  <si>
    <t>Excavator</t>
  </si>
  <si>
    <t>Barber-Green Paver</t>
  </si>
  <si>
    <t>Watering truck</t>
  </si>
  <si>
    <r>
      <t>Emission Factor [lb/hr] = 0.75 x (silt content [%])</t>
    </r>
    <r>
      <rPr>
        <vertAlign val="superscript"/>
        <sz val="10"/>
        <rFont val="Arial"/>
        <family val="2"/>
      </rPr>
      <t>1.5</t>
    </r>
    <r>
      <rPr>
        <sz val="10"/>
        <rFont val="Arial"/>
        <family val="0"/>
      </rPr>
      <t xml:space="preserve"> / (moisture)</t>
    </r>
    <r>
      <rPr>
        <vertAlign val="superscript"/>
        <sz val="10"/>
        <rFont val="Arial"/>
        <family val="2"/>
      </rPr>
      <t>1.4</t>
    </r>
  </si>
  <si>
    <t>Reference:  AP-42, Table 11.9-1, July 1998</t>
  </si>
  <si>
    <t>Parameter</t>
  </si>
  <si>
    <t>Value</t>
  </si>
  <si>
    <t>Basis</t>
  </si>
  <si>
    <t>Silt Content</t>
  </si>
  <si>
    <t>Moisture</t>
  </si>
  <si>
    <r>
      <t>Emission Factor [lb/mi] = 0.0306 x (grader speed)</t>
    </r>
    <r>
      <rPr>
        <vertAlign val="superscript"/>
        <sz val="10"/>
        <rFont val="Arial"/>
        <family val="2"/>
      </rPr>
      <t>2.0</t>
    </r>
  </si>
  <si>
    <t>Grader Speed</t>
  </si>
  <si>
    <t>Typical value</t>
  </si>
  <si>
    <t>lb/mi</t>
  </si>
  <si>
    <r>
      <t>Emission Factor [lb/mi] = 2.6 x (silt content [%] / 12)</t>
    </r>
    <r>
      <rPr>
        <vertAlign val="superscript"/>
        <sz val="10"/>
        <rFont val="Arial"/>
        <family val="2"/>
      </rPr>
      <t>0.8</t>
    </r>
    <r>
      <rPr>
        <sz val="10"/>
        <rFont val="Arial"/>
        <family val="0"/>
      </rPr>
      <t xml:space="preserve"> x (vehicle weight [tons] / 3)</t>
    </r>
    <r>
      <rPr>
        <vertAlign val="superscript"/>
        <sz val="10"/>
        <rFont val="Arial"/>
        <family val="2"/>
      </rPr>
      <t>0.4</t>
    </r>
    <r>
      <rPr>
        <sz val="10"/>
        <rFont val="Arial"/>
        <family val="0"/>
      </rPr>
      <t xml:space="preserve"> / (moisture [%] / 0.2)</t>
    </r>
    <r>
      <rPr>
        <vertAlign val="superscript"/>
        <sz val="10"/>
        <rFont val="Arial"/>
        <family val="2"/>
      </rPr>
      <t>0.3</t>
    </r>
  </si>
  <si>
    <t>Reference:  AP-42, Section 13.2.2, September 1998</t>
  </si>
  <si>
    <t>Vehicle Weight</t>
  </si>
  <si>
    <t>Assumption</t>
  </si>
  <si>
    <t>Vehicle Speed</t>
  </si>
  <si>
    <t>Storage Pile Wind Erosion</t>
  </si>
  <si>
    <t>Emission Factor [lb/day-acre] = 0.85 x (silt content [%] / 1.5) x (365 / 235) x (percentage of time unobstructed wind exceeds 12 mph / 15)</t>
  </si>
  <si>
    <t>Reference:  Fugitive Dust Background Document and Technical Information Document for Best Available Control Measures,</t>
  </si>
  <si>
    <t xml:space="preserve">                  EPA, September 1992</t>
  </si>
  <si>
    <t>Pct. time wind &gt; 12 mph</t>
  </si>
  <si>
    <t>lb/day-acre</t>
  </si>
  <si>
    <t>Soil Dropping</t>
  </si>
  <si>
    <t>Mean Wind Speed</t>
  </si>
  <si>
    <t>Number Drops</t>
  </si>
  <si>
    <t>Soil Density</t>
  </si>
  <si>
    <t>Table 2.46, Handbook of Solid Waste Management</t>
  </si>
  <si>
    <t>lb/cu. yd</t>
  </si>
  <si>
    <t>Activity Level</t>
  </si>
  <si>
    <t>Units</t>
  </si>
  <si>
    <t>Hours/Day</t>
  </si>
  <si>
    <t>N/A</t>
  </si>
  <si>
    <t>Acres</t>
  </si>
  <si>
    <t>Cu.Yds/Day</t>
  </si>
  <si>
    <t>Activity</t>
  </si>
  <si>
    <t>Area Paved/Day (acres)</t>
  </si>
  <si>
    <t>Emission Factor (lb/acre-day)</t>
  </si>
  <si>
    <t>Reference: URBEMIS7G User's Guide, 1998</t>
  </si>
  <si>
    <t>Volume Applied/Day</t>
  </si>
  <si>
    <t>VOC Emissions (lb/day)</t>
  </si>
  <si>
    <t>VOC Content (lb/gallon)</t>
  </si>
  <si>
    <t>On-Site Construction Equipment Exhaust</t>
  </si>
  <si>
    <t>On-Site Fugitive PM10</t>
  </si>
  <si>
    <t>Asphaltic Paving</t>
  </si>
  <si>
    <t>Architectural Coating</t>
  </si>
  <si>
    <t>Total On-Site</t>
  </si>
  <si>
    <t>Off-Site Motor Vehicles</t>
  </si>
  <si>
    <t>Volume Applied/Day (gallons)</t>
  </si>
  <si>
    <t>Location</t>
  </si>
  <si>
    <t>SCAQMD 1993 CEQA Air Quality Handbook, Overburden</t>
  </si>
  <si>
    <t>SCAQMD 1993 CEQA Air Quality Handbook, Default</t>
  </si>
  <si>
    <t>On-site pickup truck</t>
  </si>
  <si>
    <t>Off-site construction commuter</t>
  </si>
  <si>
    <t>D8 Bulldozer</t>
  </si>
  <si>
    <t>On-Site Pickup Trucks on Unpaved Surfaces</t>
  </si>
  <si>
    <r>
      <t>Emission Factor [lb/mi] = 2.6 x (vehicle speed [mph] / 15) x (silt content [%] / 12)</t>
    </r>
    <r>
      <rPr>
        <vertAlign val="superscript"/>
        <sz val="10"/>
        <rFont val="Arial"/>
        <family val="2"/>
      </rPr>
      <t>0.8</t>
    </r>
    <r>
      <rPr>
        <sz val="10"/>
        <rFont val="Arial"/>
        <family val="0"/>
      </rPr>
      <t xml:space="preserve"> x (vehicle weight [tons] / 3)</t>
    </r>
    <r>
      <rPr>
        <vertAlign val="superscript"/>
        <sz val="10"/>
        <rFont val="Arial"/>
        <family val="2"/>
      </rPr>
      <t>0.4</t>
    </r>
    <r>
      <rPr>
        <sz val="10"/>
        <rFont val="Arial"/>
        <family val="0"/>
      </rPr>
      <t xml:space="preserve"> / (moisture [%] / 0.2)</t>
    </r>
    <r>
      <rPr>
        <vertAlign val="superscript"/>
        <sz val="10"/>
        <rFont val="Arial"/>
        <family val="2"/>
      </rPr>
      <t>0.3</t>
    </r>
  </si>
  <si>
    <t>Equipment Travel on Unpaved Surfaces</t>
  </si>
  <si>
    <t>Pickup Truck Travel on Unpaved Surfaces</t>
  </si>
  <si>
    <t>On-Site</t>
  </si>
  <si>
    <t>Off-Site</t>
  </si>
  <si>
    <t>Emission Factor (Uncontrolled)</t>
  </si>
  <si>
    <t>Reduction from Watering Twice/Day</t>
  </si>
  <si>
    <t>Controlled Emission Factor</t>
  </si>
  <si>
    <t>Delivery vehicle, on-site</t>
  </si>
  <si>
    <t>Construction Equipment, Dump Trucks and Delivery Vehicles on Unpaved Surfaces</t>
  </si>
  <si>
    <t>Material removal haul truck, on-site</t>
  </si>
  <si>
    <t>lb/bhp-hr</t>
  </si>
  <si>
    <t>"Open Fugitive Dust PM10 Control Strategies Study," Midwest Research Institute, October 12, 1990.</t>
  </si>
  <si>
    <r>
      <t>c</t>
    </r>
    <r>
      <rPr>
        <sz val="8"/>
        <rFont val="Arial"/>
        <family val="2"/>
      </rPr>
      <t xml:space="preserve">  From ARB Emission Inventory Methodology 7.9, Entrained Paved Road Dust (1997)</t>
    </r>
  </si>
  <si>
    <r>
      <t>Silt loading (g/m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c</t>
    </r>
  </si>
  <si>
    <t>Mitigation Reduction (%)</t>
  </si>
  <si>
    <t>Mitigation Reduction (lb/day)</t>
  </si>
  <si>
    <t>Remaining Emissions</t>
  </si>
  <si>
    <t>VOC lb/day</t>
  </si>
  <si>
    <t>On-Site Motor Vehicles</t>
  </si>
  <si>
    <t>Material removal haul truck, off-site</t>
  </si>
  <si>
    <t>Delivery vehicle, off-site</t>
  </si>
  <si>
    <t>Dump truck, 3 axle, on-site</t>
  </si>
  <si>
    <t>Source</t>
  </si>
  <si>
    <t>Note:  Totals may not match sum of individual values because of rounding.</t>
  </si>
  <si>
    <t>Table 1</t>
  </si>
  <si>
    <t>Table 2</t>
  </si>
  <si>
    <t>Fugitive Dust PM10 Emission Factors</t>
  </si>
  <si>
    <t>Construction Equipment Exhaust Emission Factors</t>
  </si>
  <si>
    <t>VOC</t>
  </si>
  <si>
    <r>
      <t>Start-Up</t>
    </r>
    <r>
      <rPr>
        <vertAlign val="superscript"/>
        <sz val="10"/>
        <rFont val="Arial"/>
        <family val="2"/>
      </rPr>
      <t>d</t>
    </r>
  </si>
  <si>
    <r>
      <t>d</t>
    </r>
    <r>
      <rPr>
        <sz val="8"/>
        <rFont val="Arial"/>
        <family val="2"/>
      </rPr>
      <t xml:space="preserve">  Based on 720 minutes engine-off</t>
    </r>
  </si>
  <si>
    <t xml:space="preserve">   from ARB Emission Inventory Methodology 7.9, Entrained Paved Road Dust (1997).  Estimated average weight of all vehicles near construction site = 3.24 tons</t>
  </si>
  <si>
    <r>
      <t>b</t>
    </r>
    <r>
      <rPr>
        <sz val="8"/>
        <rFont val="Arial"/>
        <family val="2"/>
      </rPr>
      <t xml:space="preserve">  Emission factor [g/mi] = 7.26 (Silt Loading/2)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(Average Weight of All Vehicles on Roadway/3)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, </t>
    </r>
  </si>
  <si>
    <t>Table 4</t>
  </si>
  <si>
    <t>Table 5</t>
  </si>
  <si>
    <t>Overall Peak Daily Construction Emissions (Pre-Mitigation)</t>
  </si>
  <si>
    <t>Peak Daily Construction Emissions by Activity (Pre-Mitigation)</t>
  </si>
  <si>
    <t>Overall Peak Daily Construction Emissions (Mitigated)</t>
  </si>
  <si>
    <t>Peak Daily Construction Emissions by Activity (Mitigated)</t>
  </si>
  <si>
    <t>Loss from Haul Trucks</t>
  </si>
  <si>
    <r>
      <t>Emission Factor [lb/cu. yd] = 0.0011 x (mean wind speed [mi/hr] / 5)</t>
    </r>
    <r>
      <rPr>
        <vertAlign val="superscript"/>
        <sz val="10"/>
        <rFont val="Arial"/>
        <family val="2"/>
      </rPr>
      <t>1.3</t>
    </r>
    <r>
      <rPr>
        <sz val="10"/>
        <rFont val="Arial"/>
        <family val="0"/>
      </rPr>
      <t xml:space="preserve"> / (moisture [%] / 2)</t>
    </r>
    <r>
      <rPr>
        <vertAlign val="superscript"/>
        <sz val="10"/>
        <rFont val="Arial"/>
        <family val="2"/>
      </rPr>
      <t>1.4</t>
    </r>
    <r>
      <rPr>
        <sz val="10"/>
        <rFont val="Arial"/>
        <family val="2"/>
      </rPr>
      <t xml:space="preserve"> x (number drops per ton) x (density [ton/cu. yd])</t>
    </r>
  </si>
  <si>
    <r>
      <t xml:space="preserve">                                       (soil moisture [percent] / 2)</t>
    </r>
    <r>
      <rPr>
        <vertAlign val="superscript"/>
        <sz val="10"/>
        <rFont val="Arial"/>
        <family val="2"/>
      </rPr>
      <t>-1.4</t>
    </r>
    <r>
      <rPr>
        <sz val="10"/>
        <rFont val="Arial"/>
        <family val="0"/>
      </rPr>
      <t xml:space="preserve"> x (PM10 ratio) x (exposed surface area [square ft.]</t>
    </r>
  </si>
  <si>
    <t>Reference:  AP-42 industrial wind erosion equations</t>
  </si>
  <si>
    <t>firction velocity [mi/hr] = 0.4 x wind speed [mi/hr] / ln(height [cm] / roughness height [cm])</t>
  </si>
  <si>
    <t>Wind Speed</t>
  </si>
  <si>
    <t>Upper limit haul truck speed</t>
  </si>
  <si>
    <t>Height</t>
  </si>
  <si>
    <t>Estimated freeboard</t>
  </si>
  <si>
    <t>Roughness Height</t>
  </si>
  <si>
    <t>Default value</t>
  </si>
  <si>
    <t>PM10 Ratio</t>
  </si>
  <si>
    <t>Exposed Surface Area</t>
  </si>
  <si>
    <t>Field measurements for open top sets</t>
  </si>
  <si>
    <t>Threshold Velocity</t>
  </si>
  <si>
    <t>Environ study</t>
  </si>
  <si>
    <t>Reduction from fugitive dust controls</t>
  </si>
  <si>
    <r>
      <t>Emission Factor [lb/trip] = [0.029 x (friction velocity [mi/hr] - threshold velocity [mi/hr])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+ 0.0125 x (friction velocity [mi/hr] - threshold velocity [mi/hr])] x</t>
    </r>
  </si>
  <si>
    <t>Trips/Day</t>
  </si>
  <si>
    <t>Off-Site Haul Truck Soil Loss</t>
  </si>
  <si>
    <t>Total Off-Site</t>
  </si>
  <si>
    <t>Forklift</t>
  </si>
  <si>
    <t>HGS Grading</t>
  </si>
  <si>
    <t>HGS Tank Demolition</t>
  </si>
  <si>
    <t>HGS Backfill</t>
  </si>
  <si>
    <t xml:space="preserve">HGS Foundations </t>
  </si>
  <si>
    <t>HGS Equipment Installation</t>
  </si>
  <si>
    <t>HGS Paving</t>
  </si>
  <si>
    <t>Tank 1 Volume (bbls)</t>
  </si>
  <si>
    <t>Vapor VOC Vapor Pressure (psia)</t>
  </si>
  <si>
    <t>Vapor Molecular Weight</t>
  </si>
  <si>
    <t>Tank 1 VOC Emissions (lb/day)</t>
  </si>
  <si>
    <t>Tank 2 Volume (bbls)</t>
  </si>
  <si>
    <t>Tank 2 VOC Emissions (lb/day)</t>
  </si>
  <si>
    <t>Tank 3 Volume (bbls)</t>
  </si>
  <si>
    <t>Tank 3 VOC Emissions (lb/day)</t>
  </si>
  <si>
    <t>Tank 4 Volume (bbls)</t>
  </si>
  <si>
    <t>Tank 4 VOC Emissions (lb/day)</t>
  </si>
  <si>
    <t>Total VOC (lb/day)</t>
  </si>
  <si>
    <t>Light cycle oil, similar to No. 2 distillate, AP-42, Table 7.1-2</t>
  </si>
  <si>
    <t>No. 6 fuel oil, AP-42, Table 7.1-2</t>
  </si>
  <si>
    <t>Tank Degassing</t>
  </si>
  <si>
    <t>Floating roof, 136 ft. dia. x 6 ft. high when empty</t>
  </si>
  <si>
    <t>Fixed roof</t>
  </si>
  <si>
    <t>Floating roof, 35 ft. dia. x 6 ft. high when empty</t>
  </si>
  <si>
    <t>CO
lb/day</t>
  </si>
  <si>
    <t>VOC
lb/day</t>
  </si>
  <si>
    <t>Hours/Day
Operation</t>
  </si>
  <si>
    <t>Total
Hours/Day 
Operation</t>
  </si>
  <si>
    <t>Miles/Day 
Each</t>
  </si>
  <si>
    <t>Total
Miles/Day</t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</si>
  <si>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
lb/day</t>
    </r>
  </si>
  <si>
    <r>
      <t>SO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
lb/day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</si>
  <si>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
lb/day</t>
    </r>
  </si>
  <si>
    <t>Number/
Day</t>
  </si>
  <si>
    <t>Miles/Day
per Vehicle</t>
  </si>
  <si>
    <t>Starts/Day
per
Vehicle</t>
  </si>
  <si>
    <t>Total
Starts/Day</t>
  </si>
  <si>
    <r>
      <t>VOC</t>
    </r>
    <r>
      <rPr>
        <vertAlign val="superscript"/>
        <sz val="10"/>
        <rFont val="Arial"/>
        <family val="2"/>
      </rPr>
      <t xml:space="preserve">a
</t>
    </r>
    <r>
      <rPr>
        <sz val="10"/>
        <rFont val="Arial"/>
        <family val="0"/>
      </rPr>
      <t>lb/day</t>
    </r>
  </si>
  <si>
    <r>
      <t>NO</t>
    </r>
    <r>
      <rPr>
        <vertAlign val="subscript"/>
        <sz val="10"/>
        <rFont val="Arial"/>
        <family val="2"/>
      </rPr>
      <t xml:space="preserve">X
</t>
    </r>
    <r>
      <rPr>
        <sz val="10"/>
        <rFont val="Arial"/>
        <family val="0"/>
      </rPr>
      <t>lb/day</t>
    </r>
  </si>
  <si>
    <r>
      <t>Exhaust
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
lb/day</t>
    </r>
  </si>
  <si>
    <r>
      <t>Fugitive
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
lb/day</t>
    </r>
  </si>
  <si>
    <r>
      <t>Total
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
lb/day</t>
    </r>
  </si>
  <si>
    <t>Floating roof, 160 ft. dia. x 6 ft. high when empty</t>
  </si>
  <si>
    <t>Tank Volume (bbls)</t>
  </si>
  <si>
    <t>SGS Grading</t>
  </si>
  <si>
    <t xml:space="preserve">SGS Foundations </t>
  </si>
  <si>
    <t>SGS Equipment Installation</t>
  </si>
  <si>
    <t>SGS Paving</t>
  </si>
  <si>
    <t>VGS Grading</t>
  </si>
  <si>
    <t>VGS Demolition</t>
  </si>
  <si>
    <t xml:space="preserve">VGS Foundations </t>
  </si>
  <si>
    <t>VGS Equipment Installation</t>
  </si>
  <si>
    <t>VGS Paving</t>
  </si>
  <si>
    <t>Loss from Soil Delivery Trucks</t>
  </si>
  <si>
    <t>Vehicle
Weight
(tons)</t>
  </si>
  <si>
    <t>SGS Slab Demolition</t>
  </si>
  <si>
    <t>Light cycle oil, data from ULTRAMAR</t>
  </si>
  <si>
    <t>Cutter stock, data from ULTRAMAR</t>
  </si>
  <si>
    <r>
      <t>Off-Site Haul Truck Soil Loss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</si>
  <si>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>Does not include 50% control from freeboard, since tarp is being used instead to achieve 90% control</t>
    </r>
  </si>
  <si>
    <t>Table 3-A</t>
  </si>
  <si>
    <t>Table 3-B</t>
  </si>
  <si>
    <t>Table 3-C</t>
  </si>
  <si>
    <t>Table 3-D</t>
  </si>
  <si>
    <t>Table 3-E</t>
  </si>
  <si>
    <t>Peak Daily Construction CO Emissions by Time (Pre-Mitigation)</t>
  </si>
  <si>
    <t>Peak Daily Construction VOC Emissions by Time (Pre-Mitigation)</t>
  </si>
  <si>
    <r>
      <t>Peak Daily Construction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(Pre-Mitigation)</t>
    </r>
  </si>
  <si>
    <r>
      <t>Peak Daily Construction 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(Pre-Mitigation)</t>
    </r>
  </si>
  <si>
    <r>
      <t>Peak Daily Total Construction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by Time (Pre-Mitigation)</t>
    </r>
  </si>
  <si>
    <t>Table 6-A</t>
  </si>
  <si>
    <t>Peak Daily Construction CO Emissions by Time (Mitigated)</t>
  </si>
  <si>
    <t>Table 6-B</t>
  </si>
  <si>
    <t>Peak Daily Construction VOC Emissions by Time (Mitigated)</t>
  </si>
  <si>
    <t>Table 6-C</t>
  </si>
  <si>
    <r>
      <t>Peak Daily Construction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(Mitigated)</t>
    </r>
  </si>
  <si>
    <t>Table 6-D</t>
  </si>
  <si>
    <r>
      <t>Peak Daily Construction 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(Mitigated)</t>
    </r>
  </si>
  <si>
    <t>Table 6-E</t>
  </si>
  <si>
    <r>
      <t>Peak Daily Construction Total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by Time (Mitigated)</t>
    </r>
  </si>
  <si>
    <t>Table 23</t>
  </si>
  <si>
    <t>Table 24</t>
  </si>
  <si>
    <t>Table 25</t>
  </si>
  <si>
    <t>CEQA Significance Level</t>
  </si>
  <si>
    <t>Siginficant? (Yes/No)</t>
  </si>
  <si>
    <t>Fuel Use</t>
  </si>
  <si>
    <t>gal/bhp-hr</t>
  </si>
  <si>
    <t>gal/hr</t>
  </si>
  <si>
    <t>Fuel Use
gal/day</t>
  </si>
  <si>
    <t>Construction Equipment</t>
  </si>
  <si>
    <t>Motor Vehicles</t>
  </si>
  <si>
    <t>Total</t>
  </si>
  <si>
    <t>Daily Diesel Use (gal)</t>
  </si>
  <si>
    <t>Gasoline Use (gal)</t>
  </si>
  <si>
    <t>Diesel Use (gal)</t>
  </si>
  <si>
    <t>Construction Fuel Use</t>
  </si>
  <si>
    <t>Daily Gasoline VMT</t>
  </si>
  <si>
    <t>Daily Diesel VMT</t>
  </si>
  <si>
    <r>
      <t>Working Days</t>
    </r>
    <r>
      <rPr>
        <vertAlign val="superscript"/>
        <sz val="10"/>
        <rFont val="Arial"/>
        <family val="2"/>
      </rPr>
      <t>a</t>
    </r>
  </si>
  <si>
    <t>Total Diesel Use (gal)</t>
  </si>
  <si>
    <r>
      <t>Gasoline Use (gal)</t>
    </r>
    <r>
      <rPr>
        <vertAlign val="superscript"/>
        <sz val="10"/>
        <rFont val="Arial"/>
        <family val="2"/>
      </rPr>
      <t>b</t>
    </r>
  </si>
  <si>
    <r>
      <t>Diesel Use (gal)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</si>
  <si>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Based on 7 working days per week</t>
    </r>
  </si>
  <si>
    <r>
      <t>b</t>
    </r>
    <r>
      <rPr>
        <sz val="8"/>
        <rFont val="Arial"/>
        <family val="2"/>
      </rPr>
      <t xml:space="preserve"> Based on 20 miles per gallon</t>
    </r>
  </si>
  <si>
    <t>Table 26</t>
  </si>
  <si>
    <t>Starting Construction Day</t>
  </si>
  <si>
    <t>Ending Construction Day</t>
  </si>
  <si>
    <t>Emissions listed under each construction day occur between that day and the next day in the table.</t>
  </si>
  <si>
    <t>Reference: SCAQMD Rule 1113 Limit</t>
  </si>
  <si>
    <t>Note:  Coatings will be used for touch-up purposes only, since equipment will be delivered pre-coated</t>
  </si>
  <si>
    <r>
      <t>Construction Motor Vehicle Emission Factors</t>
    </r>
    <r>
      <rPr>
        <b/>
        <vertAlign val="superscript"/>
        <sz val="10"/>
        <rFont val="Arial"/>
        <family val="2"/>
      </rPr>
      <t>a</t>
    </r>
  </si>
  <si>
    <t>Emissions (lb/day) = 0.1301 x (vapor pressure (psia) / 14.7 psia per atm.) x molecular weight (lb/lb-mole) / (453.6 + 80 deg. F) x tank volume (bbl)</t>
  </si>
  <si>
    <t>Start Const. Day</t>
  </si>
  <si>
    <t>End Const. Day</t>
  </si>
  <si>
    <t>Backhoe</t>
  </si>
  <si>
    <t>Concrete Vibrator</t>
  </si>
  <si>
    <t>Light Plant</t>
  </si>
  <si>
    <t>Welder</t>
  </si>
  <si>
    <t>Trencher</t>
  </si>
  <si>
    <t>Plate Compactor</t>
  </si>
  <si>
    <t>Concrete Pump</t>
  </si>
  <si>
    <t>Gasoline</t>
  </si>
  <si>
    <t>Source:  SCAQMD CEQA Air Quality Handbook, November 1993, Tables A9-8-B, A9-8-C, A9-8-D and A9-3-E, except:Caterpiller D8 and D9 bulldozers horsepower, from http://www.cat.com</t>
  </si>
  <si>
    <t xml:space="preserve">               Caterpiller D8 and D9 bulldozers horsepower from http://www.cat.com</t>
  </si>
  <si>
    <t xml:space="preserve">               Concrete vibrator horsepower for Allen Engineering Corp. Backpack Power Unit (www.alleneng.com), load and emission factors from SCAQMD CEQA Air Quality Handbook for "Other Construction Equipment"</t>
  </si>
  <si>
    <t xml:space="preserve">               Concrete pump horsepower for Schwing P-88 (www.schwing.com), load and emission factors from SCAQMD CEQA Air Quality Handbook for "Other Construction Equipment"</t>
  </si>
  <si>
    <t xml:space="preserve">               Light plant horsepower for Ingersoll-Rand L8 (www.irco.com), load and emission factors from SCAQMD CEQA Air Quality Handbook for "Other Construction Equipment"</t>
  </si>
  <si>
    <r>
      <t xml:space="preserve">     VOC peak is during demolition at HGS, SGS and VGS;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peak is during backfill and grading at HGS, grading at SGS and foundation construction at VGS.</t>
    </r>
  </si>
  <si>
    <r>
      <t>CO peak is during foundation construction and paving at HGS, SGS and VGS;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and SO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peaks are during equipment installation at HGS, SGS and VGS;</t>
    </r>
  </si>
  <si>
    <r>
      <t>CO and total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peaks are during foundation construction and paving at HGS, SGS and VGS;</t>
    </r>
  </si>
  <si>
    <t>Daily Gasoline Use (gal)</t>
  </si>
  <si>
    <t>Total Gasoline Use (gal)</t>
  </si>
  <si>
    <t>Table 27</t>
  </si>
  <si>
    <t>Alternative B Overall Peak Daily Construction Emissions (Pre-Mitigation)</t>
  </si>
  <si>
    <t>Alternative B Peak Daily Construction Emissions by Activity (Pre-Mitigation)</t>
  </si>
  <si>
    <t>Alternative B Peak Daily Construction CO Emissions by Time (Pre-Mitigation)</t>
  </si>
  <si>
    <t>Alternative B Peak Daily Construction VOC Emissions by Time (Pre-Mitigation)</t>
  </si>
  <si>
    <r>
      <t>Alternative B Peak Daily Construction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(Pre-Mitigation)</t>
    </r>
  </si>
  <si>
    <r>
      <t>Alternative B Peak Daily Construction 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(Pre-Mitigation)</t>
    </r>
  </si>
  <si>
    <r>
      <t>Alternative B Peak Daily Total Construction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by Time (Pre-Mitigation)</t>
    </r>
  </si>
  <si>
    <t>Table 28</t>
  </si>
  <si>
    <t>Table 29-A</t>
  </si>
  <si>
    <t>Table 29-B</t>
  </si>
  <si>
    <t>Table 29-C</t>
  </si>
  <si>
    <t>Table 29-D</t>
  </si>
  <si>
    <t>Table 29-E</t>
  </si>
  <si>
    <t>Table 30</t>
  </si>
  <si>
    <t>Alternative B Overall Peak Daily Construction Emissions (Mitigated)</t>
  </si>
  <si>
    <t>Table 31</t>
  </si>
  <si>
    <t>Table 32-A</t>
  </si>
  <si>
    <t>Table 32-B</t>
  </si>
  <si>
    <t>Table 32-C</t>
  </si>
  <si>
    <t>Table 32-D</t>
  </si>
  <si>
    <t>Table 32-E</t>
  </si>
  <si>
    <t>Alternative B Peak Daily Construction Emissions by Activity (Mitigated)</t>
  </si>
  <si>
    <t>Alternative B Peak Daily Construction CO Emissions by Time (Mitigated)</t>
  </si>
  <si>
    <t>Alternative B Peak Daily Construction VOC Emissions by Time (Mitigated)</t>
  </si>
  <si>
    <r>
      <t>Alternative B Peak Daily Construction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(Mitigated)</t>
    </r>
  </si>
  <si>
    <r>
      <t>Alternative B Peak Daily Construction 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(Mitigated)</t>
    </r>
  </si>
  <si>
    <r>
      <t>Alternative B Peak Daily Construction Total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by Time (Mitigated)</t>
    </r>
  </si>
  <si>
    <t xml:space="preserve">Alternative B HGS Foundations </t>
  </si>
  <si>
    <t>Alternative B HGS Equipment Installation</t>
  </si>
  <si>
    <t>Table 34</t>
  </si>
  <si>
    <t>Alternative B Construction Fuel Use</t>
  </si>
  <si>
    <t>Table 35</t>
  </si>
  <si>
    <t>Table 36</t>
  </si>
  <si>
    <t>Table 37-A</t>
  </si>
  <si>
    <t>Table 37-B</t>
  </si>
  <si>
    <t>Table 37-C</t>
  </si>
  <si>
    <t>Table 37-D</t>
  </si>
  <si>
    <t>Table 37-E</t>
  </si>
  <si>
    <t>Table 38</t>
  </si>
  <si>
    <t>Table 39</t>
  </si>
  <si>
    <t>Table 40-A</t>
  </si>
  <si>
    <t>Table 40-B</t>
  </si>
  <si>
    <t>Table 40-C</t>
  </si>
  <si>
    <t>Table 40-D</t>
  </si>
  <si>
    <t>Table 40-E</t>
  </si>
  <si>
    <t>Alternative C Overall Peak Daily Construction Emissions (Pre-Mitigation)</t>
  </si>
  <si>
    <t>Alternative C Peak Daily Construction Emissions by Activity (Pre-Mitigation)</t>
  </si>
  <si>
    <t>Alternative C Peak Daily Construction CO Emissions by Time (Pre-Mitigation)</t>
  </si>
  <si>
    <t>Alternative C Peak Daily Construction VOC Emissions by Time (Pre-Mitigation)</t>
  </si>
  <si>
    <r>
      <t>Alternative C Peak Daily Construction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(Pre-Mitigation)</t>
    </r>
  </si>
  <si>
    <r>
      <t>Alternative C Peak Daily Construction 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(Pre-Mitigation)</t>
    </r>
  </si>
  <si>
    <r>
      <t>Alternative C Peak Daily Total Construction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by Time (Pre-Mitigation)</t>
    </r>
  </si>
  <si>
    <t>Alternative C Overall Peak Daily Construction Emissions (Mitigated)</t>
  </si>
  <si>
    <t>Alternative C Peak Daily Construction Emissions by Activity (Mitigated)</t>
  </si>
  <si>
    <t>Alternative C Peak Daily Construction CO Emissions by Time (Mitigated)</t>
  </si>
  <si>
    <t>Alternative C Peak Daily Construction VOC Emissions by Time (Mitigated)</t>
  </si>
  <si>
    <r>
      <t>Alternative C Peak Daily Construction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(Mitigated)</t>
    </r>
  </si>
  <si>
    <r>
      <t>Alternative C Peak Daily Construction 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by Time (Mitigated)</t>
    </r>
  </si>
  <si>
    <r>
      <t>Alternative C Peak Daily Construction Total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by Time (Mitigated)</t>
    </r>
  </si>
  <si>
    <t>Alternative C VGS Demolition</t>
  </si>
  <si>
    <t>Table 43</t>
  </si>
  <si>
    <t>Alternative C Construction Fuel Use</t>
  </si>
  <si>
    <t>Compressor</t>
  </si>
  <si>
    <t>CO peak is during foundation construction and paving at HGS, SGS and VGS; VOC peak is during demolition at HGS, SGS and VGS;</t>
  </si>
  <si>
    <r>
      <t xml:space="preserve">      VOC,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and SO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peaks are during equipment installation at HGS, SGS and VGS</t>
    </r>
  </si>
  <si>
    <r>
      <t>CO and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peaks are during foundation construction and paving at HGS, SGS and VGS; VOC,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and SO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peaks are during equipment installation at HGS, SGS and VGS</t>
    </r>
  </si>
  <si>
    <r>
      <t>NO</t>
    </r>
    <r>
      <rPr>
        <vertAlign val="subscript"/>
        <sz val="10"/>
        <rFont val="Arial"/>
        <family val="2"/>
      </rPr>
      <t>X</t>
    </r>
  </si>
  <si>
    <r>
      <t>SO</t>
    </r>
    <r>
      <rPr>
        <vertAlign val="subscript"/>
        <sz val="10"/>
        <rFont val="Arial"/>
        <family val="2"/>
      </rPr>
      <t>X</t>
    </r>
  </si>
  <si>
    <r>
      <t>PM</t>
    </r>
    <r>
      <rPr>
        <vertAlign val="subscript"/>
        <sz val="10"/>
        <rFont val="Arial"/>
        <family val="2"/>
      </rPr>
      <t>10</t>
    </r>
  </si>
  <si>
    <r>
      <t xml:space="preserve">    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and SO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peaks are during equipment installation at HGS, SGS and VGS;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peak is during backfill and grading at HGS, grading at SGS and foundation construction at VGS.</t>
    </r>
  </si>
  <si>
    <r>
      <t xml:space="preserve">     NO</t>
    </r>
    <r>
      <rPr>
        <vertAlign val="subscript"/>
        <sz val="8"/>
        <rFont val="Arial"/>
        <family val="2"/>
      </rPr>
      <t>X,</t>
    </r>
    <r>
      <rPr>
        <sz val="8"/>
        <rFont val="Arial"/>
        <family val="2"/>
      </rPr>
      <t xml:space="preserve"> and SO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are during equipment installation at HGH, SGS and VGS;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peak is during grading and backfilling at HGS, grading at SGS and foundations construction at VGS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</si>
</sst>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#,##0.000"/>
    <numFmt numFmtId="168" formatCode="0.000E+00"/>
  </numFmts>
  <fonts count="44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 quotePrefix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wrapText="1"/>
    </xf>
    <xf numFmtId="3" fontId="0" fillId="0" borderId="14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F37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7.57421875" style="0" customWidth="1"/>
    <col min="2" max="2" width="10.28125" style="0" bestFit="1" customWidth="1"/>
    <col min="10" max="10" width="11.28125" style="0" customWidth="1"/>
    <col min="11" max="11" width="11.421875" style="0" customWidth="1"/>
  </cols>
  <sheetData>
    <row r="1" spans="1:8" ht="12.75">
      <c r="A1" s="87" t="s">
        <v>133</v>
      </c>
      <c r="B1" s="87"/>
      <c r="C1" s="87"/>
      <c r="D1" s="87"/>
      <c r="E1" s="87"/>
      <c r="F1" s="87"/>
      <c r="G1" s="87"/>
      <c r="H1" s="87"/>
    </row>
    <row r="2" spans="1:8" ht="12.75">
      <c r="A2" s="85" t="s">
        <v>144</v>
      </c>
      <c r="B2" s="85"/>
      <c r="C2" s="85"/>
      <c r="D2" s="85"/>
      <c r="E2" s="85"/>
      <c r="F2" s="85"/>
      <c r="G2" s="85"/>
      <c r="H2" s="85"/>
    </row>
    <row r="3" spans="1:8" ht="42">
      <c r="A3" s="2" t="s">
        <v>131</v>
      </c>
      <c r="B3" s="3" t="s">
        <v>193</v>
      </c>
      <c r="C3" s="3" t="s">
        <v>194</v>
      </c>
      <c r="D3" s="3" t="s">
        <v>199</v>
      </c>
      <c r="E3" s="3" t="s">
        <v>200</v>
      </c>
      <c r="F3" s="3" t="s">
        <v>208</v>
      </c>
      <c r="G3" s="3" t="s">
        <v>209</v>
      </c>
      <c r="H3" s="3" t="s">
        <v>210</v>
      </c>
    </row>
    <row r="4" spans="1:8" ht="12.75">
      <c r="A4" s="51" t="s">
        <v>94</v>
      </c>
      <c r="B4" s="43">
        <f>FoundationsHGS!B69+PavingHGS!B69+FoundationsSGS!B68+PavingSGS!B69+FoundationsVGS!B68+PavingVGS!B69</f>
        <v>408.34224000000006</v>
      </c>
      <c r="C4" s="43">
        <f>TankDemolitionHGS!C92+SlabDemolitionSGS!C69+DemolitionVGS!C79</f>
        <v>46.244928</v>
      </c>
      <c r="D4" s="43">
        <f>'Equipment InstallationHGS'!D69+'Equipment InstallationSGS'!D69+'Equipment InstallationVGS'!D69</f>
        <v>590.5340799999999</v>
      </c>
      <c r="E4" s="43">
        <f>'Equipment InstallationHGS'!E69+'Equipment InstallationSGS'!E69+'Equipment InstallationVGS'!E69</f>
        <v>48.62256</v>
      </c>
      <c r="F4" s="43">
        <f>GradingHGS!F69+BackfillHGS!F69+GradingSGS!F69+FoundationsVGS!F68</f>
        <v>23.05704</v>
      </c>
      <c r="G4" s="43"/>
      <c r="H4" s="43">
        <f>GradingHGS!H69+BackfillHGS!H69+GradingSGS!H69+FoundationsVGS!H68</f>
        <v>23.05704</v>
      </c>
    </row>
    <row r="5" spans="1:8" ht="12.75">
      <c r="A5" s="51" t="s">
        <v>127</v>
      </c>
      <c r="B5" s="43">
        <f>FoundationsHGS!B70+PavingHGS!B70+FoundationsSGS!B69+PavingSGS!B70+FoundationsVGS!B69+PavingVGS!B70</f>
        <v>13.495282186948854</v>
      </c>
      <c r="C5" s="43">
        <f>TankDemolitionHGS!C93+SlabDemolitionSGS!C70+DemolitionVGS!C80</f>
        <v>0.8339638447971781</v>
      </c>
      <c r="D5" s="43">
        <f>'Equipment InstallationHGS'!D70+'Equipment InstallationSGS'!D70+'Equipment InstallationVGS'!D70</f>
        <v>1.6072089947089945</v>
      </c>
      <c r="E5" s="43">
        <f>'Equipment InstallationHGS'!E70+'Equipment InstallationSGS'!E70+'Equipment InstallationVGS'!E70</f>
        <v>0</v>
      </c>
      <c r="F5" s="43">
        <f>GradingHGS!F70+BackfillHGS!F70+GradingSGS!F70+FoundationsVGS!F69</f>
        <v>0.11743827160493826</v>
      </c>
      <c r="G5" s="43"/>
      <c r="H5" s="43">
        <f>GradingHGS!H70+BackfillHGS!H70+GradingSGS!H70+FoundationsVGS!H69</f>
        <v>0.11743827160493826</v>
      </c>
    </row>
    <row r="6" spans="1:8" ht="12.75">
      <c r="A6" s="51" t="s">
        <v>95</v>
      </c>
      <c r="B6" s="43"/>
      <c r="C6" s="43"/>
      <c r="D6" s="43"/>
      <c r="E6" s="43"/>
      <c r="F6" s="43"/>
      <c r="G6" s="43">
        <f>GradingHGS!G71+BackfillHGS!G71+GradingSGS!G71+FoundationsVGS!G70</f>
        <v>108.91979721550221</v>
      </c>
      <c r="H6" s="43">
        <f>GradingHGS!H71+BackfillHGS!H71+GradingSGS!H71+FoundationsVGS!H70</f>
        <v>108.91979721550221</v>
      </c>
    </row>
    <row r="7" spans="1:8" ht="12.75">
      <c r="A7" s="51" t="s">
        <v>96</v>
      </c>
      <c r="B7" s="43"/>
      <c r="C7" s="43">
        <f>TankDemolitionHGS!C95+SlabDemolitionSGS!C72+DemolitionVGS!C82</f>
        <v>0</v>
      </c>
      <c r="D7" s="43"/>
      <c r="E7" s="43"/>
      <c r="F7" s="43"/>
      <c r="G7" s="43"/>
      <c r="H7" s="43">
        <f>GradingHGS!H72+BackfillHGS!H72+GradingSGS!H72+FoundationsVGS!H71</f>
        <v>0</v>
      </c>
    </row>
    <row r="8" spans="1:8" ht="12.75">
      <c r="A8" s="51" t="s">
        <v>97</v>
      </c>
      <c r="B8" s="43"/>
      <c r="C8" s="43">
        <f>TankDemolitionHGS!C96+SlabDemolitionSGS!C73+DemolitionVGS!C83</f>
        <v>0</v>
      </c>
      <c r="D8" s="43"/>
      <c r="E8" s="43"/>
      <c r="F8" s="43"/>
      <c r="G8" s="43"/>
      <c r="H8" s="43">
        <f>GradingHGS!H73+BackfillHGS!H73+GradingSGS!H73+FoundationsVGS!H72</f>
        <v>0</v>
      </c>
    </row>
    <row r="9" spans="1:8" ht="12.75">
      <c r="A9" s="51" t="s">
        <v>189</v>
      </c>
      <c r="B9" s="43"/>
      <c r="C9" s="43">
        <f>TankDemolitionHGS!C97+DemolitionVGS!C84</f>
        <v>269.6319576176397</v>
      </c>
      <c r="D9" s="43"/>
      <c r="E9" s="43"/>
      <c r="F9" s="43"/>
      <c r="G9" s="43"/>
      <c r="H9" s="43"/>
    </row>
    <row r="10" spans="1:8" ht="12.75">
      <c r="A10" s="15" t="s">
        <v>98</v>
      </c>
      <c r="B10" s="44">
        <f>SUM(B4:B9)</f>
        <v>421.8375221869489</v>
      </c>
      <c r="C10" s="44">
        <f aca="true" t="shared" si="0" ref="C10:H10">SUM(C4:C9)</f>
        <v>316.7108494624369</v>
      </c>
      <c r="D10" s="44">
        <f t="shared" si="0"/>
        <v>592.1412889947089</v>
      </c>
      <c r="E10" s="44">
        <f t="shared" si="0"/>
        <v>48.62256</v>
      </c>
      <c r="F10" s="44">
        <f t="shared" si="0"/>
        <v>23.17447827160494</v>
      </c>
      <c r="G10" s="44">
        <f t="shared" si="0"/>
        <v>108.91979721550221</v>
      </c>
      <c r="H10" s="44">
        <f t="shared" si="0"/>
        <v>132.09427548710715</v>
      </c>
    </row>
    <row r="11" spans="1:8" ht="12.75">
      <c r="A11" s="51" t="s">
        <v>167</v>
      </c>
      <c r="B11" s="45"/>
      <c r="C11" s="45"/>
      <c r="D11" s="45"/>
      <c r="E11" s="45"/>
      <c r="F11" s="45"/>
      <c r="G11" s="45">
        <f>GradingHGS!G75+BackfillHGS!G75+GradingSGS!G75+FoundationsVGS!G74</f>
        <v>80.13363569128998</v>
      </c>
      <c r="H11" s="45">
        <f>F11+G11</f>
        <v>80.13363569128998</v>
      </c>
    </row>
    <row r="12" spans="1:8" ht="12.75">
      <c r="A12" s="51" t="s">
        <v>99</v>
      </c>
      <c r="B12" s="43">
        <f>FoundationsHGS!B77+PavingHGS!B77+FoundationsSGS!B76+PavingSGS!B77+FoundationsVGS!B76+PavingVGS!B77</f>
        <v>246.1710758377425</v>
      </c>
      <c r="C12" s="45">
        <f>TankDemolitionHGS!C100+SlabDemolitionSGS!C76+DemolitionVGS!C88</f>
        <v>9.328483245149911</v>
      </c>
      <c r="D12" s="43">
        <f>'Equipment InstallationHGS'!D76+'Equipment InstallationSGS'!D76+'Equipment InstallationVGS'!D76</f>
        <v>67.62059082892415</v>
      </c>
      <c r="E12" s="43">
        <f>'Equipment InstallationHGS'!E76+'Equipment InstallationSGS'!E76+'Equipment InstallationVGS'!E76</f>
        <v>0</v>
      </c>
      <c r="F12" s="45">
        <f>GradingHGS!F76+BackfillHGS!F76+GradingSGS!F76+FoundationsVGS!F75</f>
        <v>3.902116402116402</v>
      </c>
      <c r="G12" s="45">
        <f>GradingHGS!G76+BackfillHGS!G76+GradingSGS!G76+FoundationsVGS!G75</f>
        <v>178.31216188701904</v>
      </c>
      <c r="H12" s="45">
        <f>F12+G12</f>
        <v>182.21427828913545</v>
      </c>
    </row>
    <row r="13" spans="1:8" ht="12.75">
      <c r="A13" s="15" t="s">
        <v>168</v>
      </c>
      <c r="B13" s="44">
        <f aca="true" t="shared" si="1" ref="B13:G13">SUM(B11:B12)</f>
        <v>246.1710758377425</v>
      </c>
      <c r="C13" s="44">
        <f t="shared" si="1"/>
        <v>9.328483245149911</v>
      </c>
      <c r="D13" s="44">
        <f t="shared" si="1"/>
        <v>67.62059082892415</v>
      </c>
      <c r="E13" s="44">
        <f t="shared" si="1"/>
        <v>0</v>
      </c>
      <c r="F13" s="44">
        <f t="shared" si="1"/>
        <v>3.902116402116402</v>
      </c>
      <c r="G13" s="44">
        <f t="shared" si="1"/>
        <v>258.445797578309</v>
      </c>
      <c r="H13" s="44">
        <f>F13+G13</f>
        <v>262.3479139804254</v>
      </c>
    </row>
    <row r="14" spans="1:8" ht="12.75">
      <c r="A14" s="15" t="s">
        <v>24</v>
      </c>
      <c r="B14" s="44">
        <f>B10+B13</f>
        <v>668.0085980246914</v>
      </c>
      <c r="C14" s="44">
        <f aca="true" t="shared" si="2" ref="C14:H14">C10+C13</f>
        <v>326.0393327075868</v>
      </c>
      <c r="D14" s="44">
        <f t="shared" si="2"/>
        <v>659.7618798236331</v>
      </c>
      <c r="E14" s="44">
        <f t="shared" si="2"/>
        <v>48.62256</v>
      </c>
      <c r="F14" s="44">
        <f t="shared" si="2"/>
        <v>27.076594673721342</v>
      </c>
      <c r="G14" s="44">
        <f t="shared" si="2"/>
        <v>367.3655947938112</v>
      </c>
      <c r="H14" s="44">
        <f t="shared" si="2"/>
        <v>394.44218946753256</v>
      </c>
    </row>
    <row r="15" spans="1:8" ht="12.75">
      <c r="A15" s="68" t="s">
        <v>252</v>
      </c>
      <c r="B15" s="70">
        <v>550</v>
      </c>
      <c r="C15" s="70">
        <v>75</v>
      </c>
      <c r="D15" s="70">
        <v>100</v>
      </c>
      <c r="E15" s="70">
        <v>150</v>
      </c>
      <c r="F15" s="70"/>
      <c r="G15" s="70"/>
      <c r="H15" s="70">
        <v>150</v>
      </c>
    </row>
    <row r="16" spans="1:8" ht="12.75">
      <c r="A16" s="51" t="s">
        <v>253</v>
      </c>
      <c r="B16" s="44" t="str">
        <f>IF(B14&gt;B15,"Yes","No")</f>
        <v>Yes</v>
      </c>
      <c r="C16" s="44" t="str">
        <f>IF(C14&gt;C15,"Yes","No")</f>
        <v>Yes</v>
      </c>
      <c r="D16" s="44" t="str">
        <f>IF(D14&gt;D15,"Yes","No")</f>
        <v>Yes</v>
      </c>
      <c r="E16" s="45" t="str">
        <f>IF(E14&gt;E15,"Yes","No")</f>
        <v>No</v>
      </c>
      <c r="F16" s="44"/>
      <c r="G16" s="44"/>
      <c r="H16" s="44" t="str">
        <f>IF(H14&gt;H15,"Yes","No")</f>
        <v>Yes</v>
      </c>
    </row>
    <row r="17" ht="12.75">
      <c r="A17" s="39" t="s">
        <v>132</v>
      </c>
    </row>
    <row r="18" ht="13.5">
      <c r="A18" s="39" t="s">
        <v>297</v>
      </c>
    </row>
    <row r="19" ht="13.5">
      <c r="A19" s="39" t="s">
        <v>296</v>
      </c>
    </row>
    <row r="22" spans="1:11" ht="12.75">
      <c r="A22" s="87" t="s">
        <v>134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>
      <c r="A23" s="85" t="s">
        <v>145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32" ht="39">
      <c r="A24" s="27" t="s">
        <v>87</v>
      </c>
      <c r="B24" s="2" t="s">
        <v>101</v>
      </c>
      <c r="C24" s="3" t="s">
        <v>39</v>
      </c>
      <c r="D24" s="3" t="s">
        <v>126</v>
      </c>
      <c r="E24" s="3" t="s">
        <v>37</v>
      </c>
      <c r="F24" s="3" t="s">
        <v>38</v>
      </c>
      <c r="G24" s="3" t="s">
        <v>40</v>
      </c>
      <c r="H24" s="3" t="s">
        <v>41</v>
      </c>
      <c r="I24" s="3" t="s">
        <v>42</v>
      </c>
      <c r="J24" s="3" t="s">
        <v>274</v>
      </c>
      <c r="K24" s="75" t="s">
        <v>275</v>
      </c>
      <c r="L24" s="81"/>
      <c r="M24" s="77"/>
      <c r="N24" s="29"/>
      <c r="O24" s="78"/>
      <c r="P24" s="7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2.75">
      <c r="A25" s="5" t="str">
        <f>+TankDemolitionHGS!A$1</f>
        <v>HGS Tank Demolition</v>
      </c>
      <c r="B25" s="74" t="s">
        <v>111</v>
      </c>
      <c r="C25" s="42">
        <f>TankDemolitionHGS!B$98</f>
        <v>131.8359452275132</v>
      </c>
      <c r="D25" s="42">
        <f>TankDemolitionHGS!C$98</f>
        <v>292.9318887967147</v>
      </c>
      <c r="E25" s="42">
        <f>TankDemolitionHGS!D$98</f>
        <v>238.04909526631394</v>
      </c>
      <c r="F25" s="42">
        <f>TankDemolitionHGS!E$98</f>
        <v>20.319903999999998</v>
      </c>
      <c r="G25" s="42">
        <f>TankDemolitionHGS!F$98</f>
        <v>13.93300493121693</v>
      </c>
      <c r="H25" s="42">
        <f>TankDemolitionHGS!G$98</f>
        <v>15.962114231331839</v>
      </c>
      <c r="I25" s="42">
        <f>TankDemolitionHGS!H$98</f>
        <v>29.895119162548767</v>
      </c>
      <c r="J25" s="14">
        <v>1</v>
      </c>
      <c r="K25" s="76">
        <v>10</v>
      </c>
      <c r="L25" s="82"/>
      <c r="M25" s="79"/>
      <c r="N25" s="79"/>
      <c r="O25" s="80"/>
      <c r="P25" s="80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2.75">
      <c r="A26" s="56"/>
      <c r="B26" s="74" t="s">
        <v>112</v>
      </c>
      <c r="C26" s="42">
        <f>TankDemolitionHGS!B$101</f>
        <v>30.625044091710755</v>
      </c>
      <c r="D26" s="42">
        <f>TankDemolitionHGS!C$101</f>
        <v>4.474426807760141</v>
      </c>
      <c r="E26" s="42">
        <f>TankDemolitionHGS!D$101</f>
        <v>22.32768959435626</v>
      </c>
      <c r="F26" s="42">
        <f>TankDemolitionHGS!E$101</f>
        <v>0</v>
      </c>
      <c r="G26" s="42">
        <f>TankDemolitionHGS!F$101</f>
        <v>1.3527336860670194</v>
      </c>
      <c r="H26" s="42">
        <f>TankDemolitionHGS!G$101</f>
        <v>103.14306188919466</v>
      </c>
      <c r="I26" s="42">
        <f>TankDemolitionHGS!H$101</f>
        <v>104.49579557526168</v>
      </c>
      <c r="J26" s="14">
        <v>1</v>
      </c>
      <c r="K26" s="76">
        <v>10</v>
      </c>
      <c r="L26" s="82"/>
      <c r="M26" s="79"/>
      <c r="N26" s="79"/>
      <c r="O26" s="80"/>
      <c r="P26" s="80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2.75">
      <c r="A27" s="5" t="str">
        <f>+BackfillHGS!A$1</f>
        <v>HGS Backfill</v>
      </c>
      <c r="B27" s="74" t="s">
        <v>111</v>
      </c>
      <c r="C27" s="42">
        <f>BackfillHGS!B$74</f>
        <v>151.92707132275132</v>
      </c>
      <c r="D27" s="42">
        <f>BackfillHGS!C$74</f>
        <v>32.61926158730159</v>
      </c>
      <c r="E27" s="42">
        <f>BackfillHGS!D$74</f>
        <v>302.86940726631394</v>
      </c>
      <c r="F27" s="42">
        <f>BackfillHGS!E$74</f>
        <v>27.25184</v>
      </c>
      <c r="G27" s="42">
        <f>BackfillHGS!F$74</f>
        <v>14.720872874779541</v>
      </c>
      <c r="H27" s="42">
        <f>BackfillHGS!G$74</f>
        <v>93.15574416571152</v>
      </c>
      <c r="I27" s="42">
        <f>BackfillHGS!H$74</f>
        <v>107.87661704049107</v>
      </c>
      <c r="J27" s="14">
        <v>11</v>
      </c>
      <c r="K27" s="76">
        <v>20</v>
      </c>
      <c r="L27" s="82"/>
      <c r="M27" s="79"/>
      <c r="N27" s="79"/>
      <c r="O27" s="80"/>
      <c r="P27" s="80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2.75">
      <c r="A28" s="56"/>
      <c r="B28" s="74" t="s">
        <v>112</v>
      </c>
      <c r="C28" s="42">
        <f>BackfillHGS!B$77</f>
        <v>48.84303350970018</v>
      </c>
      <c r="D28" s="42">
        <f>BackfillHGS!C$77</f>
        <v>7.290564373897706</v>
      </c>
      <c r="E28" s="42">
        <f>BackfillHGS!D$77</f>
        <v>41.48456790123456</v>
      </c>
      <c r="F28" s="42">
        <f>BackfillHGS!E$77</f>
        <v>0</v>
      </c>
      <c r="G28" s="42">
        <f>BackfillHGS!F$77</f>
        <v>2.6014109347442678</v>
      </c>
      <c r="H28" s="42">
        <f>BackfillHGS!G$77</f>
        <v>197.32169668316112</v>
      </c>
      <c r="I28" s="42">
        <f>BackfillHGS!H$77</f>
        <v>199.9231076179054</v>
      </c>
      <c r="J28" s="14">
        <v>11</v>
      </c>
      <c r="K28" s="76">
        <v>20</v>
      </c>
      <c r="L28" s="82"/>
      <c r="M28" s="79"/>
      <c r="N28" s="79"/>
      <c r="O28" s="80"/>
      <c r="P28" s="80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2.75">
      <c r="A29" s="5" t="str">
        <f>+GradingHGS!A$1</f>
        <v>HGS Grading</v>
      </c>
      <c r="B29" s="74" t="s">
        <v>111</v>
      </c>
      <c r="C29" s="42">
        <f>GradingHGS!B$74</f>
        <v>52.030312380952374</v>
      </c>
      <c r="D29" s="42">
        <f>GradingHGS!C$74</f>
        <v>10.397080070546737</v>
      </c>
      <c r="E29" s="42">
        <f>GradingHGS!D$74</f>
        <v>78.8414514638448</v>
      </c>
      <c r="F29" s="42">
        <f>GradingHGS!E$74</f>
        <v>6.928800000000001</v>
      </c>
      <c r="G29" s="42">
        <f>GradingHGS!F$74</f>
        <v>4.477143880070546</v>
      </c>
      <c r="H29" s="42">
        <f>GradingHGS!G$74</f>
        <v>2.720367481859088</v>
      </c>
      <c r="I29" s="42">
        <f>GradingHGS!H$74</f>
        <v>7.197511361929634</v>
      </c>
      <c r="J29" s="14">
        <v>18</v>
      </c>
      <c r="K29" s="76">
        <v>20</v>
      </c>
      <c r="L29" s="82"/>
      <c r="M29" s="79"/>
      <c r="N29" s="79"/>
      <c r="O29" s="80"/>
      <c r="P29" s="80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2.75">
      <c r="A30" s="56"/>
      <c r="B30" s="74" t="s">
        <v>112</v>
      </c>
      <c r="C30" s="42">
        <f>GradingHGS!B$77</f>
        <v>1.4518518518518517</v>
      </c>
      <c r="D30" s="42">
        <f>GradingHGS!C$77</f>
        <v>0.1898148148148148</v>
      </c>
      <c r="E30" s="42">
        <f>GradingHGS!D$77</f>
        <v>0.20992063492063495</v>
      </c>
      <c r="F30" s="42">
        <f>GradingHGS!E$77</f>
        <v>0</v>
      </c>
      <c r="G30" s="42">
        <f>GradingHGS!F$77</f>
        <v>0</v>
      </c>
      <c r="H30" s="42">
        <f>GradingHGS!G$77</f>
        <v>0.14882767054190232</v>
      </c>
      <c r="I30" s="42">
        <f>GradingHGS!H$77</f>
        <v>0.14882767054190232</v>
      </c>
      <c r="J30" s="14">
        <v>18</v>
      </c>
      <c r="K30" s="76">
        <v>20</v>
      </c>
      <c r="L30" s="82"/>
      <c r="M30" s="79"/>
      <c r="N30" s="79"/>
      <c r="O30" s="80"/>
      <c r="P30" s="80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2.75">
      <c r="A31" s="5" t="str">
        <f>+FoundationsHGS!A$1</f>
        <v>HGS Foundations </v>
      </c>
      <c r="B31" s="74" t="s">
        <v>111</v>
      </c>
      <c r="C31" s="42">
        <f>FoundationsHGS!B$74</f>
        <v>254.5066582010582</v>
      </c>
      <c r="D31" s="42">
        <f>FoundationsHGS!C$74</f>
        <v>23.11844934744268</v>
      </c>
      <c r="E31" s="42">
        <f>FoundationsHGS!D$74</f>
        <v>131.5649686772487</v>
      </c>
      <c r="F31" s="42">
        <f>FoundationsHGS!E$74</f>
        <v>10.71856</v>
      </c>
      <c r="G31" s="42">
        <f>FoundationsHGS!F$74</f>
        <v>8.001243280423282</v>
      </c>
      <c r="H31" s="42">
        <f>FoundationsHGS!G$74</f>
        <v>40.00718810152328</v>
      </c>
      <c r="I31" s="42">
        <f>FoundationsHGS!H$74</f>
        <v>48.008431381946565</v>
      </c>
      <c r="J31" s="14">
        <v>21</v>
      </c>
      <c r="K31" s="76">
        <v>28</v>
      </c>
      <c r="L31" s="82"/>
      <c r="M31" s="79"/>
      <c r="N31" s="79"/>
      <c r="O31" s="80"/>
      <c r="P31" s="80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2.75">
      <c r="A32" s="56"/>
      <c r="B32" s="74" t="s">
        <v>112</v>
      </c>
      <c r="C32" s="42">
        <f>FoundationsHGS!B$77</f>
        <v>150.0299823633157</v>
      </c>
      <c r="D32" s="42">
        <f>FoundationsHGS!C$77</f>
        <v>20.212081128747794</v>
      </c>
      <c r="E32" s="42">
        <f>FoundationsHGS!D$77</f>
        <v>44.41137566137566</v>
      </c>
      <c r="F32" s="42">
        <f>FoundationsHGS!E$77</f>
        <v>0</v>
      </c>
      <c r="G32" s="42">
        <f>FoundationsHGS!F$77</f>
        <v>1.7169312169312168</v>
      </c>
      <c r="H32" s="42">
        <f>FoundationsHGS!G$77</f>
        <v>89.41900525793463</v>
      </c>
      <c r="I32" s="42">
        <f>FoundationsHGS!H$77</f>
        <v>91.13593647486584</v>
      </c>
      <c r="J32" s="14">
        <v>21</v>
      </c>
      <c r="K32" s="76">
        <v>28</v>
      </c>
      <c r="L32" s="82"/>
      <c r="M32" s="79"/>
      <c r="N32" s="79"/>
      <c r="O32" s="80"/>
      <c r="P32" s="80"/>
      <c r="Q32" s="67"/>
      <c r="R32" s="29"/>
      <c r="S32" s="23"/>
      <c r="T32" s="67"/>
      <c r="U32" s="67"/>
      <c r="V32" s="67"/>
      <c r="W32" s="67"/>
      <c r="X32" s="67"/>
      <c r="Y32" s="67"/>
      <c r="Z32" s="67"/>
      <c r="AA32" s="80"/>
      <c r="AB32" s="80"/>
      <c r="AC32" s="79"/>
      <c r="AD32" s="29"/>
      <c r="AE32" s="29"/>
      <c r="AF32" s="29"/>
    </row>
    <row r="33" spans="1:32" ht="12.75">
      <c r="A33" s="5" t="str">
        <f>+PavingHGS!A$1</f>
        <v>HGS Paving</v>
      </c>
      <c r="B33" s="74" t="s">
        <v>111</v>
      </c>
      <c r="C33" s="42">
        <f>PavingHGS!B$74</f>
        <v>47.72576888888889</v>
      </c>
      <c r="D33" s="42">
        <f>PavingHGS!C$74</f>
        <v>9.670684329169621</v>
      </c>
      <c r="E33" s="42">
        <f>PavingHGS!D$74</f>
        <v>68.83219238095238</v>
      </c>
      <c r="F33" s="42">
        <f>PavingHGS!E$74</f>
        <v>5.76544</v>
      </c>
      <c r="G33" s="42">
        <f>PavingHGS!F$74</f>
        <v>3.9127698765432095</v>
      </c>
      <c r="H33" s="42">
        <f>PavingHGS!G$74</f>
        <v>5.156307070129659</v>
      </c>
      <c r="I33" s="42">
        <f>PavingHGS!H$74</f>
        <v>9.069076946672869</v>
      </c>
      <c r="J33" s="14">
        <v>21</v>
      </c>
      <c r="K33" s="76">
        <v>28</v>
      </c>
      <c r="L33" s="82"/>
      <c r="M33" s="79"/>
      <c r="N33" s="79"/>
      <c r="O33" s="80"/>
      <c r="P33" s="80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2.75">
      <c r="A34" s="56"/>
      <c r="B34" s="74" t="s">
        <v>112</v>
      </c>
      <c r="C34" s="42">
        <f>PavingHGS!B$77</f>
        <v>21.385185185185186</v>
      </c>
      <c r="D34" s="42">
        <f>PavingHGS!C$77</f>
        <v>3.175925925925926</v>
      </c>
      <c r="E34" s="42">
        <f>PavingHGS!D$77</f>
        <v>17.5494708994709</v>
      </c>
      <c r="F34" s="42">
        <f>PavingHGS!E$77</f>
        <v>0</v>
      </c>
      <c r="G34" s="42">
        <f>PavingHGS!F$77</f>
        <v>1.0925925925925926</v>
      </c>
      <c r="H34" s="42">
        <f>PavingHGS!G$77</f>
        <v>49.308282218911025</v>
      </c>
      <c r="I34" s="42">
        <f>PavingHGS!H$77</f>
        <v>50.40087481150362</v>
      </c>
      <c r="J34" s="14">
        <v>21</v>
      </c>
      <c r="K34" s="76">
        <v>28</v>
      </c>
      <c r="L34" s="82"/>
      <c r="M34" s="79"/>
      <c r="N34" s="79"/>
      <c r="O34" s="80"/>
      <c r="P34" s="80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5" t="str">
        <f>+'Equipment InstallationHGS'!A$1</f>
        <v>HGS Equipment Installation</v>
      </c>
      <c r="B35" s="74" t="s">
        <v>111</v>
      </c>
      <c r="C35" s="42">
        <f>'Equipment InstallationHGS'!B$74</f>
        <v>179.9849588712522</v>
      </c>
      <c r="D35" s="42">
        <f>'Equipment InstallationHGS'!C$74</f>
        <v>75.95464649029982</v>
      </c>
      <c r="E35" s="42">
        <f>'Equipment InstallationHGS'!D$74</f>
        <v>341.5365085008818</v>
      </c>
      <c r="F35" s="42">
        <f>'Equipment InstallationHGS'!E$74</f>
        <v>27.257599999999996</v>
      </c>
      <c r="G35" s="42">
        <f>'Equipment InstallationHGS'!F$74</f>
        <v>19.54908705467372</v>
      </c>
      <c r="H35" s="42">
        <f>'Equipment InstallationHGS'!G$74</f>
        <v>18.755146205152037</v>
      </c>
      <c r="I35" s="42">
        <f>'Equipment InstallationHGS'!H$74</f>
        <v>38.30423325982576</v>
      </c>
      <c r="J35" s="14">
        <v>29</v>
      </c>
      <c r="K35" s="76">
        <v>150</v>
      </c>
      <c r="L35" s="82"/>
      <c r="M35" s="79"/>
      <c r="N35" s="79"/>
      <c r="O35" s="80"/>
      <c r="P35" s="80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2.75">
      <c r="A36" s="56"/>
      <c r="B36" s="74" t="s">
        <v>112</v>
      </c>
      <c r="C36" s="42">
        <f>'Equipment InstallationHGS'!B$77</f>
        <v>202.38095238095235</v>
      </c>
      <c r="D36" s="42">
        <f>'Equipment InstallationHGS'!C$77</f>
        <v>26.64021164021164</v>
      </c>
      <c r="E36" s="42">
        <f>'Equipment InstallationHGS'!D$77</f>
        <v>36.14638447971781</v>
      </c>
      <c r="F36" s="42">
        <f>'Equipment InstallationHGS'!E$77</f>
        <v>0</v>
      </c>
      <c r="G36" s="42">
        <f>'Equipment InstallationHGS'!F$77</f>
        <v>0.5202821869488536</v>
      </c>
      <c r="H36" s="42">
        <f>'Equipment InstallationHGS'!G$77</f>
        <v>43.182083156933274</v>
      </c>
      <c r="I36" s="42">
        <f>'Equipment InstallationHGS'!H$77</f>
        <v>43.70236534388213</v>
      </c>
      <c r="J36" s="14">
        <v>29</v>
      </c>
      <c r="K36" s="76">
        <v>150</v>
      </c>
      <c r="L36" s="82"/>
      <c r="M36" s="79"/>
      <c r="N36" s="79"/>
      <c r="O36" s="80"/>
      <c r="P36" s="80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2.75">
      <c r="A37" s="5" t="str">
        <f>SlabDemolitionSGS!A$1</f>
        <v>SGS Slab Demolition</v>
      </c>
      <c r="B37" s="74" t="s">
        <v>111</v>
      </c>
      <c r="C37" s="42">
        <f>SlabDemolitionSGS!B$74</f>
        <v>40.55226793650794</v>
      </c>
      <c r="D37" s="42">
        <f>SlabDemolitionSGS!C$74</f>
        <v>7.384035361552028</v>
      </c>
      <c r="E37" s="42">
        <f>SlabDemolitionSGS!D$74</f>
        <v>54.87344158730159</v>
      </c>
      <c r="F37" s="42">
        <f>SlabDemolitionSGS!E$74</f>
        <v>4.94304</v>
      </c>
      <c r="G37" s="42">
        <f>SlabDemolitionSGS!F$74</f>
        <v>2.745291287477954</v>
      </c>
      <c r="H37" s="42">
        <f>SlabDemolitionSGS!G$74</f>
        <v>5.767812861078884</v>
      </c>
      <c r="I37" s="42">
        <f>SlabDemolitionSGS!H$74</f>
        <v>8.513104148556838</v>
      </c>
      <c r="J37" s="14">
        <v>1</v>
      </c>
      <c r="K37" s="76">
        <v>10</v>
      </c>
      <c r="L37" s="82"/>
      <c r="M37" s="79"/>
      <c r="N37" s="79"/>
      <c r="O37" s="80"/>
      <c r="P37" s="80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2.75">
      <c r="A38" s="56"/>
      <c r="B38" s="74" t="s">
        <v>112</v>
      </c>
      <c r="C38" s="42">
        <f>SlabDemolitionSGS!B$77</f>
        <v>16.500881834215168</v>
      </c>
      <c r="D38" s="42">
        <f>SlabDemolitionSGS!C$77</f>
        <v>2.446869488536155</v>
      </c>
      <c r="E38" s="42">
        <f>SlabDemolitionSGS!D$77</f>
        <v>13.401014109347441</v>
      </c>
      <c r="F38" s="42">
        <f>SlabDemolitionSGS!E$77</f>
        <v>0</v>
      </c>
      <c r="G38" s="42">
        <f>SlabDemolitionSGS!F$77</f>
        <v>0.8324514991181656</v>
      </c>
      <c r="H38" s="42">
        <f>SlabDemolitionSGS!G$77</f>
        <v>63.2322395409367</v>
      </c>
      <c r="I38" s="42">
        <f>SlabDemolitionSGS!H$77</f>
        <v>64.06469104005487</v>
      </c>
      <c r="J38" s="14">
        <v>1</v>
      </c>
      <c r="K38" s="76">
        <v>10</v>
      </c>
      <c r="L38" s="82"/>
      <c r="M38" s="79"/>
      <c r="N38" s="79"/>
      <c r="O38" s="80"/>
      <c r="P38" s="80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2.75">
      <c r="A39" s="5" t="str">
        <f>GradingSGS!A$1</f>
        <v>SGS Grading</v>
      </c>
      <c r="B39" s="74" t="s">
        <v>111</v>
      </c>
      <c r="C39" s="42">
        <f>GradingSGS!B$74</f>
        <v>22.042837248677248</v>
      </c>
      <c r="D39" s="42">
        <f>GradingSGS!C$74</f>
        <v>5.905019206349206</v>
      </c>
      <c r="E39" s="42">
        <f>GradingSGS!D$74</f>
        <v>42.44424585537919</v>
      </c>
      <c r="F39" s="42">
        <f>GradingSGS!E$74</f>
        <v>3.89328</v>
      </c>
      <c r="G39" s="42">
        <f>GradingSGS!F$74</f>
        <v>2.200503880070547</v>
      </c>
      <c r="H39" s="42">
        <f>GradingSGS!G$74</f>
        <v>3.650305930902733</v>
      </c>
      <c r="I39" s="42">
        <f>GradingSGS!H$74</f>
        <v>5.85080981097328</v>
      </c>
      <c r="J39" s="14">
        <v>18</v>
      </c>
      <c r="K39" s="76">
        <v>20</v>
      </c>
      <c r="L39" s="82"/>
      <c r="M39" s="79"/>
      <c r="N39" s="79"/>
      <c r="O39" s="80"/>
      <c r="P39" s="80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2.75">
      <c r="A40" s="56"/>
      <c r="B40" s="74" t="s">
        <v>112</v>
      </c>
      <c r="C40" s="42">
        <f>GradingSGS!B$77</f>
        <v>1.4518518518518517</v>
      </c>
      <c r="D40" s="42">
        <f>GradingSGS!C$77</f>
        <v>0.1898148148148148</v>
      </c>
      <c r="E40" s="42">
        <f>GradingSGS!D$77</f>
        <v>0.20992063492063495</v>
      </c>
      <c r="F40" s="42">
        <f>GradingSGS!E$77</f>
        <v>0</v>
      </c>
      <c r="G40" s="42">
        <f>GradingSGS!F$77</f>
        <v>0</v>
      </c>
      <c r="H40" s="42">
        <f>GradingSGS!G$77</f>
        <v>0.14882767054190232</v>
      </c>
      <c r="I40" s="42">
        <f>GradingSGS!H$77</f>
        <v>0.14882767054190232</v>
      </c>
      <c r="J40" s="14">
        <v>18</v>
      </c>
      <c r="K40" s="76">
        <v>20</v>
      </c>
      <c r="L40" s="82"/>
      <c r="M40" s="79"/>
      <c r="N40" s="79"/>
      <c r="O40" s="80"/>
      <c r="P40" s="8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2.75">
      <c r="A41" s="5" t="str">
        <f>FoundationsSGS!A$1</f>
        <v>SGS Foundations </v>
      </c>
      <c r="B41" s="74" t="s">
        <v>111</v>
      </c>
      <c r="C41" s="42">
        <f>FoundationsSGS!B$73</f>
        <v>31.603055026455028</v>
      </c>
      <c r="D41" s="42">
        <f>FoundationsSGS!C$73</f>
        <v>3.2240066666666665</v>
      </c>
      <c r="E41" s="42">
        <f>FoundationsSGS!D$73</f>
        <v>20.58567343915344</v>
      </c>
      <c r="F41" s="42">
        <f>FoundationsSGS!E$73</f>
        <v>1.67896</v>
      </c>
      <c r="G41" s="42">
        <f>FoundationsSGS!F$73</f>
        <v>1.261565643738977</v>
      </c>
      <c r="H41" s="42">
        <f>FoundationsSGS!G$73</f>
        <v>5.428471079891953</v>
      </c>
      <c r="I41" s="42">
        <f>FoundationsSGS!H$73</f>
        <v>6.6900367236309295</v>
      </c>
      <c r="J41" s="14">
        <v>21</v>
      </c>
      <c r="K41" s="76">
        <v>28</v>
      </c>
      <c r="L41" s="82"/>
      <c r="M41" s="79"/>
      <c r="N41" s="79"/>
      <c r="O41" s="80"/>
      <c r="P41" s="80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2.75">
      <c r="A42" s="56"/>
      <c r="B42" s="74" t="s">
        <v>112</v>
      </c>
      <c r="C42" s="42">
        <f>FoundationsSGS!B$76</f>
        <v>13.331922398589064</v>
      </c>
      <c r="D42" s="42">
        <f>FoundationsSGS!C$76</f>
        <v>1.8877865961199294</v>
      </c>
      <c r="E42" s="42">
        <f>FoundationsSGS!D$76</f>
        <v>7.435229276895943</v>
      </c>
      <c r="F42" s="42">
        <f>FoundationsSGS!E$76</f>
        <v>0</v>
      </c>
      <c r="G42" s="42">
        <f>FoundationsSGS!F$76</f>
        <v>0.4162257495590828</v>
      </c>
      <c r="H42" s="42">
        <f>FoundationsSGS!G$76</f>
        <v>19.315634906758614</v>
      </c>
      <c r="I42" s="42">
        <f>FoundationsSGS!H$76</f>
        <v>19.731860656317696</v>
      </c>
      <c r="J42" s="14">
        <v>21</v>
      </c>
      <c r="K42" s="76">
        <v>28</v>
      </c>
      <c r="L42" s="82"/>
      <c r="M42" s="79"/>
      <c r="N42" s="79"/>
      <c r="O42" s="80"/>
      <c r="P42" s="8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2.75">
      <c r="A43" s="5" t="str">
        <f>PavingSGS!A$1</f>
        <v>SGS Paving</v>
      </c>
      <c r="B43" s="74" t="s">
        <v>111</v>
      </c>
      <c r="C43" s="42">
        <f>PavingSGS!B$74</f>
        <v>16.777976296296295</v>
      </c>
      <c r="D43" s="42">
        <f>PavingSGS!C$74</f>
        <v>2.5303883834251533</v>
      </c>
      <c r="E43" s="42">
        <f>PavingSGS!D$74</f>
        <v>32.1276455026455</v>
      </c>
      <c r="F43" s="42">
        <f>PavingSGS!E$74</f>
        <v>2.72992</v>
      </c>
      <c r="G43" s="42">
        <f>PavingSGS!F$74</f>
        <v>1.6257242328042325</v>
      </c>
      <c r="H43" s="42">
        <f>PavingSGS!G$74</f>
        <v>2.726090440785618</v>
      </c>
      <c r="I43" s="42">
        <f>PavingSGS!H$74</f>
        <v>4.351814673589851</v>
      </c>
      <c r="J43" s="14">
        <v>21</v>
      </c>
      <c r="K43" s="76">
        <v>28</v>
      </c>
      <c r="L43" s="82"/>
      <c r="M43" s="79"/>
      <c r="N43" s="79"/>
      <c r="O43" s="80"/>
      <c r="P43" s="80"/>
      <c r="Q43" s="67"/>
      <c r="R43" s="67"/>
      <c r="S43" s="67"/>
      <c r="T43" s="67"/>
      <c r="U43" s="67"/>
      <c r="V43" s="67"/>
      <c r="W43" s="67"/>
      <c r="X43" s="80"/>
      <c r="Y43" s="80"/>
      <c r="Z43" s="57"/>
      <c r="AA43" s="57"/>
      <c r="AB43" s="79"/>
      <c r="AC43" s="79"/>
      <c r="AD43" s="29"/>
      <c r="AE43" s="29"/>
      <c r="AF43" s="29"/>
    </row>
    <row r="44" spans="1:32" ht="12.75">
      <c r="A44" s="56"/>
      <c r="B44" s="74" t="s">
        <v>112</v>
      </c>
      <c r="C44" s="42">
        <f>PavingSGS!B$77</f>
        <v>6.732275132275133</v>
      </c>
      <c r="D44" s="42">
        <f>PavingSGS!C$77</f>
        <v>0.9887566137566136</v>
      </c>
      <c r="E44" s="42">
        <f>PavingSGS!D$77</f>
        <v>5.104100529100529</v>
      </c>
      <c r="F44" s="42">
        <f>PavingSGS!E$77</f>
        <v>0</v>
      </c>
      <c r="G44" s="42">
        <f>PavingSGS!F$77</f>
        <v>0.31216931216931215</v>
      </c>
      <c r="H44" s="42">
        <f>PavingSGS!G$77</f>
        <v>14.151863921349678</v>
      </c>
      <c r="I44" s="42">
        <f>PavingSGS!H$77</f>
        <v>14.46403323351899</v>
      </c>
      <c r="J44" s="14">
        <v>21</v>
      </c>
      <c r="K44" s="76">
        <v>28</v>
      </c>
      <c r="L44" s="82"/>
      <c r="M44" s="79"/>
      <c r="N44" s="79"/>
      <c r="O44" s="80"/>
      <c r="P44" s="80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>
      <c r="A45" s="5" t="str">
        <f>'Equipment InstallationSGS'!A$1</f>
        <v>SGS Equipment Installation</v>
      </c>
      <c r="B45" s="74" t="s">
        <v>111</v>
      </c>
      <c r="C45" s="42">
        <f>'Equipment InstallationSGS'!B$74</f>
        <v>64.06863915343915</v>
      </c>
      <c r="D45" s="42">
        <f>'Equipment InstallationSGS'!C$74</f>
        <v>48.85808971781305</v>
      </c>
      <c r="E45" s="42">
        <f>'Equipment InstallationSGS'!D$74</f>
        <v>119.92384391534392</v>
      </c>
      <c r="F45" s="42">
        <f>'Equipment InstallationSGS'!E$74</f>
        <v>10.365120000000001</v>
      </c>
      <c r="G45" s="42">
        <f>'Equipment InstallationSGS'!F$74</f>
        <v>6.747987760141093</v>
      </c>
      <c r="H45" s="42">
        <f>'Equipment InstallationSGS'!G$74</f>
        <v>7.270891719966053</v>
      </c>
      <c r="I45" s="42">
        <f>'Equipment InstallationSGS'!H$74</f>
        <v>14.018879480107145</v>
      </c>
      <c r="J45" s="14">
        <v>29</v>
      </c>
      <c r="K45" s="76">
        <v>150</v>
      </c>
      <c r="L45" s="82"/>
      <c r="M45" s="79"/>
      <c r="N45" s="79"/>
      <c r="O45" s="80"/>
      <c r="P45" s="80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56"/>
      <c r="B46" s="74" t="s">
        <v>112</v>
      </c>
      <c r="C46" s="42">
        <f>'Equipment InstallationSGS'!B$77</f>
        <v>58.075837742504405</v>
      </c>
      <c r="D46" s="42">
        <f>'Equipment InstallationSGS'!C$77</f>
        <v>7.791887125220459</v>
      </c>
      <c r="E46" s="42">
        <f>'Equipment InstallationSGS'!D$77</f>
        <v>15.970017636684302</v>
      </c>
      <c r="F46" s="42">
        <f>'Equipment InstallationSGS'!E$77</f>
        <v>0</v>
      </c>
      <c r="G46" s="42">
        <f>'Equipment InstallationSGS'!F$77</f>
        <v>0.572310405643739</v>
      </c>
      <c r="H46" s="42">
        <f>'Equipment InstallationSGS'!G$77</f>
        <v>31.133155477877672</v>
      </c>
      <c r="I46" s="42">
        <f>'Equipment InstallationSGS'!H$77</f>
        <v>31.705465883521413</v>
      </c>
      <c r="J46" s="14">
        <v>29</v>
      </c>
      <c r="K46" s="76">
        <v>150</v>
      </c>
      <c r="L46" s="82"/>
      <c r="M46" s="79"/>
      <c r="N46" s="79"/>
      <c r="O46" s="80"/>
      <c r="P46" s="80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75">
      <c r="A47" s="5" t="str">
        <f>DemolitionVGS!A$1</f>
        <v>VGS Demolition</v>
      </c>
      <c r="B47" s="74" t="s">
        <v>111</v>
      </c>
      <c r="C47" s="42">
        <f>DemolitionVGS!B$85</f>
        <v>84.01033402469135</v>
      </c>
      <c r="D47" s="42">
        <f>DemolitionVGS!C$85</f>
        <v>16.39492530417014</v>
      </c>
      <c r="E47" s="42">
        <f>DemolitionVGS!D$85</f>
        <v>143.24048505820105</v>
      </c>
      <c r="F47" s="42">
        <f>DemolitionVGS!E$85</f>
        <v>12.615391999999998</v>
      </c>
      <c r="G47" s="42">
        <f>DemolitionVGS!F$85</f>
        <v>7.947512465608465</v>
      </c>
      <c r="H47" s="42">
        <f>DemolitionVGS!G$85</f>
        <v>4.856481625074871</v>
      </c>
      <c r="I47" s="42">
        <f>DemolitionVGS!H$85</f>
        <v>12.803994090683336</v>
      </c>
      <c r="J47" s="14">
        <v>1</v>
      </c>
      <c r="K47" s="76">
        <v>10</v>
      </c>
      <c r="L47" s="82"/>
      <c r="M47" s="79"/>
      <c r="N47" s="79"/>
      <c r="O47" s="80"/>
      <c r="P47" s="80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2.75">
      <c r="A48" s="56"/>
      <c r="B48" s="74" t="s">
        <v>112</v>
      </c>
      <c r="C48" s="42">
        <f>DemolitionVGS!B$88</f>
        <v>17.027865961199293</v>
      </c>
      <c r="D48" s="42">
        <f>DemolitionVGS!C$88</f>
        <v>2.4071869488536155</v>
      </c>
      <c r="E48" s="42">
        <f>DemolitionVGS!D$88</f>
        <v>9.346516754850088</v>
      </c>
      <c r="F48" s="42">
        <f>DemolitionVGS!E$88</f>
        <v>0</v>
      </c>
      <c r="G48" s="42">
        <f>DemolitionVGS!F$88</f>
        <v>0.5202821869488536</v>
      </c>
      <c r="H48" s="42">
        <f>DemolitionVGS!G$88</f>
        <v>40.20847768934174</v>
      </c>
      <c r="I48" s="42">
        <f>DemolitionVGS!H$88</f>
        <v>40.728759876290596</v>
      </c>
      <c r="J48" s="14">
        <v>1</v>
      </c>
      <c r="K48" s="76">
        <v>10</v>
      </c>
      <c r="L48" s="82"/>
      <c r="M48" s="79"/>
      <c r="N48" s="79"/>
      <c r="O48" s="80"/>
      <c r="P48" s="80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2.75">
      <c r="A49" s="5" t="str">
        <f>GradingVGS!A$1</f>
        <v>VGS Grading</v>
      </c>
      <c r="B49" s="74" t="s">
        <v>111</v>
      </c>
      <c r="C49" s="42">
        <f>GradingVGS!B$74</f>
        <v>21.67511238095238</v>
      </c>
      <c r="D49" s="42">
        <f>GradingVGS!C$74</f>
        <v>5.843800070546737</v>
      </c>
      <c r="E49" s="42">
        <f>GradingVGS!D$74</f>
        <v>42.4152114638448</v>
      </c>
      <c r="F49" s="42">
        <f>GradingVGS!E$74</f>
        <v>3.89328</v>
      </c>
      <c r="G49" s="42">
        <f>GradingVGS!F$74</f>
        <v>2.200503880070547</v>
      </c>
      <c r="H49" s="42">
        <f>GradingVGS!G$74</f>
        <v>2.720367481859088</v>
      </c>
      <c r="I49" s="42">
        <f>GradingVGS!H$74</f>
        <v>4.920871361929635</v>
      </c>
      <c r="J49" s="14">
        <v>11</v>
      </c>
      <c r="K49" s="76">
        <v>15</v>
      </c>
      <c r="L49" s="82"/>
      <c r="M49" s="79"/>
      <c r="N49" s="79"/>
      <c r="O49" s="80"/>
      <c r="P49" s="80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2.75">
      <c r="A50" s="56"/>
      <c r="B50" s="74" t="s">
        <v>112</v>
      </c>
      <c r="C50" s="42">
        <f>GradingVGS!B$77</f>
        <v>1.4518518518518517</v>
      </c>
      <c r="D50" s="42">
        <f>GradingVGS!C$77</f>
        <v>0.1898148148148148</v>
      </c>
      <c r="E50" s="42">
        <f>GradingVGS!D$77</f>
        <v>0.20992063492063495</v>
      </c>
      <c r="F50" s="42">
        <f>GradingVGS!E$77</f>
        <v>0</v>
      </c>
      <c r="G50" s="42">
        <f>GradingVGS!F$77</f>
        <v>0</v>
      </c>
      <c r="H50" s="42">
        <f>GradingVGS!G$77</f>
        <v>0.14882767054190232</v>
      </c>
      <c r="I50" s="42">
        <f>GradingVGS!H$77</f>
        <v>0.14882767054190232</v>
      </c>
      <c r="J50" s="14">
        <v>11</v>
      </c>
      <c r="K50" s="76">
        <v>15</v>
      </c>
      <c r="L50" s="82"/>
      <c r="M50" s="79"/>
      <c r="N50" s="79"/>
      <c r="O50" s="80"/>
      <c r="P50" s="80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2.75">
      <c r="A51" s="5" t="str">
        <f>FoundationsVGS!A$1</f>
        <v>VGS Foundations </v>
      </c>
      <c r="B51" s="74" t="s">
        <v>111</v>
      </c>
      <c r="C51" s="42">
        <f>FoundationsVGS!B$73</f>
        <v>54.120073368606704</v>
      </c>
      <c r="D51" s="42">
        <f>FoundationsVGS!C$73</f>
        <v>5.0438423985890655</v>
      </c>
      <c r="E51" s="42">
        <f>FoundationsVGS!D$73</f>
        <v>29.340466172839506</v>
      </c>
      <c r="F51" s="42">
        <f>FoundationsVGS!E$73</f>
        <v>2.34608</v>
      </c>
      <c r="G51" s="42">
        <f>FoundationsVGS!F$73</f>
        <v>1.7759576366843035</v>
      </c>
      <c r="H51" s="42">
        <f>FoundationsVGS!G$73</f>
        <v>9.393379637028875</v>
      </c>
      <c r="I51" s="42">
        <f>FoundationsVGS!H$73</f>
        <v>11.169337273713179</v>
      </c>
      <c r="J51" s="14">
        <v>16</v>
      </c>
      <c r="K51" s="76">
        <v>22</v>
      </c>
      <c r="L51" s="82"/>
      <c r="M51" s="79"/>
      <c r="N51" s="79"/>
      <c r="O51" s="80"/>
      <c r="P51" s="80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2.75">
      <c r="A52" s="56"/>
      <c r="B52" s="74" t="s">
        <v>112</v>
      </c>
      <c r="C52" s="42">
        <f>FoundationsVGS!B$76</f>
        <v>46.19929453262786</v>
      </c>
      <c r="D52" s="42">
        <f>FoundationsVGS!C$76</f>
        <v>6.492504409171076</v>
      </c>
      <c r="E52" s="42">
        <f>FoundationsVGS!D$76</f>
        <v>23.891093474426803</v>
      </c>
      <c r="F52" s="42">
        <f>FoundationsVGS!E$76</f>
        <v>0</v>
      </c>
      <c r="G52" s="42">
        <f>FoundationsVGS!F$76</f>
        <v>1.3007054673721339</v>
      </c>
      <c r="H52" s="42">
        <f>FoundationsVGS!G$76</f>
        <v>60.82644555406411</v>
      </c>
      <c r="I52" s="42">
        <f>FoundationsVGS!H$76</f>
        <v>62.12715102143624</v>
      </c>
      <c r="J52" s="14">
        <v>16</v>
      </c>
      <c r="K52" s="76">
        <v>22</v>
      </c>
      <c r="L52" s="82"/>
      <c r="M52" s="79"/>
      <c r="N52" s="79"/>
      <c r="O52" s="80"/>
      <c r="P52" s="80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2.75">
      <c r="A53" s="5" t="str">
        <f>PavingVGS!A$1</f>
        <v>VGS Paving</v>
      </c>
      <c r="B53" s="74" t="s">
        <v>111</v>
      </c>
      <c r="C53" s="42">
        <f>PavingVGS!B$74</f>
        <v>17.10399040564374</v>
      </c>
      <c r="D53" s="42">
        <f>PavingVGS!C$74</f>
        <v>3.01995261186567</v>
      </c>
      <c r="E53" s="42">
        <f>PavingVGS!D$74</f>
        <v>32.2102733686067</v>
      </c>
      <c r="F53" s="42">
        <f>PavingVGS!E$74</f>
        <v>2.72992</v>
      </c>
      <c r="G53" s="42">
        <f>PavingVGS!F$74</f>
        <v>1.6283256437389768</v>
      </c>
      <c r="H53" s="42">
        <f>PavingVGS!G$74</f>
        <v>3.3336445981216283</v>
      </c>
      <c r="I53" s="42">
        <f>PavingVGS!H$74</f>
        <v>4.961970241860605</v>
      </c>
      <c r="J53" s="14">
        <v>21</v>
      </c>
      <c r="K53" s="76">
        <v>25</v>
      </c>
      <c r="L53" s="82"/>
      <c r="M53" s="79"/>
      <c r="N53" s="79"/>
      <c r="O53" s="80"/>
      <c r="P53" s="80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>
      <c r="A54" s="56"/>
      <c r="B54" s="74" t="s">
        <v>112</v>
      </c>
      <c r="C54" s="42">
        <f>PavingVGS!B$77</f>
        <v>8.492416225749558</v>
      </c>
      <c r="D54" s="42">
        <f>PavingVGS!C$77</f>
        <v>1.2550705467372134</v>
      </c>
      <c r="E54" s="42">
        <f>PavingVGS!D$77</f>
        <v>6.735493827160493</v>
      </c>
      <c r="F54" s="42">
        <f>PavingVGS!E$77</f>
        <v>0</v>
      </c>
      <c r="G54" s="42">
        <f>PavingVGS!F$77</f>
        <v>0.4162257495590828</v>
      </c>
      <c r="H54" s="42">
        <f>PavingVGS!G$77</f>
        <v>18.81954267161894</v>
      </c>
      <c r="I54" s="42">
        <f>PavingVGS!H$77</f>
        <v>19.235768421178022</v>
      </c>
      <c r="J54" s="14">
        <v>21</v>
      </c>
      <c r="K54" s="76">
        <v>25</v>
      </c>
      <c r="L54" s="82"/>
      <c r="M54" s="79"/>
      <c r="N54" s="79"/>
      <c r="O54" s="80"/>
      <c r="P54" s="80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2.75">
      <c r="A55" s="5" t="str">
        <f>'Equipment InstallationVGS'!A$1</f>
        <v>VGS Equipment Installation</v>
      </c>
      <c r="B55" s="74" t="s">
        <v>111</v>
      </c>
      <c r="C55" s="42">
        <f>'Equipment InstallationVGS'!B$74</f>
        <v>74.48057636684304</v>
      </c>
      <c r="D55" s="42">
        <f>'Equipment InstallationVGS'!C$74</f>
        <v>22.55998532627866</v>
      </c>
      <c r="E55" s="42">
        <f>'Equipment InstallationVGS'!D$74</f>
        <v>130.68093657848323</v>
      </c>
      <c r="F55" s="42">
        <f>'Equipment InstallationVGS'!E$74</f>
        <v>10.99984</v>
      </c>
      <c r="G55" s="42">
        <f>'Equipment InstallationVGS'!F$74</f>
        <v>7.3976470546737225</v>
      </c>
      <c r="H55" s="42">
        <f>'Equipment InstallationVGS'!G$74</f>
        <v>7.882397510915277</v>
      </c>
      <c r="I55" s="42">
        <f>'Equipment InstallationVGS'!H$74</f>
        <v>15.280044565589</v>
      </c>
      <c r="J55" s="14">
        <v>29</v>
      </c>
      <c r="K55" s="76">
        <v>150</v>
      </c>
      <c r="L55" s="82"/>
      <c r="M55" s="79"/>
      <c r="N55" s="79"/>
      <c r="O55" s="80"/>
      <c r="P55" s="80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2.75">
      <c r="A56" s="56"/>
      <c r="B56" s="74" t="s">
        <v>112</v>
      </c>
      <c r="C56" s="42">
        <f>'Equipment InstallationVGS'!B$77</f>
        <v>59.61552028218694</v>
      </c>
      <c r="D56" s="42">
        <f>'Equipment InstallationVGS'!C$77</f>
        <v>7.975088183421517</v>
      </c>
      <c r="E56" s="42">
        <f>'Equipment InstallationVGS'!D$77</f>
        <v>15.504188712522044</v>
      </c>
      <c r="F56" s="42">
        <f>'Equipment InstallationVGS'!E$77</f>
        <v>0</v>
      </c>
      <c r="G56" s="42">
        <f>'Equipment InstallationVGS'!F$77</f>
        <v>0.5202821869488536</v>
      </c>
      <c r="H56" s="42">
        <f>'Equipment InstallationVGS'!G$77</f>
        <v>28.54736222031288</v>
      </c>
      <c r="I56" s="42">
        <f>'Equipment InstallationVGS'!H$77</f>
        <v>29.067644407261735</v>
      </c>
      <c r="J56" s="14">
        <v>29</v>
      </c>
      <c r="K56" s="76">
        <v>150</v>
      </c>
      <c r="L56" s="82"/>
      <c r="M56" s="79"/>
      <c r="N56" s="79"/>
      <c r="O56" s="80"/>
      <c r="P56" s="80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11" ht="12.75">
      <c r="A57" s="29"/>
      <c r="B57" s="23"/>
      <c r="C57" s="67"/>
      <c r="D57" s="67"/>
      <c r="E57" s="67"/>
      <c r="F57" s="67"/>
      <c r="G57" s="67"/>
      <c r="H57" s="67"/>
      <c r="I57" s="67"/>
      <c r="J57" s="57"/>
      <c r="K57" s="57"/>
    </row>
    <row r="58" spans="1:11" ht="12.75">
      <c r="A58" s="29"/>
      <c r="B58" s="23"/>
      <c r="C58" s="67"/>
      <c r="D58" s="67"/>
      <c r="E58" s="67"/>
      <c r="F58" s="67"/>
      <c r="G58" s="67"/>
      <c r="H58" s="67"/>
      <c r="I58" s="67"/>
      <c r="J58" s="57"/>
      <c r="K58" s="57"/>
    </row>
    <row r="59" spans="1:14" ht="12.75">
      <c r="A59" s="86" t="s">
        <v>229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2.75">
      <c r="A60" s="85" t="s">
        <v>234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1:14" ht="12.75">
      <c r="A61" s="37" t="s">
        <v>87</v>
      </c>
      <c r="B61" s="69">
        <v>1</v>
      </c>
      <c r="C61" s="69">
        <v>10</v>
      </c>
      <c r="D61" s="69">
        <v>11</v>
      </c>
      <c r="E61" s="69">
        <v>15</v>
      </c>
      <c r="F61" s="69">
        <v>16</v>
      </c>
      <c r="G61" s="69">
        <v>18</v>
      </c>
      <c r="H61" s="69">
        <v>20</v>
      </c>
      <c r="I61" s="69">
        <v>21</v>
      </c>
      <c r="J61" s="69">
        <v>22</v>
      </c>
      <c r="K61" s="69">
        <v>25</v>
      </c>
      <c r="L61" s="69">
        <v>28</v>
      </c>
      <c r="M61" s="69">
        <v>29</v>
      </c>
      <c r="N61" s="69">
        <v>150</v>
      </c>
    </row>
    <row r="62" spans="1:14" ht="12.75">
      <c r="A62" s="4" t="str">
        <f>A25</f>
        <v>HGS Tank Demolition</v>
      </c>
      <c r="B62" s="43">
        <f aca="true" t="shared" si="3" ref="B62:N62">IF(AND(B$61&gt;=$J25,B$61&lt;=$K25),$C25+$C26,0)</f>
        <v>162.46098931922396</v>
      </c>
      <c r="C62" s="43">
        <f t="shared" si="3"/>
        <v>162.46098931922396</v>
      </c>
      <c r="D62" s="43">
        <f t="shared" si="3"/>
        <v>0</v>
      </c>
      <c r="E62" s="43">
        <f t="shared" si="3"/>
        <v>0</v>
      </c>
      <c r="F62" s="43">
        <f t="shared" si="3"/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3">
        <f t="shared" si="3"/>
        <v>0</v>
      </c>
      <c r="N62" s="43">
        <f t="shared" si="3"/>
        <v>0</v>
      </c>
    </row>
    <row r="63" spans="1:14" ht="12.75">
      <c r="A63" s="4" t="str">
        <f>A27</f>
        <v>HGS Backfill</v>
      </c>
      <c r="B63" s="43">
        <f aca="true" t="shared" si="4" ref="B63:N63">IF(AND(B$61&gt;=$J27,B$61&lt;=$K27),$C27+$C28,0)</f>
        <v>0</v>
      </c>
      <c r="C63" s="43">
        <f t="shared" si="4"/>
        <v>0</v>
      </c>
      <c r="D63" s="43">
        <f t="shared" si="4"/>
        <v>200.7701048324515</v>
      </c>
      <c r="E63" s="43">
        <f t="shared" si="4"/>
        <v>200.7701048324515</v>
      </c>
      <c r="F63" s="43">
        <f t="shared" si="4"/>
        <v>200.7701048324515</v>
      </c>
      <c r="G63" s="43">
        <f t="shared" si="4"/>
        <v>200.7701048324515</v>
      </c>
      <c r="H63" s="43">
        <f t="shared" si="4"/>
        <v>200.7701048324515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3">
        <f t="shared" si="4"/>
        <v>0</v>
      </c>
      <c r="N63" s="43">
        <f t="shared" si="4"/>
        <v>0</v>
      </c>
    </row>
    <row r="64" spans="1:14" ht="12.75">
      <c r="A64" s="4" t="str">
        <f>A29</f>
        <v>HGS Grading</v>
      </c>
      <c r="B64" s="43">
        <f aca="true" t="shared" si="5" ref="B64:N64">IF(AND(B$61&gt;=$J29,B$61&lt;=$K29),$C29+$C30,0)</f>
        <v>0</v>
      </c>
      <c r="C64" s="43">
        <f t="shared" si="5"/>
        <v>0</v>
      </c>
      <c r="D64" s="43">
        <f t="shared" si="5"/>
        <v>0</v>
      </c>
      <c r="E64" s="43">
        <f t="shared" si="5"/>
        <v>0</v>
      </c>
      <c r="F64" s="43">
        <f t="shared" si="5"/>
        <v>0</v>
      </c>
      <c r="G64" s="43">
        <f t="shared" si="5"/>
        <v>53.48216423280422</v>
      </c>
      <c r="H64" s="43">
        <f t="shared" si="5"/>
        <v>53.48216423280422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3">
        <f t="shared" si="5"/>
        <v>0</v>
      </c>
      <c r="N64" s="43">
        <f t="shared" si="5"/>
        <v>0</v>
      </c>
    </row>
    <row r="65" spans="1:14" ht="12.75">
      <c r="A65" s="4" t="str">
        <f>A31</f>
        <v>HGS Foundations </v>
      </c>
      <c r="B65" s="43">
        <f aca="true" t="shared" si="6" ref="B65:N65">IF(AND(B$61&gt;=$J31,B$61&lt;=$K31),$C31+$C32,0)</f>
        <v>0</v>
      </c>
      <c r="C65" s="43">
        <f t="shared" si="6"/>
        <v>0</v>
      </c>
      <c r="D65" s="43">
        <f t="shared" si="6"/>
        <v>0</v>
      </c>
      <c r="E65" s="43">
        <f t="shared" si="6"/>
        <v>0</v>
      </c>
      <c r="F65" s="43">
        <f t="shared" si="6"/>
        <v>0</v>
      </c>
      <c r="G65" s="43">
        <f t="shared" si="6"/>
        <v>0</v>
      </c>
      <c r="H65" s="43">
        <f t="shared" si="6"/>
        <v>0</v>
      </c>
      <c r="I65" s="43">
        <f t="shared" si="6"/>
        <v>404.5366405643739</v>
      </c>
      <c r="J65" s="43">
        <f t="shared" si="6"/>
        <v>404.5366405643739</v>
      </c>
      <c r="K65" s="43">
        <f t="shared" si="6"/>
        <v>404.5366405643739</v>
      </c>
      <c r="L65" s="43">
        <f t="shared" si="6"/>
        <v>404.5366405643739</v>
      </c>
      <c r="M65" s="43">
        <f t="shared" si="6"/>
        <v>0</v>
      </c>
      <c r="N65" s="43">
        <f t="shared" si="6"/>
        <v>0</v>
      </c>
    </row>
    <row r="66" spans="1:14" ht="12.75">
      <c r="A66" s="4" t="str">
        <f>A33</f>
        <v>HGS Paving</v>
      </c>
      <c r="B66" s="43">
        <f aca="true" t="shared" si="7" ref="B66:N66">IF(AND(B$61&gt;=$J33,B$61&lt;=$K33),$C33+$C34,0)</f>
        <v>0</v>
      </c>
      <c r="C66" s="43">
        <f t="shared" si="7"/>
        <v>0</v>
      </c>
      <c r="D66" s="43">
        <f t="shared" si="7"/>
        <v>0</v>
      </c>
      <c r="E66" s="43">
        <f t="shared" si="7"/>
        <v>0</v>
      </c>
      <c r="F66" s="43">
        <f t="shared" si="7"/>
        <v>0</v>
      </c>
      <c r="G66" s="43">
        <f t="shared" si="7"/>
        <v>0</v>
      </c>
      <c r="H66" s="43">
        <f t="shared" si="7"/>
        <v>0</v>
      </c>
      <c r="I66" s="43">
        <f t="shared" si="7"/>
        <v>69.11095407407407</v>
      </c>
      <c r="J66" s="43">
        <f t="shared" si="7"/>
        <v>69.11095407407407</v>
      </c>
      <c r="K66" s="43">
        <f t="shared" si="7"/>
        <v>69.11095407407407</v>
      </c>
      <c r="L66" s="43">
        <f t="shared" si="7"/>
        <v>69.11095407407407</v>
      </c>
      <c r="M66" s="43">
        <f t="shared" si="7"/>
        <v>0</v>
      </c>
      <c r="N66" s="43">
        <f t="shared" si="7"/>
        <v>0</v>
      </c>
    </row>
    <row r="67" spans="1:14" ht="12.75">
      <c r="A67" s="4" t="str">
        <f>A35</f>
        <v>HGS Equipment Installation</v>
      </c>
      <c r="B67" s="43">
        <f aca="true" t="shared" si="8" ref="B67:N67">IF(AND(B$61&gt;=$J35,B$61&lt;=$K35),$C35+$C36,0)</f>
        <v>0</v>
      </c>
      <c r="C67" s="43">
        <f t="shared" si="8"/>
        <v>0</v>
      </c>
      <c r="D67" s="43">
        <f t="shared" si="8"/>
        <v>0</v>
      </c>
      <c r="E67" s="43">
        <f t="shared" si="8"/>
        <v>0</v>
      </c>
      <c r="F67" s="43">
        <f t="shared" si="8"/>
        <v>0</v>
      </c>
      <c r="G67" s="43">
        <f t="shared" si="8"/>
        <v>0</v>
      </c>
      <c r="H67" s="43">
        <f t="shared" si="8"/>
        <v>0</v>
      </c>
      <c r="I67" s="43">
        <f t="shared" si="8"/>
        <v>0</v>
      </c>
      <c r="J67" s="43">
        <f t="shared" si="8"/>
        <v>0</v>
      </c>
      <c r="K67" s="43">
        <f t="shared" si="8"/>
        <v>0</v>
      </c>
      <c r="L67" s="43">
        <f t="shared" si="8"/>
        <v>0</v>
      </c>
      <c r="M67" s="43">
        <f t="shared" si="8"/>
        <v>382.36591125220457</v>
      </c>
      <c r="N67" s="43">
        <f t="shared" si="8"/>
        <v>382.36591125220457</v>
      </c>
    </row>
    <row r="68" spans="1:14" ht="12.75">
      <c r="A68" s="4" t="str">
        <f>A37</f>
        <v>SGS Slab Demolition</v>
      </c>
      <c r="B68" s="43">
        <f aca="true" t="shared" si="9" ref="B68:N68">IF(AND(B$61&gt;=$J37,B$61&lt;=$K37),$C37+$C38,0)</f>
        <v>57.05314977072311</v>
      </c>
      <c r="C68" s="43">
        <f t="shared" si="9"/>
        <v>57.05314977072311</v>
      </c>
      <c r="D68" s="43">
        <f t="shared" si="9"/>
        <v>0</v>
      </c>
      <c r="E68" s="43">
        <f t="shared" si="9"/>
        <v>0</v>
      </c>
      <c r="F68" s="43">
        <f t="shared" si="9"/>
        <v>0</v>
      </c>
      <c r="G68" s="43">
        <f t="shared" si="9"/>
        <v>0</v>
      </c>
      <c r="H68" s="43">
        <f t="shared" si="9"/>
        <v>0</v>
      </c>
      <c r="I68" s="43">
        <f t="shared" si="9"/>
        <v>0</v>
      </c>
      <c r="J68" s="43">
        <f t="shared" si="9"/>
        <v>0</v>
      </c>
      <c r="K68" s="43">
        <f t="shared" si="9"/>
        <v>0</v>
      </c>
      <c r="L68" s="43">
        <f t="shared" si="9"/>
        <v>0</v>
      </c>
      <c r="M68" s="43">
        <f t="shared" si="9"/>
        <v>0</v>
      </c>
      <c r="N68" s="43">
        <f t="shared" si="9"/>
        <v>0</v>
      </c>
    </row>
    <row r="69" spans="1:14" ht="12.75">
      <c r="A69" s="4" t="str">
        <f>A39</f>
        <v>SGS Grading</v>
      </c>
      <c r="B69" s="43">
        <f aca="true" t="shared" si="10" ref="B69:N69">IF(AND(B$61&gt;=$J39,B$61&lt;=$K39),$C39+$C40,0)</f>
        <v>0</v>
      </c>
      <c r="C69" s="43">
        <f t="shared" si="10"/>
        <v>0</v>
      </c>
      <c r="D69" s="43">
        <f t="shared" si="10"/>
        <v>0</v>
      </c>
      <c r="E69" s="43">
        <f t="shared" si="10"/>
        <v>0</v>
      </c>
      <c r="F69" s="43">
        <f t="shared" si="10"/>
        <v>0</v>
      </c>
      <c r="G69" s="43">
        <f t="shared" si="10"/>
        <v>23.4946891005291</v>
      </c>
      <c r="H69" s="43">
        <f t="shared" si="10"/>
        <v>23.4946891005291</v>
      </c>
      <c r="I69" s="43">
        <f t="shared" si="10"/>
        <v>0</v>
      </c>
      <c r="J69" s="43">
        <f t="shared" si="10"/>
        <v>0</v>
      </c>
      <c r="K69" s="43">
        <f t="shared" si="10"/>
        <v>0</v>
      </c>
      <c r="L69" s="43">
        <f t="shared" si="10"/>
        <v>0</v>
      </c>
      <c r="M69" s="43">
        <f t="shared" si="10"/>
        <v>0</v>
      </c>
      <c r="N69" s="43">
        <f t="shared" si="10"/>
        <v>0</v>
      </c>
    </row>
    <row r="70" spans="1:14" ht="12.75">
      <c r="A70" s="4" t="str">
        <f>A41</f>
        <v>SGS Foundations </v>
      </c>
      <c r="B70" s="43">
        <f aca="true" t="shared" si="11" ref="B70:N70">IF(AND(B$61&gt;=$J41,B$61&lt;=$K41),$C41+$C42,0)</f>
        <v>0</v>
      </c>
      <c r="C70" s="43">
        <f t="shared" si="11"/>
        <v>0</v>
      </c>
      <c r="D70" s="43">
        <f t="shared" si="11"/>
        <v>0</v>
      </c>
      <c r="E70" s="43">
        <f t="shared" si="11"/>
        <v>0</v>
      </c>
      <c r="F70" s="43">
        <f t="shared" si="11"/>
        <v>0</v>
      </c>
      <c r="G70" s="43">
        <f t="shared" si="11"/>
        <v>0</v>
      </c>
      <c r="H70" s="43">
        <f t="shared" si="11"/>
        <v>0</v>
      </c>
      <c r="I70" s="43">
        <f t="shared" si="11"/>
        <v>44.934977425044096</v>
      </c>
      <c r="J70" s="43">
        <f t="shared" si="11"/>
        <v>44.934977425044096</v>
      </c>
      <c r="K70" s="43">
        <f t="shared" si="11"/>
        <v>44.934977425044096</v>
      </c>
      <c r="L70" s="43">
        <f t="shared" si="11"/>
        <v>44.934977425044096</v>
      </c>
      <c r="M70" s="43">
        <f t="shared" si="11"/>
        <v>0</v>
      </c>
      <c r="N70" s="43">
        <f t="shared" si="11"/>
        <v>0</v>
      </c>
    </row>
    <row r="71" spans="1:14" ht="12.75">
      <c r="A71" s="4" t="str">
        <f>A43</f>
        <v>SGS Paving</v>
      </c>
      <c r="B71" s="43">
        <f aca="true" t="shared" si="12" ref="B71:N71">IF(AND(B$61&gt;=$J43,B$61&lt;=$K43),$C43+$C44,0)</f>
        <v>0</v>
      </c>
      <c r="C71" s="43">
        <f t="shared" si="12"/>
        <v>0</v>
      </c>
      <c r="D71" s="43">
        <f t="shared" si="12"/>
        <v>0</v>
      </c>
      <c r="E71" s="43">
        <f t="shared" si="12"/>
        <v>0</v>
      </c>
      <c r="F71" s="43">
        <f t="shared" si="12"/>
        <v>0</v>
      </c>
      <c r="G71" s="43">
        <f t="shared" si="12"/>
        <v>0</v>
      </c>
      <c r="H71" s="43">
        <f t="shared" si="12"/>
        <v>0</v>
      </c>
      <c r="I71" s="43">
        <f t="shared" si="12"/>
        <v>23.51025142857143</v>
      </c>
      <c r="J71" s="43">
        <f t="shared" si="12"/>
        <v>23.51025142857143</v>
      </c>
      <c r="K71" s="43">
        <f t="shared" si="12"/>
        <v>23.51025142857143</v>
      </c>
      <c r="L71" s="43">
        <f t="shared" si="12"/>
        <v>23.51025142857143</v>
      </c>
      <c r="M71" s="43">
        <f t="shared" si="12"/>
        <v>0</v>
      </c>
      <c r="N71" s="43">
        <f t="shared" si="12"/>
        <v>0</v>
      </c>
    </row>
    <row r="72" spans="1:14" ht="12.75">
      <c r="A72" s="4" t="str">
        <f>A45</f>
        <v>SGS Equipment Installation</v>
      </c>
      <c r="B72" s="43">
        <f aca="true" t="shared" si="13" ref="B72:N72">IF(AND(B$61&gt;=$J45,B$61&lt;=$K45),$C45+$C46,0)</f>
        <v>0</v>
      </c>
      <c r="C72" s="43">
        <f t="shared" si="13"/>
        <v>0</v>
      </c>
      <c r="D72" s="43">
        <f t="shared" si="13"/>
        <v>0</v>
      </c>
      <c r="E72" s="43">
        <f t="shared" si="13"/>
        <v>0</v>
      </c>
      <c r="F72" s="43">
        <f t="shared" si="13"/>
        <v>0</v>
      </c>
      <c r="G72" s="43">
        <f t="shared" si="13"/>
        <v>0</v>
      </c>
      <c r="H72" s="43">
        <f t="shared" si="13"/>
        <v>0</v>
      </c>
      <c r="I72" s="43">
        <f t="shared" si="13"/>
        <v>0</v>
      </c>
      <c r="J72" s="43">
        <f t="shared" si="13"/>
        <v>0</v>
      </c>
      <c r="K72" s="43">
        <f t="shared" si="13"/>
        <v>0</v>
      </c>
      <c r="L72" s="43">
        <f t="shared" si="13"/>
        <v>0</v>
      </c>
      <c r="M72" s="43">
        <f t="shared" si="13"/>
        <v>122.14447689594355</v>
      </c>
      <c r="N72" s="43">
        <f t="shared" si="13"/>
        <v>122.14447689594355</v>
      </c>
    </row>
    <row r="73" spans="1:14" ht="12.75">
      <c r="A73" s="4" t="str">
        <f>A47</f>
        <v>VGS Demolition</v>
      </c>
      <c r="B73" s="43">
        <f aca="true" t="shared" si="14" ref="B73:N73">IF(AND(B$61&gt;=$J47,B$61&lt;=$K47),$C47+$C48,0)</f>
        <v>101.03819998589064</v>
      </c>
      <c r="C73" s="43">
        <f t="shared" si="14"/>
        <v>101.03819998589064</v>
      </c>
      <c r="D73" s="43">
        <f t="shared" si="14"/>
        <v>0</v>
      </c>
      <c r="E73" s="43">
        <f t="shared" si="14"/>
        <v>0</v>
      </c>
      <c r="F73" s="43">
        <f t="shared" si="14"/>
        <v>0</v>
      </c>
      <c r="G73" s="43">
        <f t="shared" si="14"/>
        <v>0</v>
      </c>
      <c r="H73" s="43">
        <f t="shared" si="14"/>
        <v>0</v>
      </c>
      <c r="I73" s="43">
        <f t="shared" si="14"/>
        <v>0</v>
      </c>
      <c r="J73" s="43">
        <f t="shared" si="14"/>
        <v>0</v>
      </c>
      <c r="K73" s="43">
        <f t="shared" si="14"/>
        <v>0</v>
      </c>
      <c r="L73" s="43">
        <f t="shared" si="14"/>
        <v>0</v>
      </c>
      <c r="M73" s="43">
        <f t="shared" si="14"/>
        <v>0</v>
      </c>
      <c r="N73" s="43">
        <f t="shared" si="14"/>
        <v>0</v>
      </c>
    </row>
    <row r="74" spans="1:14" ht="12.75">
      <c r="A74" s="4" t="str">
        <f>A49</f>
        <v>VGS Grading</v>
      </c>
      <c r="B74" s="43">
        <f aca="true" t="shared" si="15" ref="B74:N74">IF(AND(B$61&gt;=$J49,B$61&lt;=$K49),$C49+$C50,0)</f>
        <v>0</v>
      </c>
      <c r="C74" s="43">
        <f t="shared" si="15"/>
        <v>0</v>
      </c>
      <c r="D74" s="43">
        <f t="shared" si="15"/>
        <v>23.126964232804234</v>
      </c>
      <c r="E74" s="43">
        <f t="shared" si="15"/>
        <v>23.126964232804234</v>
      </c>
      <c r="F74" s="43">
        <f t="shared" si="15"/>
        <v>0</v>
      </c>
      <c r="G74" s="43">
        <f t="shared" si="15"/>
        <v>0</v>
      </c>
      <c r="H74" s="43">
        <f t="shared" si="15"/>
        <v>0</v>
      </c>
      <c r="I74" s="43">
        <f t="shared" si="15"/>
        <v>0</v>
      </c>
      <c r="J74" s="43">
        <f t="shared" si="15"/>
        <v>0</v>
      </c>
      <c r="K74" s="43">
        <f t="shared" si="15"/>
        <v>0</v>
      </c>
      <c r="L74" s="43">
        <f t="shared" si="15"/>
        <v>0</v>
      </c>
      <c r="M74" s="43">
        <f t="shared" si="15"/>
        <v>0</v>
      </c>
      <c r="N74" s="43">
        <f t="shared" si="15"/>
        <v>0</v>
      </c>
    </row>
    <row r="75" spans="1:14" ht="12.75">
      <c r="A75" s="4" t="str">
        <f>A51</f>
        <v>VGS Foundations </v>
      </c>
      <c r="B75" s="43">
        <f aca="true" t="shared" si="16" ref="B75:N75">IF(AND(B$61&gt;=$J51,B$61&lt;=$K51),$C51+$C52,0)</f>
        <v>0</v>
      </c>
      <c r="C75" s="43">
        <f t="shared" si="16"/>
        <v>0</v>
      </c>
      <c r="D75" s="43">
        <f t="shared" si="16"/>
        <v>0</v>
      </c>
      <c r="E75" s="43">
        <f t="shared" si="16"/>
        <v>0</v>
      </c>
      <c r="F75" s="43">
        <f t="shared" si="16"/>
        <v>100.31936790123456</v>
      </c>
      <c r="G75" s="43">
        <f t="shared" si="16"/>
        <v>100.31936790123456</v>
      </c>
      <c r="H75" s="43">
        <f t="shared" si="16"/>
        <v>100.31936790123456</v>
      </c>
      <c r="I75" s="43">
        <f t="shared" si="16"/>
        <v>100.31936790123456</v>
      </c>
      <c r="J75" s="43">
        <f t="shared" si="16"/>
        <v>100.31936790123456</v>
      </c>
      <c r="K75" s="43">
        <f t="shared" si="16"/>
        <v>0</v>
      </c>
      <c r="L75" s="43">
        <f t="shared" si="16"/>
        <v>0</v>
      </c>
      <c r="M75" s="43">
        <f t="shared" si="16"/>
        <v>0</v>
      </c>
      <c r="N75" s="43">
        <f t="shared" si="16"/>
        <v>0</v>
      </c>
    </row>
    <row r="76" spans="1:14" ht="12.75">
      <c r="A76" s="4" t="str">
        <f>A53</f>
        <v>VGS Paving</v>
      </c>
      <c r="B76" s="43">
        <f aca="true" t="shared" si="17" ref="B76:N76">IF(AND(B$61&gt;=$J53,B$61&lt;=$K53),$C53+$C54,0)</f>
        <v>0</v>
      </c>
      <c r="C76" s="43">
        <f t="shared" si="17"/>
        <v>0</v>
      </c>
      <c r="D76" s="43">
        <f t="shared" si="17"/>
        <v>0</v>
      </c>
      <c r="E76" s="43">
        <f t="shared" si="17"/>
        <v>0</v>
      </c>
      <c r="F76" s="43">
        <f t="shared" si="17"/>
        <v>0</v>
      </c>
      <c r="G76" s="43">
        <f t="shared" si="17"/>
        <v>0</v>
      </c>
      <c r="H76" s="43">
        <f t="shared" si="17"/>
        <v>0</v>
      </c>
      <c r="I76" s="43">
        <f t="shared" si="17"/>
        <v>25.596406631393297</v>
      </c>
      <c r="J76" s="43">
        <f t="shared" si="17"/>
        <v>25.596406631393297</v>
      </c>
      <c r="K76" s="43">
        <f t="shared" si="17"/>
        <v>25.596406631393297</v>
      </c>
      <c r="L76" s="43">
        <f t="shared" si="17"/>
        <v>0</v>
      </c>
      <c r="M76" s="43">
        <f t="shared" si="17"/>
        <v>0</v>
      </c>
      <c r="N76" s="43">
        <f t="shared" si="17"/>
        <v>0</v>
      </c>
    </row>
    <row r="77" spans="1:14" ht="12.75">
      <c r="A77" s="4" t="str">
        <f>A55</f>
        <v>VGS Equipment Installation</v>
      </c>
      <c r="B77" s="43">
        <f aca="true" t="shared" si="18" ref="B77:N77">IF(AND(B$61&gt;=$J55,B$61&lt;=$K55),$C55+$C56,0)</f>
        <v>0</v>
      </c>
      <c r="C77" s="43">
        <f t="shared" si="18"/>
        <v>0</v>
      </c>
      <c r="D77" s="43">
        <f t="shared" si="18"/>
        <v>0</v>
      </c>
      <c r="E77" s="43">
        <f t="shared" si="18"/>
        <v>0</v>
      </c>
      <c r="F77" s="43">
        <f t="shared" si="18"/>
        <v>0</v>
      </c>
      <c r="G77" s="43">
        <f t="shared" si="18"/>
        <v>0</v>
      </c>
      <c r="H77" s="43">
        <f t="shared" si="18"/>
        <v>0</v>
      </c>
      <c r="I77" s="43">
        <f t="shared" si="18"/>
        <v>0</v>
      </c>
      <c r="J77" s="43">
        <f t="shared" si="18"/>
        <v>0</v>
      </c>
      <c r="K77" s="43">
        <f t="shared" si="18"/>
        <v>0</v>
      </c>
      <c r="L77" s="43">
        <f t="shared" si="18"/>
        <v>0</v>
      </c>
      <c r="M77" s="43">
        <f t="shared" si="18"/>
        <v>134.09609664903</v>
      </c>
      <c r="N77" s="43">
        <f t="shared" si="18"/>
        <v>134.09609664903</v>
      </c>
    </row>
    <row r="78" spans="1:14" ht="12.75">
      <c r="A78" s="15" t="s">
        <v>24</v>
      </c>
      <c r="B78" s="44">
        <f aca="true" t="shared" si="19" ref="B78:N78">SUM(B62:B77)</f>
        <v>320.5523390758377</v>
      </c>
      <c r="C78" s="44">
        <f t="shared" si="19"/>
        <v>320.5523390758377</v>
      </c>
      <c r="D78" s="44">
        <f t="shared" si="19"/>
        <v>223.89706906525572</v>
      </c>
      <c r="E78" s="44">
        <f t="shared" si="19"/>
        <v>223.89706906525572</v>
      </c>
      <c r="F78" s="44">
        <f t="shared" si="19"/>
        <v>301.0894727336861</v>
      </c>
      <c r="G78" s="44">
        <f t="shared" si="19"/>
        <v>378.06632606701936</v>
      </c>
      <c r="H78" s="44">
        <f t="shared" si="19"/>
        <v>378.06632606701936</v>
      </c>
      <c r="I78" s="44">
        <f t="shared" si="19"/>
        <v>668.0085980246914</v>
      </c>
      <c r="J78" s="44">
        <f t="shared" si="19"/>
        <v>668.0085980246914</v>
      </c>
      <c r="K78" s="44">
        <f t="shared" si="19"/>
        <v>567.6892301234568</v>
      </c>
      <c r="L78" s="44">
        <f t="shared" si="19"/>
        <v>542.0928234920635</v>
      </c>
      <c r="M78" s="44">
        <f t="shared" si="19"/>
        <v>638.6064847971782</v>
      </c>
      <c r="N78" s="44">
        <f t="shared" si="19"/>
        <v>638.6064847971782</v>
      </c>
    </row>
    <row r="79" spans="1:14" ht="12.75">
      <c r="A79" s="39" t="s">
        <v>132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7"/>
      <c r="M79" s="47"/>
      <c r="N79" s="47"/>
    </row>
    <row r="80" spans="1:14" ht="12.75">
      <c r="A80" s="62" t="s">
        <v>276</v>
      </c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7"/>
      <c r="M80" s="47"/>
      <c r="N80" s="47"/>
    </row>
    <row r="81" spans="1:11" ht="12.75">
      <c r="A81" s="29"/>
      <c r="B81" s="48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29"/>
      <c r="B82" s="48"/>
      <c r="C82" s="49"/>
      <c r="D82" s="49"/>
      <c r="E82" s="49"/>
      <c r="F82" s="49"/>
      <c r="G82" s="49"/>
      <c r="H82" s="49"/>
      <c r="I82" s="49"/>
      <c r="J82" s="49"/>
      <c r="K82" s="49"/>
    </row>
    <row r="83" spans="1:14" ht="12.75">
      <c r="A83" s="86" t="s">
        <v>230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2.75">
      <c r="A84" s="85" t="s">
        <v>235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1:14" ht="12.75">
      <c r="A85" s="37" t="s">
        <v>87</v>
      </c>
      <c r="B85" s="69">
        <v>1</v>
      </c>
      <c r="C85" s="69">
        <v>10</v>
      </c>
      <c r="D85" s="69">
        <v>11</v>
      </c>
      <c r="E85" s="69">
        <v>15</v>
      </c>
      <c r="F85" s="69">
        <v>16</v>
      </c>
      <c r="G85" s="69">
        <v>18</v>
      </c>
      <c r="H85" s="69">
        <v>20</v>
      </c>
      <c r="I85" s="69">
        <v>21</v>
      </c>
      <c r="J85" s="69">
        <v>22</v>
      </c>
      <c r="K85" s="69">
        <v>25</v>
      </c>
      <c r="L85" s="69">
        <v>28</v>
      </c>
      <c r="M85" s="69">
        <v>29</v>
      </c>
      <c r="N85" s="69">
        <v>150</v>
      </c>
    </row>
    <row r="86" spans="1:14" ht="12.75">
      <c r="A86" s="4" t="str">
        <f>A25</f>
        <v>HGS Tank Demolition</v>
      </c>
      <c r="B86" s="43">
        <f aca="true" t="shared" si="20" ref="B86:N86">IF(AND(B$85&gt;=$J25,B$85&lt;=$K25),$D25+$D26,0)</f>
        <v>297.40631560447486</v>
      </c>
      <c r="C86" s="43">
        <f t="shared" si="20"/>
        <v>297.40631560447486</v>
      </c>
      <c r="D86" s="43">
        <f t="shared" si="20"/>
        <v>0</v>
      </c>
      <c r="E86" s="43">
        <f t="shared" si="20"/>
        <v>0</v>
      </c>
      <c r="F86" s="43">
        <f t="shared" si="20"/>
        <v>0</v>
      </c>
      <c r="G86" s="43">
        <f t="shared" si="20"/>
        <v>0</v>
      </c>
      <c r="H86" s="43">
        <f t="shared" si="20"/>
        <v>0</v>
      </c>
      <c r="I86" s="43">
        <f t="shared" si="20"/>
        <v>0</v>
      </c>
      <c r="J86" s="43">
        <f t="shared" si="20"/>
        <v>0</v>
      </c>
      <c r="K86" s="43">
        <f t="shared" si="20"/>
        <v>0</v>
      </c>
      <c r="L86" s="43">
        <f t="shared" si="20"/>
        <v>0</v>
      </c>
      <c r="M86" s="43">
        <f t="shared" si="20"/>
        <v>0</v>
      </c>
      <c r="N86" s="43">
        <f t="shared" si="20"/>
        <v>0</v>
      </c>
    </row>
    <row r="87" spans="1:14" ht="12.75">
      <c r="A87" s="4" t="str">
        <f>A27</f>
        <v>HGS Backfill</v>
      </c>
      <c r="B87" s="43">
        <f aca="true" t="shared" si="21" ref="B87:N87">IF(AND(B$85&gt;=$J27,B$85&lt;=$K27),$D27+$D28,0)</f>
        <v>0</v>
      </c>
      <c r="C87" s="43">
        <f t="shared" si="21"/>
        <v>0</v>
      </c>
      <c r="D87" s="43">
        <f t="shared" si="21"/>
        <v>39.909825961199296</v>
      </c>
      <c r="E87" s="43">
        <f t="shared" si="21"/>
        <v>39.909825961199296</v>
      </c>
      <c r="F87" s="43">
        <f t="shared" si="21"/>
        <v>39.909825961199296</v>
      </c>
      <c r="G87" s="43">
        <f t="shared" si="21"/>
        <v>39.909825961199296</v>
      </c>
      <c r="H87" s="43">
        <f t="shared" si="21"/>
        <v>39.909825961199296</v>
      </c>
      <c r="I87" s="43">
        <f t="shared" si="21"/>
        <v>0</v>
      </c>
      <c r="J87" s="43">
        <f t="shared" si="21"/>
        <v>0</v>
      </c>
      <c r="K87" s="43">
        <f t="shared" si="21"/>
        <v>0</v>
      </c>
      <c r="L87" s="43">
        <f t="shared" si="21"/>
        <v>0</v>
      </c>
      <c r="M87" s="43">
        <f t="shared" si="21"/>
        <v>0</v>
      </c>
      <c r="N87" s="43">
        <f t="shared" si="21"/>
        <v>0</v>
      </c>
    </row>
    <row r="88" spans="1:14" ht="12.75">
      <c r="A88" s="4" t="str">
        <f>A29</f>
        <v>HGS Grading</v>
      </c>
      <c r="B88" s="43">
        <f aca="true" t="shared" si="22" ref="B88:N88">IF(AND(B$85&gt;=$J29,B$85&lt;=$K29),$D29+$D30,0)</f>
        <v>0</v>
      </c>
      <c r="C88" s="43">
        <f t="shared" si="22"/>
        <v>0</v>
      </c>
      <c r="D88" s="43">
        <f t="shared" si="22"/>
        <v>0</v>
      </c>
      <c r="E88" s="43">
        <f t="shared" si="22"/>
        <v>0</v>
      </c>
      <c r="F88" s="43">
        <f t="shared" si="22"/>
        <v>0</v>
      </c>
      <c r="G88" s="43">
        <f t="shared" si="22"/>
        <v>10.586894885361552</v>
      </c>
      <c r="H88" s="43">
        <f t="shared" si="22"/>
        <v>10.586894885361552</v>
      </c>
      <c r="I88" s="43">
        <f t="shared" si="22"/>
        <v>0</v>
      </c>
      <c r="J88" s="43">
        <f t="shared" si="22"/>
        <v>0</v>
      </c>
      <c r="K88" s="43">
        <f t="shared" si="22"/>
        <v>0</v>
      </c>
      <c r="L88" s="43">
        <f t="shared" si="22"/>
        <v>0</v>
      </c>
      <c r="M88" s="43">
        <f t="shared" si="22"/>
        <v>0</v>
      </c>
      <c r="N88" s="43">
        <f t="shared" si="22"/>
        <v>0</v>
      </c>
    </row>
    <row r="89" spans="1:14" ht="12.75">
      <c r="A89" s="4" t="str">
        <f>A31</f>
        <v>HGS Foundations </v>
      </c>
      <c r="B89" s="43">
        <f aca="true" t="shared" si="23" ref="B89:N89">IF(AND(B$85&gt;=$J31,B$85&lt;=$K31),$D31+$D32,0)</f>
        <v>0</v>
      </c>
      <c r="C89" s="43">
        <f t="shared" si="23"/>
        <v>0</v>
      </c>
      <c r="D89" s="43">
        <f t="shared" si="23"/>
        <v>0</v>
      </c>
      <c r="E89" s="43">
        <f t="shared" si="23"/>
        <v>0</v>
      </c>
      <c r="F89" s="43">
        <f t="shared" si="23"/>
        <v>0</v>
      </c>
      <c r="G89" s="43">
        <f t="shared" si="23"/>
        <v>0</v>
      </c>
      <c r="H89" s="43">
        <f t="shared" si="23"/>
        <v>0</v>
      </c>
      <c r="I89" s="43">
        <f t="shared" si="23"/>
        <v>43.330530476190475</v>
      </c>
      <c r="J89" s="43">
        <f t="shared" si="23"/>
        <v>43.330530476190475</v>
      </c>
      <c r="K89" s="43">
        <f t="shared" si="23"/>
        <v>43.330530476190475</v>
      </c>
      <c r="L89" s="43">
        <f t="shared" si="23"/>
        <v>43.330530476190475</v>
      </c>
      <c r="M89" s="43">
        <f t="shared" si="23"/>
        <v>0</v>
      </c>
      <c r="N89" s="43">
        <f t="shared" si="23"/>
        <v>0</v>
      </c>
    </row>
    <row r="90" spans="1:14" ht="12.75">
      <c r="A90" s="4" t="str">
        <f>A33</f>
        <v>HGS Paving</v>
      </c>
      <c r="B90" s="43">
        <f aca="true" t="shared" si="24" ref="B90:N90">IF(AND(B$85&gt;=$J33,B$85&lt;=$K33),$D33+$D34,0)</f>
        <v>0</v>
      </c>
      <c r="C90" s="43">
        <f t="shared" si="24"/>
        <v>0</v>
      </c>
      <c r="D90" s="43">
        <f t="shared" si="24"/>
        <v>0</v>
      </c>
      <c r="E90" s="43">
        <f t="shared" si="24"/>
        <v>0</v>
      </c>
      <c r="F90" s="43">
        <f t="shared" si="24"/>
        <v>0</v>
      </c>
      <c r="G90" s="43">
        <f t="shared" si="24"/>
        <v>0</v>
      </c>
      <c r="H90" s="43">
        <f t="shared" si="24"/>
        <v>0</v>
      </c>
      <c r="I90" s="43">
        <f t="shared" si="24"/>
        <v>12.846610255095547</v>
      </c>
      <c r="J90" s="43">
        <f t="shared" si="24"/>
        <v>12.846610255095547</v>
      </c>
      <c r="K90" s="43">
        <f t="shared" si="24"/>
        <v>12.846610255095547</v>
      </c>
      <c r="L90" s="43">
        <f t="shared" si="24"/>
        <v>12.846610255095547</v>
      </c>
      <c r="M90" s="43">
        <f t="shared" si="24"/>
        <v>0</v>
      </c>
      <c r="N90" s="43">
        <f t="shared" si="24"/>
        <v>0</v>
      </c>
    </row>
    <row r="91" spans="1:14" ht="12.75">
      <c r="A91" s="4" t="str">
        <f>A35</f>
        <v>HGS Equipment Installation</v>
      </c>
      <c r="B91" s="43">
        <f aca="true" t="shared" si="25" ref="B91:N91">IF(AND(B$85&gt;=$J35,B$85&lt;=$K35),$D35+$D36,0)</f>
        <v>0</v>
      </c>
      <c r="C91" s="43">
        <f t="shared" si="25"/>
        <v>0</v>
      </c>
      <c r="D91" s="43">
        <f t="shared" si="25"/>
        <v>0</v>
      </c>
      <c r="E91" s="43">
        <f t="shared" si="25"/>
        <v>0</v>
      </c>
      <c r="F91" s="43">
        <f t="shared" si="25"/>
        <v>0</v>
      </c>
      <c r="G91" s="43">
        <f t="shared" si="25"/>
        <v>0</v>
      </c>
      <c r="H91" s="43">
        <f t="shared" si="25"/>
        <v>0</v>
      </c>
      <c r="I91" s="43">
        <f t="shared" si="25"/>
        <v>0</v>
      </c>
      <c r="J91" s="43">
        <f t="shared" si="25"/>
        <v>0</v>
      </c>
      <c r="K91" s="43">
        <f t="shared" si="25"/>
        <v>0</v>
      </c>
      <c r="L91" s="43">
        <f t="shared" si="25"/>
        <v>0</v>
      </c>
      <c r="M91" s="43">
        <f t="shared" si="25"/>
        <v>102.59485813051145</v>
      </c>
      <c r="N91" s="43">
        <f t="shared" si="25"/>
        <v>102.59485813051145</v>
      </c>
    </row>
    <row r="92" spans="1:14" ht="12.75">
      <c r="A92" s="4" t="str">
        <f>A37</f>
        <v>SGS Slab Demolition</v>
      </c>
      <c r="B92" s="43">
        <f aca="true" t="shared" si="26" ref="B92:N92">IF(AND(B$85&gt;=$J37,B$85&lt;=$K37),$D37+$D38,0)</f>
        <v>9.830904850088183</v>
      </c>
      <c r="C92" s="43">
        <f t="shared" si="26"/>
        <v>9.830904850088183</v>
      </c>
      <c r="D92" s="43">
        <f t="shared" si="26"/>
        <v>0</v>
      </c>
      <c r="E92" s="43">
        <f t="shared" si="26"/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0</v>
      </c>
      <c r="K92" s="43">
        <f t="shared" si="26"/>
        <v>0</v>
      </c>
      <c r="L92" s="43">
        <f t="shared" si="26"/>
        <v>0</v>
      </c>
      <c r="M92" s="43">
        <f t="shared" si="26"/>
        <v>0</v>
      </c>
      <c r="N92" s="43">
        <f t="shared" si="26"/>
        <v>0</v>
      </c>
    </row>
    <row r="93" spans="1:14" ht="12.75">
      <c r="A93" s="4" t="str">
        <f>A39</f>
        <v>SGS Grading</v>
      </c>
      <c r="B93" s="43">
        <f aca="true" t="shared" si="27" ref="B93:N93">IF(AND(B$85&gt;=$J39,B$85&lt;=$K39),$D39+$D40,0)</f>
        <v>0</v>
      </c>
      <c r="C93" s="43">
        <f t="shared" si="27"/>
        <v>0</v>
      </c>
      <c r="D93" s="43">
        <f t="shared" si="27"/>
        <v>0</v>
      </c>
      <c r="E93" s="43">
        <f t="shared" si="27"/>
        <v>0</v>
      </c>
      <c r="F93" s="43">
        <f t="shared" si="27"/>
        <v>0</v>
      </c>
      <c r="G93" s="43">
        <f t="shared" si="27"/>
        <v>6.094834021164021</v>
      </c>
      <c r="H93" s="43">
        <f t="shared" si="27"/>
        <v>6.094834021164021</v>
      </c>
      <c r="I93" s="43">
        <f t="shared" si="27"/>
        <v>0</v>
      </c>
      <c r="J93" s="43">
        <f t="shared" si="27"/>
        <v>0</v>
      </c>
      <c r="K93" s="43">
        <f t="shared" si="27"/>
        <v>0</v>
      </c>
      <c r="L93" s="43">
        <f t="shared" si="27"/>
        <v>0</v>
      </c>
      <c r="M93" s="43">
        <f t="shared" si="27"/>
        <v>0</v>
      </c>
      <c r="N93" s="43">
        <f t="shared" si="27"/>
        <v>0</v>
      </c>
    </row>
    <row r="94" spans="1:14" ht="12.75">
      <c r="A94" s="4" t="str">
        <f>A41</f>
        <v>SGS Foundations </v>
      </c>
      <c r="B94" s="43">
        <f aca="true" t="shared" si="28" ref="B94:N94">IF(AND(B$85&gt;=$J41,B$85&lt;=$K41),$D41+$D42,0)</f>
        <v>0</v>
      </c>
      <c r="C94" s="43">
        <f t="shared" si="28"/>
        <v>0</v>
      </c>
      <c r="D94" s="43">
        <f t="shared" si="28"/>
        <v>0</v>
      </c>
      <c r="E94" s="43">
        <f t="shared" si="28"/>
        <v>0</v>
      </c>
      <c r="F94" s="43">
        <f t="shared" si="28"/>
        <v>0</v>
      </c>
      <c r="G94" s="43">
        <f t="shared" si="28"/>
        <v>0</v>
      </c>
      <c r="H94" s="43">
        <f t="shared" si="28"/>
        <v>0</v>
      </c>
      <c r="I94" s="43">
        <f t="shared" si="28"/>
        <v>5.111793262786596</v>
      </c>
      <c r="J94" s="43">
        <f t="shared" si="28"/>
        <v>5.111793262786596</v>
      </c>
      <c r="K94" s="43">
        <f t="shared" si="28"/>
        <v>5.111793262786596</v>
      </c>
      <c r="L94" s="43">
        <f t="shared" si="28"/>
        <v>5.111793262786596</v>
      </c>
      <c r="M94" s="43">
        <f t="shared" si="28"/>
        <v>0</v>
      </c>
      <c r="N94" s="43">
        <f t="shared" si="28"/>
        <v>0</v>
      </c>
    </row>
    <row r="95" spans="1:14" ht="12.75">
      <c r="A95" s="4" t="str">
        <f>A43</f>
        <v>SGS Paving</v>
      </c>
      <c r="B95" s="43">
        <f aca="true" t="shared" si="29" ref="B95:N95">IF(AND(B$85&gt;=$J43,B$85&lt;=$K43),$D43+$D44,0)</f>
        <v>0</v>
      </c>
      <c r="C95" s="43">
        <f t="shared" si="29"/>
        <v>0</v>
      </c>
      <c r="D95" s="43">
        <f t="shared" si="29"/>
        <v>0</v>
      </c>
      <c r="E95" s="43">
        <f t="shared" si="29"/>
        <v>0</v>
      </c>
      <c r="F95" s="43">
        <f t="shared" si="29"/>
        <v>0</v>
      </c>
      <c r="G95" s="43">
        <f t="shared" si="29"/>
        <v>0</v>
      </c>
      <c r="H95" s="43">
        <f t="shared" si="29"/>
        <v>0</v>
      </c>
      <c r="I95" s="43">
        <f t="shared" si="29"/>
        <v>3.5191449971817668</v>
      </c>
      <c r="J95" s="43">
        <f t="shared" si="29"/>
        <v>3.5191449971817668</v>
      </c>
      <c r="K95" s="43">
        <f t="shared" si="29"/>
        <v>3.5191449971817668</v>
      </c>
      <c r="L95" s="43">
        <f t="shared" si="29"/>
        <v>3.5191449971817668</v>
      </c>
      <c r="M95" s="43">
        <f t="shared" si="29"/>
        <v>0</v>
      </c>
      <c r="N95" s="43">
        <f t="shared" si="29"/>
        <v>0</v>
      </c>
    </row>
    <row r="96" spans="1:14" ht="12.75">
      <c r="A96" s="4" t="str">
        <f>A45</f>
        <v>SGS Equipment Installation</v>
      </c>
      <c r="B96" s="43">
        <f aca="true" t="shared" si="30" ref="B96:N96">IF(AND(B$85&gt;=$J45,B$85&lt;=$K45),$D45+$D46,0)</f>
        <v>0</v>
      </c>
      <c r="C96" s="43">
        <f t="shared" si="30"/>
        <v>0</v>
      </c>
      <c r="D96" s="43">
        <f t="shared" si="30"/>
        <v>0</v>
      </c>
      <c r="E96" s="43">
        <f t="shared" si="30"/>
        <v>0</v>
      </c>
      <c r="F96" s="43">
        <f t="shared" si="30"/>
        <v>0</v>
      </c>
      <c r="G96" s="43">
        <f t="shared" si="30"/>
        <v>0</v>
      </c>
      <c r="H96" s="43">
        <f t="shared" si="30"/>
        <v>0</v>
      </c>
      <c r="I96" s="43">
        <f t="shared" si="30"/>
        <v>0</v>
      </c>
      <c r="J96" s="43">
        <f t="shared" si="30"/>
        <v>0</v>
      </c>
      <c r="K96" s="43">
        <f t="shared" si="30"/>
        <v>0</v>
      </c>
      <c r="L96" s="43">
        <f t="shared" si="30"/>
        <v>0</v>
      </c>
      <c r="M96" s="43">
        <f t="shared" si="30"/>
        <v>56.649976843033514</v>
      </c>
      <c r="N96" s="43">
        <f t="shared" si="30"/>
        <v>56.649976843033514</v>
      </c>
    </row>
    <row r="97" spans="1:14" ht="12.75">
      <c r="A97" s="4" t="str">
        <f>A47</f>
        <v>VGS Demolition</v>
      </c>
      <c r="B97" s="43">
        <f aca="true" t="shared" si="31" ref="B97:N97">IF(AND(B$85&gt;=$J47,B$85&lt;=$K47),$D47+$D48,0)</f>
        <v>18.802112253023758</v>
      </c>
      <c r="C97" s="43">
        <f t="shared" si="31"/>
        <v>18.802112253023758</v>
      </c>
      <c r="D97" s="43">
        <f t="shared" si="31"/>
        <v>0</v>
      </c>
      <c r="E97" s="43">
        <f t="shared" si="31"/>
        <v>0</v>
      </c>
      <c r="F97" s="43">
        <f t="shared" si="31"/>
        <v>0</v>
      </c>
      <c r="G97" s="43">
        <f t="shared" si="31"/>
        <v>0</v>
      </c>
      <c r="H97" s="43">
        <f t="shared" si="31"/>
        <v>0</v>
      </c>
      <c r="I97" s="43">
        <f t="shared" si="31"/>
        <v>0</v>
      </c>
      <c r="J97" s="43">
        <f t="shared" si="31"/>
        <v>0</v>
      </c>
      <c r="K97" s="43">
        <f t="shared" si="31"/>
        <v>0</v>
      </c>
      <c r="L97" s="43">
        <f t="shared" si="31"/>
        <v>0</v>
      </c>
      <c r="M97" s="43">
        <f t="shared" si="31"/>
        <v>0</v>
      </c>
      <c r="N97" s="43">
        <f t="shared" si="31"/>
        <v>0</v>
      </c>
    </row>
    <row r="98" spans="1:14" ht="12.75">
      <c r="A98" s="4" t="str">
        <f>A49</f>
        <v>VGS Grading</v>
      </c>
      <c r="B98" s="43">
        <f aca="true" t="shared" si="32" ref="B98:N98">IF(AND(B$85&gt;=$J49,B$85&lt;=$K49),$D49+$D50,0)</f>
        <v>0</v>
      </c>
      <c r="C98" s="43">
        <f t="shared" si="32"/>
        <v>0</v>
      </c>
      <c r="D98" s="43">
        <f t="shared" si="32"/>
        <v>6.033614885361552</v>
      </c>
      <c r="E98" s="43">
        <f t="shared" si="32"/>
        <v>6.033614885361552</v>
      </c>
      <c r="F98" s="43">
        <f t="shared" si="32"/>
        <v>0</v>
      </c>
      <c r="G98" s="43">
        <f t="shared" si="32"/>
        <v>0</v>
      </c>
      <c r="H98" s="43">
        <f t="shared" si="32"/>
        <v>0</v>
      </c>
      <c r="I98" s="43">
        <f t="shared" si="32"/>
        <v>0</v>
      </c>
      <c r="J98" s="43">
        <f t="shared" si="32"/>
        <v>0</v>
      </c>
      <c r="K98" s="43">
        <f t="shared" si="32"/>
        <v>0</v>
      </c>
      <c r="L98" s="43">
        <f t="shared" si="32"/>
        <v>0</v>
      </c>
      <c r="M98" s="43">
        <f t="shared" si="32"/>
        <v>0</v>
      </c>
      <c r="N98" s="43">
        <f t="shared" si="32"/>
        <v>0</v>
      </c>
    </row>
    <row r="99" spans="1:14" ht="12.75">
      <c r="A99" s="4" t="str">
        <f>A51</f>
        <v>VGS Foundations </v>
      </c>
      <c r="B99" s="43">
        <f aca="true" t="shared" si="33" ref="B99:N99">IF(AND(B$85&gt;=$J51,B$85&lt;=$K51),$D51+$D52,0)</f>
        <v>0</v>
      </c>
      <c r="C99" s="43">
        <f t="shared" si="33"/>
        <v>0</v>
      </c>
      <c r="D99" s="43">
        <f t="shared" si="33"/>
        <v>0</v>
      </c>
      <c r="E99" s="43">
        <f t="shared" si="33"/>
        <v>0</v>
      </c>
      <c r="F99" s="43">
        <f t="shared" si="33"/>
        <v>11.536346807760141</v>
      </c>
      <c r="G99" s="43">
        <f t="shared" si="33"/>
        <v>11.536346807760141</v>
      </c>
      <c r="H99" s="43">
        <f t="shared" si="33"/>
        <v>11.536346807760141</v>
      </c>
      <c r="I99" s="43">
        <f t="shared" si="33"/>
        <v>11.536346807760141</v>
      </c>
      <c r="J99" s="43">
        <f t="shared" si="33"/>
        <v>11.536346807760141</v>
      </c>
      <c r="K99" s="43">
        <f t="shared" si="33"/>
        <v>0</v>
      </c>
      <c r="L99" s="43">
        <f t="shared" si="33"/>
        <v>0</v>
      </c>
      <c r="M99" s="43">
        <f t="shared" si="33"/>
        <v>0</v>
      </c>
      <c r="N99" s="43">
        <f t="shared" si="33"/>
        <v>0</v>
      </c>
    </row>
    <row r="100" spans="1:14" ht="12.75">
      <c r="A100" s="4" t="str">
        <f>A53</f>
        <v>VGS Paving</v>
      </c>
      <c r="B100" s="43">
        <f aca="true" t="shared" si="34" ref="B100:N100">IF(AND(B$85&gt;=$J53,B$85&lt;=$K53),$D53+$D54,0)</f>
        <v>0</v>
      </c>
      <c r="C100" s="43">
        <f t="shared" si="34"/>
        <v>0</v>
      </c>
      <c r="D100" s="43">
        <f t="shared" si="34"/>
        <v>0</v>
      </c>
      <c r="E100" s="43">
        <f t="shared" si="34"/>
        <v>0</v>
      </c>
      <c r="F100" s="43">
        <f t="shared" si="34"/>
        <v>0</v>
      </c>
      <c r="G100" s="43">
        <f t="shared" si="34"/>
        <v>0</v>
      </c>
      <c r="H100" s="43">
        <f t="shared" si="34"/>
        <v>0</v>
      </c>
      <c r="I100" s="43">
        <f t="shared" si="34"/>
        <v>4.275023158602884</v>
      </c>
      <c r="J100" s="43">
        <f t="shared" si="34"/>
        <v>4.275023158602884</v>
      </c>
      <c r="K100" s="43">
        <f t="shared" si="34"/>
        <v>4.275023158602884</v>
      </c>
      <c r="L100" s="43">
        <f t="shared" si="34"/>
        <v>0</v>
      </c>
      <c r="M100" s="43">
        <f t="shared" si="34"/>
        <v>0</v>
      </c>
      <c r="N100" s="43">
        <f t="shared" si="34"/>
        <v>0</v>
      </c>
    </row>
    <row r="101" spans="1:14" ht="12.75">
      <c r="A101" s="4" t="str">
        <f>A55</f>
        <v>VGS Equipment Installation</v>
      </c>
      <c r="B101" s="43">
        <f aca="true" t="shared" si="35" ref="B101:N101">IF(AND(B$85&gt;=$J55,B$85&lt;=$K55),$D55+$D56,0)</f>
        <v>0</v>
      </c>
      <c r="C101" s="43">
        <f t="shared" si="35"/>
        <v>0</v>
      </c>
      <c r="D101" s="43">
        <f t="shared" si="35"/>
        <v>0</v>
      </c>
      <c r="E101" s="43">
        <f t="shared" si="35"/>
        <v>0</v>
      </c>
      <c r="F101" s="43">
        <f t="shared" si="35"/>
        <v>0</v>
      </c>
      <c r="G101" s="43">
        <f t="shared" si="35"/>
        <v>0</v>
      </c>
      <c r="H101" s="43">
        <f t="shared" si="35"/>
        <v>0</v>
      </c>
      <c r="I101" s="43">
        <f t="shared" si="35"/>
        <v>0</v>
      </c>
      <c r="J101" s="43">
        <f t="shared" si="35"/>
        <v>0</v>
      </c>
      <c r="K101" s="43">
        <f t="shared" si="35"/>
        <v>0</v>
      </c>
      <c r="L101" s="43">
        <f t="shared" si="35"/>
        <v>0</v>
      </c>
      <c r="M101" s="43">
        <f t="shared" si="35"/>
        <v>30.535073509700176</v>
      </c>
      <c r="N101" s="43">
        <f t="shared" si="35"/>
        <v>30.535073509700176</v>
      </c>
    </row>
    <row r="102" spans="1:14" ht="12.75">
      <c r="A102" s="15" t="s">
        <v>24</v>
      </c>
      <c r="B102" s="44">
        <f>SUM(B86:B101)</f>
        <v>326.0393327075868</v>
      </c>
      <c r="C102" s="44">
        <f aca="true" t="shared" si="36" ref="C102:N102">SUM(C86:C101)</f>
        <v>326.0393327075868</v>
      </c>
      <c r="D102" s="44">
        <f t="shared" si="36"/>
        <v>45.94344084656085</v>
      </c>
      <c r="E102" s="44">
        <f t="shared" si="36"/>
        <v>45.94344084656085</v>
      </c>
      <c r="F102" s="44">
        <f t="shared" si="36"/>
        <v>51.446172768959435</v>
      </c>
      <c r="G102" s="44">
        <f t="shared" si="36"/>
        <v>68.127901675485</v>
      </c>
      <c r="H102" s="44">
        <f t="shared" si="36"/>
        <v>68.127901675485</v>
      </c>
      <c r="I102" s="44">
        <f t="shared" si="36"/>
        <v>80.61944895761741</v>
      </c>
      <c r="J102" s="44">
        <f t="shared" si="36"/>
        <v>80.61944895761741</v>
      </c>
      <c r="K102" s="44">
        <f t="shared" si="36"/>
        <v>69.08310214985727</v>
      </c>
      <c r="L102" s="44">
        <f t="shared" si="36"/>
        <v>64.80807899125439</v>
      </c>
      <c r="M102" s="44">
        <f t="shared" si="36"/>
        <v>189.77990848324515</v>
      </c>
      <c r="N102" s="44">
        <f t="shared" si="36"/>
        <v>189.77990848324515</v>
      </c>
    </row>
    <row r="103" spans="1:14" ht="12.75">
      <c r="A103" s="39" t="s">
        <v>132</v>
      </c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7"/>
      <c r="M103" s="47"/>
      <c r="N103" s="47"/>
    </row>
    <row r="104" spans="1:14" ht="12.75">
      <c r="A104" s="62" t="s">
        <v>276</v>
      </c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7"/>
      <c r="M104" s="47"/>
      <c r="N104" s="47"/>
    </row>
    <row r="105" spans="1:11" ht="12.75">
      <c r="A105" s="29"/>
      <c r="B105" s="48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2.75">
      <c r="A106" s="29"/>
      <c r="B106" s="48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4" ht="12.75">
      <c r="A107" s="86" t="s">
        <v>231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">
      <c r="A108" s="85" t="s">
        <v>236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37" t="s">
        <v>87</v>
      </c>
      <c r="B109" s="69">
        <v>1</v>
      </c>
      <c r="C109" s="69">
        <v>10</v>
      </c>
      <c r="D109" s="69">
        <v>11</v>
      </c>
      <c r="E109" s="69">
        <v>15</v>
      </c>
      <c r="F109" s="69">
        <v>16</v>
      </c>
      <c r="G109" s="69">
        <v>18</v>
      </c>
      <c r="H109" s="69">
        <v>20</v>
      </c>
      <c r="I109" s="69">
        <v>21</v>
      </c>
      <c r="J109" s="69">
        <v>22</v>
      </c>
      <c r="K109" s="69">
        <v>25</v>
      </c>
      <c r="L109" s="69">
        <v>28</v>
      </c>
      <c r="M109" s="69">
        <v>29</v>
      </c>
      <c r="N109" s="69">
        <v>150</v>
      </c>
    </row>
    <row r="110" spans="1:14" ht="12.75">
      <c r="A110" s="4" t="str">
        <f>A25</f>
        <v>HGS Tank Demolition</v>
      </c>
      <c r="B110" s="43">
        <f aca="true" t="shared" si="37" ref="B110:N110">IF(AND(B$109&gt;=$J25,B$109&lt;=$K25),$E25+$E26,0)</f>
        <v>260.3767848606702</v>
      </c>
      <c r="C110" s="43">
        <f t="shared" si="37"/>
        <v>260.3767848606702</v>
      </c>
      <c r="D110" s="43">
        <f t="shared" si="37"/>
        <v>0</v>
      </c>
      <c r="E110" s="43">
        <f t="shared" si="37"/>
        <v>0</v>
      </c>
      <c r="F110" s="43">
        <f t="shared" si="37"/>
        <v>0</v>
      </c>
      <c r="G110" s="43">
        <f t="shared" si="37"/>
        <v>0</v>
      </c>
      <c r="H110" s="43">
        <f t="shared" si="37"/>
        <v>0</v>
      </c>
      <c r="I110" s="43">
        <f t="shared" si="37"/>
        <v>0</v>
      </c>
      <c r="J110" s="43">
        <f t="shared" si="37"/>
        <v>0</v>
      </c>
      <c r="K110" s="43">
        <f t="shared" si="37"/>
        <v>0</v>
      </c>
      <c r="L110" s="43">
        <f t="shared" si="37"/>
        <v>0</v>
      </c>
      <c r="M110" s="43">
        <f t="shared" si="37"/>
        <v>0</v>
      </c>
      <c r="N110" s="43">
        <f t="shared" si="37"/>
        <v>0</v>
      </c>
    </row>
    <row r="111" spans="1:14" ht="12.75">
      <c r="A111" s="4" t="str">
        <f>A27</f>
        <v>HGS Backfill</v>
      </c>
      <c r="B111" s="43">
        <f aca="true" t="shared" si="38" ref="B111:N111">IF(AND(B$109&gt;=$J27,B$109&lt;=$K27),$E27+$E28,0)</f>
        <v>0</v>
      </c>
      <c r="C111" s="43">
        <f t="shared" si="38"/>
        <v>0</v>
      </c>
      <c r="D111" s="43">
        <f t="shared" si="38"/>
        <v>344.3539751675485</v>
      </c>
      <c r="E111" s="43">
        <f t="shared" si="38"/>
        <v>344.3539751675485</v>
      </c>
      <c r="F111" s="43">
        <f t="shared" si="38"/>
        <v>344.3539751675485</v>
      </c>
      <c r="G111" s="43">
        <f t="shared" si="38"/>
        <v>344.3539751675485</v>
      </c>
      <c r="H111" s="43">
        <f t="shared" si="38"/>
        <v>344.3539751675485</v>
      </c>
      <c r="I111" s="43">
        <f t="shared" si="38"/>
        <v>0</v>
      </c>
      <c r="J111" s="43">
        <f t="shared" si="38"/>
        <v>0</v>
      </c>
      <c r="K111" s="43">
        <f t="shared" si="38"/>
        <v>0</v>
      </c>
      <c r="L111" s="43">
        <f t="shared" si="38"/>
        <v>0</v>
      </c>
      <c r="M111" s="43">
        <f t="shared" si="38"/>
        <v>0</v>
      </c>
      <c r="N111" s="43">
        <f t="shared" si="38"/>
        <v>0</v>
      </c>
    </row>
    <row r="112" spans="1:14" ht="12.75">
      <c r="A112" s="4" t="str">
        <f>A29</f>
        <v>HGS Grading</v>
      </c>
      <c r="B112" s="43">
        <f aca="true" t="shared" si="39" ref="B112:N112">IF(AND(B$109&gt;=$J29,B$109&lt;=$K29),$E29+$E30,0)</f>
        <v>0</v>
      </c>
      <c r="C112" s="43">
        <f t="shared" si="39"/>
        <v>0</v>
      </c>
      <c r="D112" s="43">
        <f t="shared" si="39"/>
        <v>0</v>
      </c>
      <c r="E112" s="43">
        <f t="shared" si="39"/>
        <v>0</v>
      </c>
      <c r="F112" s="43">
        <f t="shared" si="39"/>
        <v>0</v>
      </c>
      <c r="G112" s="43">
        <f t="shared" si="39"/>
        <v>79.05137209876544</v>
      </c>
      <c r="H112" s="43">
        <f t="shared" si="39"/>
        <v>79.05137209876544</v>
      </c>
      <c r="I112" s="43">
        <f t="shared" si="39"/>
        <v>0</v>
      </c>
      <c r="J112" s="43">
        <f t="shared" si="39"/>
        <v>0</v>
      </c>
      <c r="K112" s="43">
        <f t="shared" si="39"/>
        <v>0</v>
      </c>
      <c r="L112" s="43">
        <f t="shared" si="39"/>
        <v>0</v>
      </c>
      <c r="M112" s="43">
        <f t="shared" si="39"/>
        <v>0</v>
      </c>
      <c r="N112" s="43">
        <f t="shared" si="39"/>
        <v>0</v>
      </c>
    </row>
    <row r="113" spans="1:14" ht="12.75">
      <c r="A113" s="4" t="str">
        <f>A31</f>
        <v>HGS Foundations </v>
      </c>
      <c r="B113" s="43">
        <f aca="true" t="shared" si="40" ref="B113:N113">IF(AND(B$109&gt;=$J31,B$109&lt;=$K31),$E31+$E32,0)</f>
        <v>0</v>
      </c>
      <c r="C113" s="43">
        <f t="shared" si="40"/>
        <v>0</v>
      </c>
      <c r="D113" s="43">
        <f t="shared" si="40"/>
        <v>0</v>
      </c>
      <c r="E113" s="43">
        <f t="shared" si="40"/>
        <v>0</v>
      </c>
      <c r="F113" s="43">
        <f t="shared" si="40"/>
        <v>0</v>
      </c>
      <c r="G113" s="43">
        <f t="shared" si="40"/>
        <v>0</v>
      </c>
      <c r="H113" s="43">
        <f t="shared" si="40"/>
        <v>0</v>
      </c>
      <c r="I113" s="43">
        <f t="shared" si="40"/>
        <v>175.97634433862436</v>
      </c>
      <c r="J113" s="43">
        <f t="shared" si="40"/>
        <v>175.97634433862436</v>
      </c>
      <c r="K113" s="43">
        <f t="shared" si="40"/>
        <v>175.97634433862436</v>
      </c>
      <c r="L113" s="43">
        <f t="shared" si="40"/>
        <v>175.97634433862436</v>
      </c>
      <c r="M113" s="43">
        <f t="shared" si="40"/>
        <v>0</v>
      </c>
      <c r="N113" s="43">
        <f t="shared" si="40"/>
        <v>0</v>
      </c>
    </row>
    <row r="114" spans="1:14" ht="12.75">
      <c r="A114" s="4" t="str">
        <f>A33</f>
        <v>HGS Paving</v>
      </c>
      <c r="B114" s="43">
        <f aca="true" t="shared" si="41" ref="B114:N114">IF(AND(B$109&gt;=$J33,B$109&lt;=$K33),$E33+$E34,0)</f>
        <v>0</v>
      </c>
      <c r="C114" s="43">
        <f t="shared" si="41"/>
        <v>0</v>
      </c>
      <c r="D114" s="43">
        <f t="shared" si="41"/>
        <v>0</v>
      </c>
      <c r="E114" s="43">
        <f t="shared" si="41"/>
        <v>0</v>
      </c>
      <c r="F114" s="43">
        <f t="shared" si="41"/>
        <v>0</v>
      </c>
      <c r="G114" s="43">
        <f t="shared" si="41"/>
        <v>0</v>
      </c>
      <c r="H114" s="43">
        <f t="shared" si="41"/>
        <v>0</v>
      </c>
      <c r="I114" s="43">
        <f t="shared" si="41"/>
        <v>86.38166328042328</v>
      </c>
      <c r="J114" s="43">
        <f t="shared" si="41"/>
        <v>86.38166328042328</v>
      </c>
      <c r="K114" s="43">
        <f t="shared" si="41"/>
        <v>86.38166328042328</v>
      </c>
      <c r="L114" s="43">
        <f t="shared" si="41"/>
        <v>86.38166328042328</v>
      </c>
      <c r="M114" s="43">
        <f t="shared" si="41"/>
        <v>0</v>
      </c>
      <c r="N114" s="43">
        <f t="shared" si="41"/>
        <v>0</v>
      </c>
    </row>
    <row r="115" spans="1:14" ht="12.75">
      <c r="A115" s="4" t="str">
        <f>A35</f>
        <v>HGS Equipment Installation</v>
      </c>
      <c r="B115" s="43">
        <f aca="true" t="shared" si="42" ref="B115:N115">IF(AND(B$109&gt;=$J35,B$109&lt;=$K35),$E35+$E36,0)</f>
        <v>0</v>
      </c>
      <c r="C115" s="43">
        <f t="shared" si="42"/>
        <v>0</v>
      </c>
      <c r="D115" s="43">
        <f t="shared" si="42"/>
        <v>0</v>
      </c>
      <c r="E115" s="43">
        <f t="shared" si="42"/>
        <v>0</v>
      </c>
      <c r="F115" s="43">
        <f t="shared" si="42"/>
        <v>0</v>
      </c>
      <c r="G115" s="43">
        <f t="shared" si="42"/>
        <v>0</v>
      </c>
      <c r="H115" s="43">
        <f t="shared" si="42"/>
        <v>0</v>
      </c>
      <c r="I115" s="43">
        <f t="shared" si="42"/>
        <v>0</v>
      </c>
      <c r="J115" s="43">
        <f t="shared" si="42"/>
        <v>0</v>
      </c>
      <c r="K115" s="43">
        <f t="shared" si="42"/>
        <v>0</v>
      </c>
      <c r="L115" s="43">
        <f t="shared" si="42"/>
        <v>0</v>
      </c>
      <c r="M115" s="43">
        <f t="shared" si="42"/>
        <v>377.6828929805996</v>
      </c>
      <c r="N115" s="43">
        <f t="shared" si="42"/>
        <v>377.6828929805996</v>
      </c>
    </row>
    <row r="116" spans="1:14" ht="12.75">
      <c r="A116" s="4" t="str">
        <f>A37</f>
        <v>SGS Slab Demolition</v>
      </c>
      <c r="B116" s="43">
        <f aca="true" t="shared" si="43" ref="B116:N116">IF(AND(B$109&gt;=$J37,B$109&lt;=$K37),$E37+$E38,0)</f>
        <v>68.27445569664903</v>
      </c>
      <c r="C116" s="43">
        <f t="shared" si="43"/>
        <v>68.27445569664903</v>
      </c>
      <c r="D116" s="43">
        <f t="shared" si="43"/>
        <v>0</v>
      </c>
      <c r="E116" s="43">
        <f t="shared" si="43"/>
        <v>0</v>
      </c>
      <c r="F116" s="43">
        <f t="shared" si="43"/>
        <v>0</v>
      </c>
      <c r="G116" s="43">
        <f t="shared" si="43"/>
        <v>0</v>
      </c>
      <c r="H116" s="43">
        <f t="shared" si="43"/>
        <v>0</v>
      </c>
      <c r="I116" s="43">
        <f t="shared" si="43"/>
        <v>0</v>
      </c>
      <c r="J116" s="43">
        <f t="shared" si="43"/>
        <v>0</v>
      </c>
      <c r="K116" s="43">
        <f t="shared" si="43"/>
        <v>0</v>
      </c>
      <c r="L116" s="43">
        <f t="shared" si="43"/>
        <v>0</v>
      </c>
      <c r="M116" s="43">
        <f t="shared" si="43"/>
        <v>0</v>
      </c>
      <c r="N116" s="43">
        <f t="shared" si="43"/>
        <v>0</v>
      </c>
    </row>
    <row r="117" spans="1:14" ht="12.75">
      <c r="A117" s="4" t="str">
        <f>A39</f>
        <v>SGS Grading</v>
      </c>
      <c r="B117" s="43">
        <f aca="true" t="shared" si="44" ref="B117:N117">IF(AND(B$109&gt;=$J39,B$109&lt;=$K39),$E39+$E40,0)</f>
        <v>0</v>
      </c>
      <c r="C117" s="43">
        <f t="shared" si="44"/>
        <v>0</v>
      </c>
      <c r="D117" s="43">
        <f t="shared" si="44"/>
        <v>0</v>
      </c>
      <c r="E117" s="43">
        <f t="shared" si="44"/>
        <v>0</v>
      </c>
      <c r="F117" s="43">
        <f t="shared" si="44"/>
        <v>0</v>
      </c>
      <c r="G117" s="43">
        <f t="shared" si="44"/>
        <v>42.65416649029982</v>
      </c>
      <c r="H117" s="43">
        <f t="shared" si="44"/>
        <v>42.65416649029982</v>
      </c>
      <c r="I117" s="43">
        <f t="shared" si="44"/>
        <v>0</v>
      </c>
      <c r="J117" s="43">
        <f t="shared" si="44"/>
        <v>0</v>
      </c>
      <c r="K117" s="43">
        <f t="shared" si="44"/>
        <v>0</v>
      </c>
      <c r="L117" s="43">
        <f t="shared" si="44"/>
        <v>0</v>
      </c>
      <c r="M117" s="43">
        <f t="shared" si="44"/>
        <v>0</v>
      </c>
      <c r="N117" s="43">
        <f t="shared" si="44"/>
        <v>0</v>
      </c>
    </row>
    <row r="118" spans="1:14" ht="12.75">
      <c r="A118" s="4" t="str">
        <f>A41</f>
        <v>SGS Foundations </v>
      </c>
      <c r="B118" s="43">
        <f aca="true" t="shared" si="45" ref="B118:N118">IF(AND(B$109&gt;=$J41,B$109&lt;=$K41),$E41+$E42,0)</f>
        <v>0</v>
      </c>
      <c r="C118" s="43">
        <f t="shared" si="45"/>
        <v>0</v>
      </c>
      <c r="D118" s="43">
        <f t="shared" si="45"/>
        <v>0</v>
      </c>
      <c r="E118" s="43">
        <f t="shared" si="45"/>
        <v>0</v>
      </c>
      <c r="F118" s="43">
        <f t="shared" si="45"/>
        <v>0</v>
      </c>
      <c r="G118" s="43">
        <f t="shared" si="45"/>
        <v>0</v>
      </c>
      <c r="H118" s="43">
        <f t="shared" si="45"/>
        <v>0</v>
      </c>
      <c r="I118" s="43">
        <f t="shared" si="45"/>
        <v>28.02090271604938</v>
      </c>
      <c r="J118" s="43">
        <f t="shared" si="45"/>
        <v>28.02090271604938</v>
      </c>
      <c r="K118" s="43">
        <f t="shared" si="45"/>
        <v>28.02090271604938</v>
      </c>
      <c r="L118" s="43">
        <f t="shared" si="45"/>
        <v>28.02090271604938</v>
      </c>
      <c r="M118" s="43">
        <f t="shared" si="45"/>
        <v>0</v>
      </c>
      <c r="N118" s="43">
        <f t="shared" si="45"/>
        <v>0</v>
      </c>
    </row>
    <row r="119" spans="1:14" ht="12.75">
      <c r="A119" s="4" t="str">
        <f>A43</f>
        <v>SGS Paving</v>
      </c>
      <c r="B119" s="43">
        <f aca="true" t="shared" si="46" ref="B119:N119">IF(AND(B$109&gt;=$J43,B$109&lt;=$K43),$E43+$E44,0)</f>
        <v>0</v>
      </c>
      <c r="C119" s="43">
        <f t="shared" si="46"/>
        <v>0</v>
      </c>
      <c r="D119" s="43">
        <f t="shared" si="46"/>
        <v>0</v>
      </c>
      <c r="E119" s="43">
        <f t="shared" si="46"/>
        <v>0</v>
      </c>
      <c r="F119" s="43">
        <f t="shared" si="46"/>
        <v>0</v>
      </c>
      <c r="G119" s="43">
        <f t="shared" si="46"/>
        <v>0</v>
      </c>
      <c r="H119" s="43">
        <f t="shared" si="46"/>
        <v>0</v>
      </c>
      <c r="I119" s="43">
        <f t="shared" si="46"/>
        <v>37.23174603174603</v>
      </c>
      <c r="J119" s="43">
        <f t="shared" si="46"/>
        <v>37.23174603174603</v>
      </c>
      <c r="K119" s="43">
        <f t="shared" si="46"/>
        <v>37.23174603174603</v>
      </c>
      <c r="L119" s="43">
        <f t="shared" si="46"/>
        <v>37.23174603174603</v>
      </c>
      <c r="M119" s="43">
        <f t="shared" si="46"/>
        <v>0</v>
      </c>
      <c r="N119" s="43">
        <f t="shared" si="46"/>
        <v>0</v>
      </c>
    </row>
    <row r="120" spans="1:14" ht="12.75">
      <c r="A120" s="4" t="str">
        <f>A45</f>
        <v>SGS Equipment Installation</v>
      </c>
      <c r="B120" s="43">
        <f aca="true" t="shared" si="47" ref="B120:N120">IF(AND(B$109&gt;=$J45,B$109&lt;=$K45),$E45+$E46,0)</f>
        <v>0</v>
      </c>
      <c r="C120" s="43">
        <f t="shared" si="47"/>
        <v>0</v>
      </c>
      <c r="D120" s="43">
        <f t="shared" si="47"/>
        <v>0</v>
      </c>
      <c r="E120" s="43">
        <f t="shared" si="47"/>
        <v>0</v>
      </c>
      <c r="F120" s="43">
        <f t="shared" si="47"/>
        <v>0</v>
      </c>
      <c r="G120" s="43">
        <f t="shared" si="47"/>
        <v>0</v>
      </c>
      <c r="H120" s="43">
        <f t="shared" si="47"/>
        <v>0</v>
      </c>
      <c r="I120" s="43">
        <f t="shared" si="47"/>
        <v>0</v>
      </c>
      <c r="J120" s="43">
        <f t="shared" si="47"/>
        <v>0</v>
      </c>
      <c r="K120" s="43">
        <f t="shared" si="47"/>
        <v>0</v>
      </c>
      <c r="L120" s="43">
        <f t="shared" si="47"/>
        <v>0</v>
      </c>
      <c r="M120" s="43">
        <f t="shared" si="47"/>
        <v>135.89386155202823</v>
      </c>
      <c r="N120" s="43">
        <f t="shared" si="47"/>
        <v>135.89386155202823</v>
      </c>
    </row>
    <row r="121" spans="1:14" ht="12.75">
      <c r="A121" s="4" t="str">
        <f>A47</f>
        <v>VGS Demolition</v>
      </c>
      <c r="B121" s="43">
        <f aca="true" t="shared" si="48" ref="B121:N121">IF(AND(B$109&gt;=$J47,B$109&lt;=$K47),$E47+$E48,0)</f>
        <v>152.58700181305113</v>
      </c>
      <c r="C121" s="43">
        <f t="shared" si="48"/>
        <v>152.58700181305113</v>
      </c>
      <c r="D121" s="43">
        <f t="shared" si="48"/>
        <v>0</v>
      </c>
      <c r="E121" s="43">
        <f t="shared" si="48"/>
        <v>0</v>
      </c>
      <c r="F121" s="43">
        <f t="shared" si="48"/>
        <v>0</v>
      </c>
      <c r="G121" s="43">
        <f t="shared" si="48"/>
        <v>0</v>
      </c>
      <c r="H121" s="43">
        <f t="shared" si="48"/>
        <v>0</v>
      </c>
      <c r="I121" s="43">
        <f t="shared" si="48"/>
        <v>0</v>
      </c>
      <c r="J121" s="43">
        <f t="shared" si="48"/>
        <v>0</v>
      </c>
      <c r="K121" s="43">
        <f t="shared" si="48"/>
        <v>0</v>
      </c>
      <c r="L121" s="43">
        <f t="shared" si="48"/>
        <v>0</v>
      </c>
      <c r="M121" s="43">
        <f t="shared" si="48"/>
        <v>0</v>
      </c>
      <c r="N121" s="43">
        <f t="shared" si="48"/>
        <v>0</v>
      </c>
    </row>
    <row r="122" spans="1:14" ht="12.75">
      <c r="A122" s="4" t="str">
        <f>A49</f>
        <v>VGS Grading</v>
      </c>
      <c r="B122" s="43">
        <f aca="true" t="shared" si="49" ref="B122:N122">IF(AND(B$109&gt;=$J49,B$109&lt;=$K49),$E49+$E50,0)</f>
        <v>0</v>
      </c>
      <c r="C122" s="43">
        <f t="shared" si="49"/>
        <v>0</v>
      </c>
      <c r="D122" s="43">
        <f t="shared" si="49"/>
        <v>42.625132098765434</v>
      </c>
      <c r="E122" s="43">
        <f t="shared" si="49"/>
        <v>42.625132098765434</v>
      </c>
      <c r="F122" s="43">
        <f t="shared" si="49"/>
        <v>0</v>
      </c>
      <c r="G122" s="43">
        <f t="shared" si="49"/>
        <v>0</v>
      </c>
      <c r="H122" s="43">
        <f t="shared" si="49"/>
        <v>0</v>
      </c>
      <c r="I122" s="43">
        <f t="shared" si="49"/>
        <v>0</v>
      </c>
      <c r="J122" s="43">
        <f t="shared" si="49"/>
        <v>0</v>
      </c>
      <c r="K122" s="43">
        <f t="shared" si="49"/>
        <v>0</v>
      </c>
      <c r="L122" s="43">
        <f t="shared" si="49"/>
        <v>0</v>
      </c>
      <c r="M122" s="43">
        <f t="shared" si="49"/>
        <v>0</v>
      </c>
      <c r="N122" s="43">
        <f t="shared" si="49"/>
        <v>0</v>
      </c>
    </row>
    <row r="123" spans="1:14" ht="12.75">
      <c r="A123" s="4" t="str">
        <f>A51</f>
        <v>VGS Foundations </v>
      </c>
      <c r="B123" s="43">
        <f aca="true" t="shared" si="50" ref="B123:N123">IF(AND(B$109&gt;=$J51,B$109&lt;=$K51),$E51+$E52,0)</f>
        <v>0</v>
      </c>
      <c r="C123" s="43">
        <f t="shared" si="50"/>
        <v>0</v>
      </c>
      <c r="D123" s="43">
        <f t="shared" si="50"/>
        <v>0</v>
      </c>
      <c r="E123" s="43">
        <f t="shared" si="50"/>
        <v>0</v>
      </c>
      <c r="F123" s="43">
        <f t="shared" si="50"/>
        <v>53.23155964726631</v>
      </c>
      <c r="G123" s="43">
        <f t="shared" si="50"/>
        <v>53.23155964726631</v>
      </c>
      <c r="H123" s="43">
        <f t="shared" si="50"/>
        <v>53.23155964726631</v>
      </c>
      <c r="I123" s="43">
        <f t="shared" si="50"/>
        <v>53.23155964726631</v>
      </c>
      <c r="J123" s="43">
        <f t="shared" si="50"/>
        <v>53.23155964726631</v>
      </c>
      <c r="K123" s="43">
        <f t="shared" si="50"/>
        <v>0</v>
      </c>
      <c r="L123" s="43">
        <f t="shared" si="50"/>
        <v>0</v>
      </c>
      <c r="M123" s="43">
        <f t="shared" si="50"/>
        <v>0</v>
      </c>
      <c r="N123" s="43">
        <f t="shared" si="50"/>
        <v>0</v>
      </c>
    </row>
    <row r="124" spans="1:14" ht="12.75">
      <c r="A124" s="4" t="str">
        <f>A53</f>
        <v>VGS Paving</v>
      </c>
      <c r="B124" s="43">
        <f aca="true" t="shared" si="51" ref="B124:N124">IF(AND(B$109&gt;=$J53,B$109&lt;=$K53),$E53+$E54,0)</f>
        <v>0</v>
      </c>
      <c r="C124" s="43">
        <f t="shared" si="51"/>
        <v>0</v>
      </c>
      <c r="D124" s="43">
        <f t="shared" si="51"/>
        <v>0</v>
      </c>
      <c r="E124" s="43">
        <f t="shared" si="51"/>
        <v>0</v>
      </c>
      <c r="F124" s="43">
        <f t="shared" si="51"/>
        <v>0</v>
      </c>
      <c r="G124" s="43">
        <f t="shared" si="51"/>
        <v>0</v>
      </c>
      <c r="H124" s="43">
        <f t="shared" si="51"/>
        <v>0</v>
      </c>
      <c r="I124" s="43">
        <f t="shared" si="51"/>
        <v>38.94576719576719</v>
      </c>
      <c r="J124" s="43">
        <f t="shared" si="51"/>
        <v>38.94576719576719</v>
      </c>
      <c r="K124" s="43">
        <f t="shared" si="51"/>
        <v>38.94576719576719</v>
      </c>
      <c r="L124" s="43">
        <f t="shared" si="51"/>
        <v>0</v>
      </c>
      <c r="M124" s="43">
        <f t="shared" si="51"/>
        <v>0</v>
      </c>
      <c r="N124" s="43">
        <f t="shared" si="51"/>
        <v>0</v>
      </c>
    </row>
    <row r="125" spans="1:14" ht="12.75">
      <c r="A125" s="4" t="str">
        <f>A55</f>
        <v>VGS Equipment Installation</v>
      </c>
      <c r="B125" s="43">
        <f aca="true" t="shared" si="52" ref="B125:N125">IF(AND(B$109&gt;=$J55,B$109&lt;=$K55),$E55+$E56,0)</f>
        <v>0</v>
      </c>
      <c r="C125" s="43">
        <f t="shared" si="52"/>
        <v>0</v>
      </c>
      <c r="D125" s="43">
        <f t="shared" si="52"/>
        <v>0</v>
      </c>
      <c r="E125" s="43">
        <f t="shared" si="52"/>
        <v>0</v>
      </c>
      <c r="F125" s="43">
        <f t="shared" si="52"/>
        <v>0</v>
      </c>
      <c r="G125" s="43">
        <f t="shared" si="52"/>
        <v>0</v>
      </c>
      <c r="H125" s="43">
        <f t="shared" si="52"/>
        <v>0</v>
      </c>
      <c r="I125" s="43">
        <f t="shared" si="52"/>
        <v>0</v>
      </c>
      <c r="J125" s="43">
        <f t="shared" si="52"/>
        <v>0</v>
      </c>
      <c r="K125" s="43">
        <f t="shared" si="52"/>
        <v>0</v>
      </c>
      <c r="L125" s="43">
        <f t="shared" si="52"/>
        <v>0</v>
      </c>
      <c r="M125" s="43">
        <f t="shared" si="52"/>
        <v>146.18512529100528</v>
      </c>
      <c r="N125" s="43">
        <f t="shared" si="52"/>
        <v>146.18512529100528</v>
      </c>
    </row>
    <row r="126" spans="1:14" ht="12.75">
      <c r="A126" s="15" t="s">
        <v>24</v>
      </c>
      <c r="B126" s="44">
        <f>SUM(B110:B125)</f>
        <v>481.2382423703704</v>
      </c>
      <c r="C126" s="44">
        <f aca="true" t="shared" si="53" ref="C126:N126">SUM(C110:C125)</f>
        <v>481.2382423703704</v>
      </c>
      <c r="D126" s="44">
        <f t="shared" si="53"/>
        <v>386.979107266314</v>
      </c>
      <c r="E126" s="44">
        <f t="shared" si="53"/>
        <v>386.979107266314</v>
      </c>
      <c r="F126" s="44">
        <f t="shared" si="53"/>
        <v>397.5855348148148</v>
      </c>
      <c r="G126" s="44">
        <f t="shared" si="53"/>
        <v>519.2910734038801</v>
      </c>
      <c r="H126" s="44">
        <f t="shared" si="53"/>
        <v>519.2910734038801</v>
      </c>
      <c r="I126" s="44">
        <f t="shared" si="53"/>
        <v>419.7879832098765</v>
      </c>
      <c r="J126" s="44">
        <f t="shared" si="53"/>
        <v>419.7879832098765</v>
      </c>
      <c r="K126" s="44">
        <f t="shared" si="53"/>
        <v>366.5564235626102</v>
      </c>
      <c r="L126" s="44">
        <f t="shared" si="53"/>
        <v>327.610656366843</v>
      </c>
      <c r="M126" s="44">
        <f t="shared" si="53"/>
        <v>659.7618798236331</v>
      </c>
      <c r="N126" s="44">
        <f t="shared" si="53"/>
        <v>659.7618798236331</v>
      </c>
    </row>
    <row r="127" spans="1:14" ht="12.75">
      <c r="A127" s="39" t="s">
        <v>132</v>
      </c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7"/>
      <c r="M127" s="47"/>
      <c r="N127" s="47"/>
    </row>
    <row r="128" spans="1:14" ht="12.75">
      <c r="A128" s="62" t="s">
        <v>276</v>
      </c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7"/>
      <c r="M128" s="47"/>
      <c r="N128" s="47"/>
    </row>
    <row r="129" spans="1:14" ht="12.75">
      <c r="A129" s="39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7"/>
      <c r="M129" s="47"/>
      <c r="N129" s="47"/>
    </row>
    <row r="130" spans="1:14" ht="12.75">
      <c r="A130" s="39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7"/>
      <c r="M130" s="47"/>
      <c r="N130" s="47"/>
    </row>
    <row r="131" spans="1:14" ht="12.75">
      <c r="A131" s="87" t="s">
        <v>232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</row>
    <row r="132" spans="1:14" ht="15">
      <c r="A132" s="85" t="s">
        <v>237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1:14" ht="12.75">
      <c r="A133" s="37" t="s">
        <v>87</v>
      </c>
      <c r="B133" s="69">
        <v>1</v>
      </c>
      <c r="C133" s="69">
        <v>10</v>
      </c>
      <c r="D133" s="69">
        <v>11</v>
      </c>
      <c r="E133" s="69">
        <v>15</v>
      </c>
      <c r="F133" s="69">
        <v>16</v>
      </c>
      <c r="G133" s="69">
        <v>18</v>
      </c>
      <c r="H133" s="69">
        <v>20</v>
      </c>
      <c r="I133" s="69">
        <v>21</v>
      </c>
      <c r="J133" s="69">
        <v>22</v>
      </c>
      <c r="K133" s="69">
        <v>25</v>
      </c>
      <c r="L133" s="69">
        <v>28</v>
      </c>
      <c r="M133" s="69">
        <v>29</v>
      </c>
      <c r="N133" s="69">
        <v>150</v>
      </c>
    </row>
    <row r="134" spans="1:14" ht="12.75">
      <c r="A134" s="4" t="str">
        <f>A25</f>
        <v>HGS Tank Demolition</v>
      </c>
      <c r="B134" s="43">
        <f aca="true" t="shared" si="54" ref="B134:N134">IF(AND(B$133&gt;=$J25,B$133&lt;=$K25),$F25+$F26,0)</f>
        <v>20.319903999999998</v>
      </c>
      <c r="C134" s="43">
        <f t="shared" si="54"/>
        <v>20.319903999999998</v>
      </c>
      <c r="D134" s="43">
        <f t="shared" si="54"/>
        <v>0</v>
      </c>
      <c r="E134" s="43">
        <f t="shared" si="54"/>
        <v>0</v>
      </c>
      <c r="F134" s="43">
        <f t="shared" si="54"/>
        <v>0</v>
      </c>
      <c r="G134" s="43">
        <f t="shared" si="54"/>
        <v>0</v>
      </c>
      <c r="H134" s="43">
        <f t="shared" si="54"/>
        <v>0</v>
      </c>
      <c r="I134" s="43">
        <f t="shared" si="54"/>
        <v>0</v>
      </c>
      <c r="J134" s="43">
        <f t="shared" si="54"/>
        <v>0</v>
      </c>
      <c r="K134" s="43">
        <f t="shared" si="54"/>
        <v>0</v>
      </c>
      <c r="L134" s="43">
        <f t="shared" si="54"/>
        <v>0</v>
      </c>
      <c r="M134" s="43">
        <f t="shared" si="54"/>
        <v>0</v>
      </c>
      <c r="N134" s="43">
        <f t="shared" si="54"/>
        <v>0</v>
      </c>
    </row>
    <row r="135" spans="1:14" ht="12.75">
      <c r="A135" s="4" t="str">
        <f>A27</f>
        <v>HGS Backfill</v>
      </c>
      <c r="B135" s="43">
        <f aca="true" t="shared" si="55" ref="B135:N135">IF(AND(B$133&gt;=$J27,B$133&lt;=$K27),$F27+$F28,0)</f>
        <v>0</v>
      </c>
      <c r="C135" s="43">
        <f t="shared" si="55"/>
        <v>0</v>
      </c>
      <c r="D135" s="43">
        <f t="shared" si="55"/>
        <v>27.25184</v>
      </c>
      <c r="E135" s="43">
        <f t="shared" si="55"/>
        <v>27.25184</v>
      </c>
      <c r="F135" s="43">
        <f t="shared" si="55"/>
        <v>27.25184</v>
      </c>
      <c r="G135" s="43">
        <f t="shared" si="55"/>
        <v>27.25184</v>
      </c>
      <c r="H135" s="43">
        <f t="shared" si="55"/>
        <v>27.25184</v>
      </c>
      <c r="I135" s="43">
        <f t="shared" si="55"/>
        <v>0</v>
      </c>
      <c r="J135" s="43">
        <f t="shared" si="55"/>
        <v>0</v>
      </c>
      <c r="K135" s="43">
        <f t="shared" si="55"/>
        <v>0</v>
      </c>
      <c r="L135" s="43">
        <f t="shared" si="55"/>
        <v>0</v>
      </c>
      <c r="M135" s="43">
        <f t="shared" si="55"/>
        <v>0</v>
      </c>
      <c r="N135" s="43">
        <f t="shared" si="55"/>
        <v>0</v>
      </c>
    </row>
    <row r="136" spans="1:14" ht="12.75">
      <c r="A136" s="4" t="str">
        <f>A29</f>
        <v>HGS Grading</v>
      </c>
      <c r="B136" s="43">
        <f aca="true" t="shared" si="56" ref="B136:N136">IF(AND(B$133&gt;=$J29,B$133&lt;=$K29),$F29+$F30,0)</f>
        <v>0</v>
      </c>
      <c r="C136" s="43">
        <f t="shared" si="56"/>
        <v>0</v>
      </c>
      <c r="D136" s="43">
        <f t="shared" si="56"/>
        <v>0</v>
      </c>
      <c r="E136" s="43">
        <f t="shared" si="56"/>
        <v>0</v>
      </c>
      <c r="F136" s="43">
        <f t="shared" si="56"/>
        <v>0</v>
      </c>
      <c r="G136" s="43">
        <f t="shared" si="56"/>
        <v>6.928800000000001</v>
      </c>
      <c r="H136" s="43">
        <f t="shared" si="56"/>
        <v>6.928800000000001</v>
      </c>
      <c r="I136" s="43">
        <f t="shared" si="56"/>
        <v>0</v>
      </c>
      <c r="J136" s="43">
        <f t="shared" si="56"/>
        <v>0</v>
      </c>
      <c r="K136" s="43">
        <f t="shared" si="56"/>
        <v>0</v>
      </c>
      <c r="L136" s="43">
        <f t="shared" si="56"/>
        <v>0</v>
      </c>
      <c r="M136" s="43">
        <f t="shared" si="56"/>
        <v>0</v>
      </c>
      <c r="N136" s="43">
        <f t="shared" si="56"/>
        <v>0</v>
      </c>
    </row>
    <row r="137" spans="1:14" ht="12.75">
      <c r="A137" s="4" t="str">
        <f>A31</f>
        <v>HGS Foundations </v>
      </c>
      <c r="B137" s="43">
        <f aca="true" t="shared" si="57" ref="B137:N137">IF(AND(B$133&gt;=$J31,B$133&lt;=$K31),$F31+$F32,0)</f>
        <v>0</v>
      </c>
      <c r="C137" s="43">
        <f t="shared" si="57"/>
        <v>0</v>
      </c>
      <c r="D137" s="43">
        <f t="shared" si="57"/>
        <v>0</v>
      </c>
      <c r="E137" s="43">
        <f t="shared" si="57"/>
        <v>0</v>
      </c>
      <c r="F137" s="43">
        <f t="shared" si="57"/>
        <v>0</v>
      </c>
      <c r="G137" s="43">
        <f t="shared" si="57"/>
        <v>0</v>
      </c>
      <c r="H137" s="43">
        <f t="shared" si="57"/>
        <v>0</v>
      </c>
      <c r="I137" s="43">
        <f t="shared" si="57"/>
        <v>10.71856</v>
      </c>
      <c r="J137" s="43">
        <f t="shared" si="57"/>
        <v>10.71856</v>
      </c>
      <c r="K137" s="43">
        <f t="shared" si="57"/>
        <v>10.71856</v>
      </c>
      <c r="L137" s="43">
        <f t="shared" si="57"/>
        <v>10.71856</v>
      </c>
      <c r="M137" s="43">
        <f t="shared" si="57"/>
        <v>0</v>
      </c>
      <c r="N137" s="43">
        <f t="shared" si="57"/>
        <v>0</v>
      </c>
    </row>
    <row r="138" spans="1:14" ht="12.75">
      <c r="A138" s="4" t="str">
        <f>A33</f>
        <v>HGS Paving</v>
      </c>
      <c r="B138" s="43">
        <f aca="true" t="shared" si="58" ref="B138:N138">IF(AND(B$133&gt;=$J33,B$133&lt;=$K33),$F33+$F34,0)</f>
        <v>0</v>
      </c>
      <c r="C138" s="43">
        <f t="shared" si="58"/>
        <v>0</v>
      </c>
      <c r="D138" s="43">
        <f t="shared" si="58"/>
        <v>0</v>
      </c>
      <c r="E138" s="43">
        <f t="shared" si="58"/>
        <v>0</v>
      </c>
      <c r="F138" s="43">
        <f t="shared" si="58"/>
        <v>0</v>
      </c>
      <c r="G138" s="43">
        <f t="shared" si="58"/>
        <v>0</v>
      </c>
      <c r="H138" s="43">
        <f t="shared" si="58"/>
        <v>0</v>
      </c>
      <c r="I138" s="43">
        <f t="shared" si="58"/>
        <v>5.76544</v>
      </c>
      <c r="J138" s="43">
        <f t="shared" si="58"/>
        <v>5.76544</v>
      </c>
      <c r="K138" s="43">
        <f t="shared" si="58"/>
        <v>5.76544</v>
      </c>
      <c r="L138" s="43">
        <f t="shared" si="58"/>
        <v>5.76544</v>
      </c>
      <c r="M138" s="43">
        <f t="shared" si="58"/>
        <v>0</v>
      </c>
      <c r="N138" s="43">
        <f t="shared" si="58"/>
        <v>0</v>
      </c>
    </row>
    <row r="139" spans="1:14" ht="12.75">
      <c r="A139" s="4" t="str">
        <f>A35</f>
        <v>HGS Equipment Installation</v>
      </c>
      <c r="B139" s="43">
        <f aca="true" t="shared" si="59" ref="B139:N139">IF(AND(B$133&gt;=$J35,B$133&lt;=$K35),$F35+$F36,0)</f>
        <v>0</v>
      </c>
      <c r="C139" s="43">
        <f t="shared" si="59"/>
        <v>0</v>
      </c>
      <c r="D139" s="43">
        <f t="shared" si="59"/>
        <v>0</v>
      </c>
      <c r="E139" s="43">
        <f t="shared" si="59"/>
        <v>0</v>
      </c>
      <c r="F139" s="43">
        <f t="shared" si="59"/>
        <v>0</v>
      </c>
      <c r="G139" s="43">
        <f t="shared" si="59"/>
        <v>0</v>
      </c>
      <c r="H139" s="43">
        <f t="shared" si="59"/>
        <v>0</v>
      </c>
      <c r="I139" s="43">
        <f t="shared" si="59"/>
        <v>0</v>
      </c>
      <c r="J139" s="43">
        <f t="shared" si="59"/>
        <v>0</v>
      </c>
      <c r="K139" s="43">
        <f t="shared" si="59"/>
        <v>0</v>
      </c>
      <c r="L139" s="43">
        <f t="shared" si="59"/>
        <v>0</v>
      </c>
      <c r="M139" s="43">
        <f t="shared" si="59"/>
        <v>27.257599999999996</v>
      </c>
      <c r="N139" s="43">
        <f t="shared" si="59"/>
        <v>27.257599999999996</v>
      </c>
    </row>
    <row r="140" spans="1:14" ht="12.75">
      <c r="A140" s="4" t="str">
        <f>A37</f>
        <v>SGS Slab Demolition</v>
      </c>
      <c r="B140" s="43">
        <f aca="true" t="shared" si="60" ref="B140:N140">IF(AND(B$133&gt;=$J37,B$133&lt;=$K37),$F37+$F38,0)</f>
        <v>4.94304</v>
      </c>
      <c r="C140" s="43">
        <f t="shared" si="60"/>
        <v>4.94304</v>
      </c>
      <c r="D140" s="43">
        <f t="shared" si="60"/>
        <v>0</v>
      </c>
      <c r="E140" s="43">
        <f t="shared" si="60"/>
        <v>0</v>
      </c>
      <c r="F140" s="43">
        <f t="shared" si="60"/>
        <v>0</v>
      </c>
      <c r="G140" s="43">
        <f t="shared" si="60"/>
        <v>0</v>
      </c>
      <c r="H140" s="43">
        <f t="shared" si="60"/>
        <v>0</v>
      </c>
      <c r="I140" s="43">
        <f t="shared" si="60"/>
        <v>0</v>
      </c>
      <c r="J140" s="43">
        <f t="shared" si="60"/>
        <v>0</v>
      </c>
      <c r="K140" s="43">
        <f t="shared" si="60"/>
        <v>0</v>
      </c>
      <c r="L140" s="43">
        <f t="shared" si="60"/>
        <v>0</v>
      </c>
      <c r="M140" s="43">
        <f t="shared" si="60"/>
        <v>0</v>
      </c>
      <c r="N140" s="43">
        <f t="shared" si="60"/>
        <v>0</v>
      </c>
    </row>
    <row r="141" spans="1:14" ht="12.75">
      <c r="A141" s="4" t="str">
        <f>A39</f>
        <v>SGS Grading</v>
      </c>
      <c r="B141" s="43">
        <f aca="true" t="shared" si="61" ref="B141:N141">IF(AND(B$133&gt;=$J39,B$133&lt;=$K39),$F39+$F40,0)</f>
        <v>0</v>
      </c>
      <c r="C141" s="43">
        <f t="shared" si="61"/>
        <v>0</v>
      </c>
      <c r="D141" s="43">
        <f t="shared" si="61"/>
        <v>0</v>
      </c>
      <c r="E141" s="43">
        <f t="shared" si="61"/>
        <v>0</v>
      </c>
      <c r="F141" s="43">
        <f t="shared" si="61"/>
        <v>0</v>
      </c>
      <c r="G141" s="43">
        <f t="shared" si="61"/>
        <v>3.89328</v>
      </c>
      <c r="H141" s="43">
        <f t="shared" si="61"/>
        <v>3.89328</v>
      </c>
      <c r="I141" s="43">
        <f t="shared" si="61"/>
        <v>0</v>
      </c>
      <c r="J141" s="43">
        <f t="shared" si="61"/>
        <v>0</v>
      </c>
      <c r="K141" s="43">
        <f t="shared" si="61"/>
        <v>0</v>
      </c>
      <c r="L141" s="43">
        <f t="shared" si="61"/>
        <v>0</v>
      </c>
      <c r="M141" s="43">
        <f t="shared" si="61"/>
        <v>0</v>
      </c>
      <c r="N141" s="43">
        <f t="shared" si="61"/>
        <v>0</v>
      </c>
    </row>
    <row r="142" spans="1:14" ht="12.75">
      <c r="A142" s="4" t="str">
        <f>A41</f>
        <v>SGS Foundations </v>
      </c>
      <c r="B142" s="43">
        <f aca="true" t="shared" si="62" ref="B142:N142">IF(AND(B$133&gt;=$J41,B$133&lt;=$K41),$F41+$F42,0)</f>
        <v>0</v>
      </c>
      <c r="C142" s="43">
        <f t="shared" si="62"/>
        <v>0</v>
      </c>
      <c r="D142" s="43">
        <f t="shared" si="62"/>
        <v>0</v>
      </c>
      <c r="E142" s="43">
        <f t="shared" si="62"/>
        <v>0</v>
      </c>
      <c r="F142" s="43">
        <f t="shared" si="62"/>
        <v>0</v>
      </c>
      <c r="G142" s="43">
        <f t="shared" si="62"/>
        <v>0</v>
      </c>
      <c r="H142" s="43">
        <f t="shared" si="62"/>
        <v>0</v>
      </c>
      <c r="I142" s="43">
        <f t="shared" si="62"/>
        <v>1.67896</v>
      </c>
      <c r="J142" s="43">
        <f t="shared" si="62"/>
        <v>1.67896</v>
      </c>
      <c r="K142" s="43">
        <f t="shared" si="62"/>
        <v>1.67896</v>
      </c>
      <c r="L142" s="43">
        <f t="shared" si="62"/>
        <v>1.67896</v>
      </c>
      <c r="M142" s="43">
        <f t="shared" si="62"/>
        <v>0</v>
      </c>
      <c r="N142" s="43">
        <f t="shared" si="62"/>
        <v>0</v>
      </c>
    </row>
    <row r="143" spans="1:14" ht="12.75">
      <c r="A143" s="4" t="str">
        <f>A43</f>
        <v>SGS Paving</v>
      </c>
      <c r="B143" s="43">
        <f aca="true" t="shared" si="63" ref="B143:N143">IF(AND(B$133&gt;=$J43,B$133&lt;=$K43),$F43+$F44,0)</f>
        <v>0</v>
      </c>
      <c r="C143" s="43">
        <f t="shared" si="63"/>
        <v>0</v>
      </c>
      <c r="D143" s="43">
        <f t="shared" si="63"/>
        <v>0</v>
      </c>
      <c r="E143" s="43">
        <f t="shared" si="63"/>
        <v>0</v>
      </c>
      <c r="F143" s="43">
        <f t="shared" si="63"/>
        <v>0</v>
      </c>
      <c r="G143" s="43">
        <f t="shared" si="63"/>
        <v>0</v>
      </c>
      <c r="H143" s="43">
        <f t="shared" si="63"/>
        <v>0</v>
      </c>
      <c r="I143" s="43">
        <f t="shared" si="63"/>
        <v>2.72992</v>
      </c>
      <c r="J143" s="43">
        <f t="shared" si="63"/>
        <v>2.72992</v>
      </c>
      <c r="K143" s="43">
        <f t="shared" si="63"/>
        <v>2.72992</v>
      </c>
      <c r="L143" s="43">
        <f t="shared" si="63"/>
        <v>2.72992</v>
      </c>
      <c r="M143" s="43">
        <f t="shared" si="63"/>
        <v>0</v>
      </c>
      <c r="N143" s="43">
        <f t="shared" si="63"/>
        <v>0</v>
      </c>
    </row>
    <row r="144" spans="1:14" ht="12.75">
      <c r="A144" s="4" t="str">
        <f>A45</f>
        <v>SGS Equipment Installation</v>
      </c>
      <c r="B144" s="43">
        <f aca="true" t="shared" si="64" ref="B144:N144">IF(AND(B$133&gt;=$J45,B$133&lt;=$K45),$F45+$F46,0)</f>
        <v>0</v>
      </c>
      <c r="C144" s="43">
        <f t="shared" si="64"/>
        <v>0</v>
      </c>
      <c r="D144" s="43">
        <f t="shared" si="64"/>
        <v>0</v>
      </c>
      <c r="E144" s="43">
        <f t="shared" si="64"/>
        <v>0</v>
      </c>
      <c r="F144" s="43">
        <f t="shared" si="64"/>
        <v>0</v>
      </c>
      <c r="G144" s="43">
        <f t="shared" si="64"/>
        <v>0</v>
      </c>
      <c r="H144" s="43">
        <f t="shared" si="64"/>
        <v>0</v>
      </c>
      <c r="I144" s="43">
        <f t="shared" si="64"/>
        <v>0</v>
      </c>
      <c r="J144" s="43">
        <f t="shared" si="64"/>
        <v>0</v>
      </c>
      <c r="K144" s="43">
        <f t="shared" si="64"/>
        <v>0</v>
      </c>
      <c r="L144" s="43">
        <f t="shared" si="64"/>
        <v>0</v>
      </c>
      <c r="M144" s="43">
        <f t="shared" si="64"/>
        <v>10.365120000000001</v>
      </c>
      <c r="N144" s="43">
        <f t="shared" si="64"/>
        <v>10.365120000000001</v>
      </c>
    </row>
    <row r="145" spans="1:14" ht="12.75">
      <c r="A145" s="4" t="str">
        <f>A47</f>
        <v>VGS Demolition</v>
      </c>
      <c r="B145" s="43">
        <f aca="true" t="shared" si="65" ref="B145:N145">IF(AND(B$133&gt;=$J47,B$133&lt;=$K47),$F47+$F48,0)</f>
        <v>12.615391999999998</v>
      </c>
      <c r="C145" s="43">
        <f t="shared" si="65"/>
        <v>12.615391999999998</v>
      </c>
      <c r="D145" s="43">
        <f t="shared" si="65"/>
        <v>0</v>
      </c>
      <c r="E145" s="43">
        <f t="shared" si="65"/>
        <v>0</v>
      </c>
      <c r="F145" s="43">
        <f t="shared" si="65"/>
        <v>0</v>
      </c>
      <c r="G145" s="43">
        <f t="shared" si="65"/>
        <v>0</v>
      </c>
      <c r="H145" s="43">
        <f t="shared" si="65"/>
        <v>0</v>
      </c>
      <c r="I145" s="43">
        <f t="shared" si="65"/>
        <v>0</v>
      </c>
      <c r="J145" s="43">
        <f t="shared" si="65"/>
        <v>0</v>
      </c>
      <c r="K145" s="43">
        <f t="shared" si="65"/>
        <v>0</v>
      </c>
      <c r="L145" s="43">
        <f t="shared" si="65"/>
        <v>0</v>
      </c>
      <c r="M145" s="43">
        <f t="shared" si="65"/>
        <v>0</v>
      </c>
      <c r="N145" s="43">
        <f t="shared" si="65"/>
        <v>0</v>
      </c>
    </row>
    <row r="146" spans="1:14" ht="12.75">
      <c r="A146" s="4" t="str">
        <f>A49</f>
        <v>VGS Grading</v>
      </c>
      <c r="B146" s="43">
        <f aca="true" t="shared" si="66" ref="B146:N146">IF(AND(B$133&gt;=$J49,B$133&lt;=$K49),$F49+$F50,0)</f>
        <v>0</v>
      </c>
      <c r="C146" s="43">
        <f t="shared" si="66"/>
        <v>0</v>
      </c>
      <c r="D146" s="43">
        <f t="shared" si="66"/>
        <v>3.89328</v>
      </c>
      <c r="E146" s="43">
        <f t="shared" si="66"/>
        <v>3.89328</v>
      </c>
      <c r="F146" s="43">
        <f t="shared" si="66"/>
        <v>0</v>
      </c>
      <c r="G146" s="43">
        <f t="shared" si="66"/>
        <v>0</v>
      </c>
      <c r="H146" s="43">
        <f t="shared" si="66"/>
        <v>0</v>
      </c>
      <c r="I146" s="43">
        <f t="shared" si="66"/>
        <v>0</v>
      </c>
      <c r="J146" s="43">
        <f t="shared" si="66"/>
        <v>0</v>
      </c>
      <c r="K146" s="43">
        <f t="shared" si="66"/>
        <v>0</v>
      </c>
      <c r="L146" s="43">
        <f t="shared" si="66"/>
        <v>0</v>
      </c>
      <c r="M146" s="43">
        <f t="shared" si="66"/>
        <v>0</v>
      </c>
      <c r="N146" s="43">
        <f t="shared" si="66"/>
        <v>0</v>
      </c>
    </row>
    <row r="147" spans="1:14" ht="12.75">
      <c r="A147" s="4" t="str">
        <f>A51</f>
        <v>VGS Foundations </v>
      </c>
      <c r="B147" s="43">
        <f aca="true" t="shared" si="67" ref="B147:N147">IF(AND(B$133&gt;=$J51,B$133&lt;=$K51),$F51+$F52,0)</f>
        <v>0</v>
      </c>
      <c r="C147" s="43">
        <f t="shared" si="67"/>
        <v>0</v>
      </c>
      <c r="D147" s="43">
        <f t="shared" si="67"/>
        <v>0</v>
      </c>
      <c r="E147" s="43">
        <f t="shared" si="67"/>
        <v>0</v>
      </c>
      <c r="F147" s="43">
        <f t="shared" si="67"/>
        <v>2.34608</v>
      </c>
      <c r="G147" s="43">
        <f t="shared" si="67"/>
        <v>2.34608</v>
      </c>
      <c r="H147" s="43">
        <f t="shared" si="67"/>
        <v>2.34608</v>
      </c>
      <c r="I147" s="43">
        <f t="shared" si="67"/>
        <v>2.34608</v>
      </c>
      <c r="J147" s="43">
        <f t="shared" si="67"/>
        <v>2.34608</v>
      </c>
      <c r="K147" s="43">
        <f t="shared" si="67"/>
        <v>0</v>
      </c>
      <c r="L147" s="43">
        <f t="shared" si="67"/>
        <v>0</v>
      </c>
      <c r="M147" s="43">
        <f t="shared" si="67"/>
        <v>0</v>
      </c>
      <c r="N147" s="43">
        <f t="shared" si="67"/>
        <v>0</v>
      </c>
    </row>
    <row r="148" spans="1:14" ht="12.75">
      <c r="A148" s="4" t="str">
        <f>A53</f>
        <v>VGS Paving</v>
      </c>
      <c r="B148" s="43">
        <f aca="true" t="shared" si="68" ref="B148:N148">IF(AND(B$133&gt;=$J53,B$133&lt;=$K53),$F53+$F54,0)</f>
        <v>0</v>
      </c>
      <c r="C148" s="43">
        <f t="shared" si="68"/>
        <v>0</v>
      </c>
      <c r="D148" s="43">
        <f t="shared" si="68"/>
        <v>0</v>
      </c>
      <c r="E148" s="43">
        <f t="shared" si="68"/>
        <v>0</v>
      </c>
      <c r="F148" s="43">
        <f t="shared" si="68"/>
        <v>0</v>
      </c>
      <c r="G148" s="43">
        <f t="shared" si="68"/>
        <v>0</v>
      </c>
      <c r="H148" s="43">
        <f t="shared" si="68"/>
        <v>0</v>
      </c>
      <c r="I148" s="43">
        <f t="shared" si="68"/>
        <v>2.72992</v>
      </c>
      <c r="J148" s="43">
        <f t="shared" si="68"/>
        <v>2.72992</v>
      </c>
      <c r="K148" s="43">
        <f t="shared" si="68"/>
        <v>2.72992</v>
      </c>
      <c r="L148" s="43">
        <f t="shared" si="68"/>
        <v>0</v>
      </c>
      <c r="M148" s="43">
        <f t="shared" si="68"/>
        <v>0</v>
      </c>
      <c r="N148" s="43">
        <f t="shared" si="68"/>
        <v>0</v>
      </c>
    </row>
    <row r="149" spans="1:14" ht="12.75">
      <c r="A149" s="4" t="str">
        <f>A55</f>
        <v>VGS Equipment Installation</v>
      </c>
      <c r="B149" s="43">
        <f aca="true" t="shared" si="69" ref="B149:N149">IF(AND(B$133&gt;=$J55,B$133&lt;=$K55),$F55+$F56,0)</f>
        <v>0</v>
      </c>
      <c r="C149" s="43">
        <f t="shared" si="69"/>
        <v>0</v>
      </c>
      <c r="D149" s="43">
        <f t="shared" si="69"/>
        <v>0</v>
      </c>
      <c r="E149" s="43">
        <f t="shared" si="69"/>
        <v>0</v>
      </c>
      <c r="F149" s="43">
        <f t="shared" si="69"/>
        <v>0</v>
      </c>
      <c r="G149" s="43">
        <f t="shared" si="69"/>
        <v>0</v>
      </c>
      <c r="H149" s="43">
        <f t="shared" si="69"/>
        <v>0</v>
      </c>
      <c r="I149" s="43">
        <f t="shared" si="69"/>
        <v>0</v>
      </c>
      <c r="J149" s="43">
        <f t="shared" si="69"/>
        <v>0</v>
      </c>
      <c r="K149" s="43">
        <f t="shared" si="69"/>
        <v>0</v>
      </c>
      <c r="L149" s="43">
        <f t="shared" si="69"/>
        <v>0</v>
      </c>
      <c r="M149" s="43">
        <f t="shared" si="69"/>
        <v>10.99984</v>
      </c>
      <c r="N149" s="43">
        <f t="shared" si="69"/>
        <v>10.99984</v>
      </c>
    </row>
    <row r="150" spans="1:14" ht="12.75">
      <c r="A150" s="15" t="s">
        <v>24</v>
      </c>
      <c r="B150" s="44">
        <f>SUM(B134:B149)</f>
        <v>37.878336</v>
      </c>
      <c r="C150" s="44">
        <f aca="true" t="shared" si="70" ref="C150:N150">SUM(C134:C149)</f>
        <v>37.878336</v>
      </c>
      <c r="D150" s="44">
        <f t="shared" si="70"/>
        <v>31.145120000000002</v>
      </c>
      <c r="E150" s="44">
        <f t="shared" si="70"/>
        <v>31.145120000000002</v>
      </c>
      <c r="F150" s="44">
        <f t="shared" si="70"/>
        <v>29.597920000000002</v>
      </c>
      <c r="G150" s="44">
        <f t="shared" si="70"/>
        <v>40.42</v>
      </c>
      <c r="H150" s="44">
        <f t="shared" si="70"/>
        <v>40.42</v>
      </c>
      <c r="I150" s="44">
        <f t="shared" si="70"/>
        <v>25.968880000000002</v>
      </c>
      <c r="J150" s="44">
        <f t="shared" si="70"/>
        <v>25.968880000000002</v>
      </c>
      <c r="K150" s="44">
        <f t="shared" si="70"/>
        <v>23.6228</v>
      </c>
      <c r="L150" s="44">
        <f t="shared" si="70"/>
        <v>20.89288</v>
      </c>
      <c r="M150" s="44">
        <f t="shared" si="70"/>
        <v>48.62256</v>
      </c>
      <c r="N150" s="44">
        <f t="shared" si="70"/>
        <v>48.62256</v>
      </c>
    </row>
    <row r="151" spans="1:14" ht="12.75">
      <c r="A151" s="39" t="s">
        <v>132</v>
      </c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7"/>
      <c r="M151" s="47"/>
      <c r="N151" s="47"/>
    </row>
    <row r="152" spans="1:14" ht="12.75">
      <c r="A152" s="62" t="s">
        <v>276</v>
      </c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7"/>
      <c r="M152" s="47"/>
      <c r="N152" s="47"/>
    </row>
    <row r="153" spans="1:11" ht="12.75">
      <c r="A153" s="29"/>
      <c r="B153" s="48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2.75">
      <c r="A154" s="29"/>
      <c r="B154" s="48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4" ht="12.75">
      <c r="A155" s="86" t="s">
        <v>233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5">
      <c r="A156" s="85" t="s">
        <v>238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</row>
    <row r="157" spans="1:14" ht="12.75">
      <c r="A157" s="37" t="s">
        <v>87</v>
      </c>
      <c r="B157" s="69">
        <v>1</v>
      </c>
      <c r="C157" s="69">
        <v>10</v>
      </c>
      <c r="D157" s="69">
        <v>11</v>
      </c>
      <c r="E157" s="69">
        <v>15</v>
      </c>
      <c r="F157" s="69">
        <v>16</v>
      </c>
      <c r="G157" s="69">
        <v>18</v>
      </c>
      <c r="H157" s="69">
        <v>20</v>
      </c>
      <c r="I157" s="69">
        <v>21</v>
      </c>
      <c r="J157" s="69">
        <v>22</v>
      </c>
      <c r="K157" s="69">
        <v>25</v>
      </c>
      <c r="L157" s="69">
        <v>28</v>
      </c>
      <c r="M157" s="69">
        <v>29</v>
      </c>
      <c r="N157" s="69">
        <v>150</v>
      </c>
    </row>
    <row r="158" spans="1:14" ht="12.75">
      <c r="A158" s="4" t="str">
        <f>A25</f>
        <v>HGS Tank Demolition</v>
      </c>
      <c r="B158" s="43">
        <f aca="true" t="shared" si="71" ref="B158:N158">IF(AND(B$157&gt;=$J25,B$157&lt;=$K25),$I25+$I26,0)</f>
        <v>134.39091473781045</v>
      </c>
      <c r="C158" s="43">
        <f t="shared" si="71"/>
        <v>134.39091473781045</v>
      </c>
      <c r="D158" s="43">
        <f t="shared" si="71"/>
        <v>0</v>
      </c>
      <c r="E158" s="43">
        <f t="shared" si="71"/>
        <v>0</v>
      </c>
      <c r="F158" s="43">
        <f t="shared" si="71"/>
        <v>0</v>
      </c>
      <c r="G158" s="43">
        <f t="shared" si="71"/>
        <v>0</v>
      </c>
      <c r="H158" s="43">
        <f t="shared" si="71"/>
        <v>0</v>
      </c>
      <c r="I158" s="43">
        <f t="shared" si="71"/>
        <v>0</v>
      </c>
      <c r="J158" s="43">
        <f t="shared" si="71"/>
        <v>0</v>
      </c>
      <c r="K158" s="43">
        <f t="shared" si="71"/>
        <v>0</v>
      </c>
      <c r="L158" s="43">
        <f t="shared" si="71"/>
        <v>0</v>
      </c>
      <c r="M158" s="43">
        <f t="shared" si="71"/>
        <v>0</v>
      </c>
      <c r="N158" s="43">
        <f t="shared" si="71"/>
        <v>0</v>
      </c>
    </row>
    <row r="159" spans="1:14" ht="12.75">
      <c r="A159" s="4" t="str">
        <f>A27</f>
        <v>HGS Backfill</v>
      </c>
      <c r="B159" s="43">
        <f aca="true" t="shared" si="72" ref="B159:N159">IF(AND(B$157&gt;=$J27,B$157&lt;=$K27),$I27+$I28,0)</f>
        <v>0</v>
      </c>
      <c r="C159" s="43">
        <f t="shared" si="72"/>
        <v>0</v>
      </c>
      <c r="D159" s="43">
        <f t="shared" si="72"/>
        <v>307.7997246583965</v>
      </c>
      <c r="E159" s="43">
        <f t="shared" si="72"/>
        <v>307.7997246583965</v>
      </c>
      <c r="F159" s="43">
        <f t="shared" si="72"/>
        <v>307.7997246583965</v>
      </c>
      <c r="G159" s="43">
        <f t="shared" si="72"/>
        <v>307.7997246583965</v>
      </c>
      <c r="H159" s="43">
        <f t="shared" si="72"/>
        <v>307.7997246583965</v>
      </c>
      <c r="I159" s="43">
        <f t="shared" si="72"/>
        <v>0</v>
      </c>
      <c r="J159" s="43">
        <f t="shared" si="72"/>
        <v>0</v>
      </c>
      <c r="K159" s="43">
        <f t="shared" si="72"/>
        <v>0</v>
      </c>
      <c r="L159" s="43">
        <f t="shared" si="72"/>
        <v>0</v>
      </c>
      <c r="M159" s="43">
        <f t="shared" si="72"/>
        <v>0</v>
      </c>
      <c r="N159" s="43">
        <f t="shared" si="72"/>
        <v>0</v>
      </c>
    </row>
    <row r="160" spans="1:14" ht="12.75">
      <c r="A160" s="4" t="str">
        <f>A29</f>
        <v>HGS Grading</v>
      </c>
      <c r="B160" s="43">
        <f aca="true" t="shared" si="73" ref="B160:N160">IF(AND(B$157&gt;=$J29,B$157&lt;=$K29),$I29+$I30,0)</f>
        <v>0</v>
      </c>
      <c r="C160" s="43">
        <f t="shared" si="73"/>
        <v>0</v>
      </c>
      <c r="D160" s="43">
        <f t="shared" si="73"/>
        <v>0</v>
      </c>
      <c r="E160" s="43">
        <f t="shared" si="73"/>
        <v>0</v>
      </c>
      <c r="F160" s="43">
        <f t="shared" si="73"/>
        <v>0</v>
      </c>
      <c r="G160" s="43">
        <f t="shared" si="73"/>
        <v>7.346339032471537</v>
      </c>
      <c r="H160" s="43">
        <f t="shared" si="73"/>
        <v>7.346339032471537</v>
      </c>
      <c r="I160" s="43">
        <f t="shared" si="73"/>
        <v>0</v>
      </c>
      <c r="J160" s="43">
        <f t="shared" si="73"/>
        <v>0</v>
      </c>
      <c r="K160" s="43">
        <f t="shared" si="73"/>
        <v>0</v>
      </c>
      <c r="L160" s="43">
        <f t="shared" si="73"/>
        <v>0</v>
      </c>
      <c r="M160" s="43">
        <f t="shared" si="73"/>
        <v>0</v>
      </c>
      <c r="N160" s="43">
        <f t="shared" si="73"/>
        <v>0</v>
      </c>
    </row>
    <row r="161" spans="1:14" ht="12.75">
      <c r="A161" s="4" t="str">
        <f>A31</f>
        <v>HGS Foundations </v>
      </c>
      <c r="B161" s="43">
        <f aca="true" t="shared" si="74" ref="B161:N161">IF(AND(B$157&gt;=$J31,B$157&lt;=$K31),$I31+$I32,0)</f>
        <v>0</v>
      </c>
      <c r="C161" s="43">
        <f t="shared" si="74"/>
        <v>0</v>
      </c>
      <c r="D161" s="43">
        <f t="shared" si="74"/>
        <v>0</v>
      </c>
      <c r="E161" s="43">
        <f t="shared" si="74"/>
        <v>0</v>
      </c>
      <c r="F161" s="43">
        <f t="shared" si="74"/>
        <v>0</v>
      </c>
      <c r="G161" s="43">
        <f t="shared" si="74"/>
        <v>0</v>
      </c>
      <c r="H161" s="43">
        <f t="shared" si="74"/>
        <v>0</v>
      </c>
      <c r="I161" s="43">
        <f t="shared" si="74"/>
        <v>139.1443678568124</v>
      </c>
      <c r="J161" s="43">
        <f t="shared" si="74"/>
        <v>139.1443678568124</v>
      </c>
      <c r="K161" s="43">
        <f t="shared" si="74"/>
        <v>139.1443678568124</v>
      </c>
      <c r="L161" s="43">
        <f t="shared" si="74"/>
        <v>139.1443678568124</v>
      </c>
      <c r="M161" s="43">
        <f t="shared" si="74"/>
        <v>0</v>
      </c>
      <c r="N161" s="43">
        <f t="shared" si="74"/>
        <v>0</v>
      </c>
    </row>
    <row r="162" spans="1:14" ht="12.75">
      <c r="A162" s="4" t="str">
        <f>A33</f>
        <v>HGS Paving</v>
      </c>
      <c r="B162" s="43">
        <f aca="true" t="shared" si="75" ref="B162:N162">IF(AND(B$157&gt;=$J33,B$157&lt;=$K33),$I33+$I34,0)</f>
        <v>0</v>
      </c>
      <c r="C162" s="43">
        <f t="shared" si="75"/>
        <v>0</v>
      </c>
      <c r="D162" s="43">
        <f t="shared" si="75"/>
        <v>0</v>
      </c>
      <c r="E162" s="43">
        <f t="shared" si="75"/>
        <v>0</v>
      </c>
      <c r="F162" s="43">
        <f t="shared" si="75"/>
        <v>0</v>
      </c>
      <c r="G162" s="43">
        <f t="shared" si="75"/>
        <v>0</v>
      </c>
      <c r="H162" s="43">
        <f t="shared" si="75"/>
        <v>0</v>
      </c>
      <c r="I162" s="43">
        <f t="shared" si="75"/>
        <v>59.46995175817649</v>
      </c>
      <c r="J162" s="43">
        <f t="shared" si="75"/>
        <v>59.46995175817649</v>
      </c>
      <c r="K162" s="43">
        <f t="shared" si="75"/>
        <v>59.46995175817649</v>
      </c>
      <c r="L162" s="43">
        <f t="shared" si="75"/>
        <v>59.46995175817649</v>
      </c>
      <c r="M162" s="43">
        <f t="shared" si="75"/>
        <v>0</v>
      </c>
      <c r="N162" s="43">
        <f t="shared" si="75"/>
        <v>0</v>
      </c>
    </row>
    <row r="163" spans="1:14" ht="12.75">
      <c r="A163" s="4" t="str">
        <f>A35</f>
        <v>HGS Equipment Installation</v>
      </c>
      <c r="B163" s="43">
        <f aca="true" t="shared" si="76" ref="B163:N163">IF(AND(B$157&gt;=$J35,B$157&lt;=$K35),$I35+$I36,0)</f>
        <v>0</v>
      </c>
      <c r="C163" s="43">
        <f t="shared" si="76"/>
        <v>0</v>
      </c>
      <c r="D163" s="43">
        <f t="shared" si="76"/>
        <v>0</v>
      </c>
      <c r="E163" s="43">
        <f t="shared" si="76"/>
        <v>0</v>
      </c>
      <c r="F163" s="43">
        <f t="shared" si="76"/>
        <v>0</v>
      </c>
      <c r="G163" s="43">
        <f t="shared" si="76"/>
        <v>0</v>
      </c>
      <c r="H163" s="43">
        <f t="shared" si="76"/>
        <v>0</v>
      </c>
      <c r="I163" s="43">
        <f t="shared" si="76"/>
        <v>0</v>
      </c>
      <c r="J163" s="43">
        <f t="shared" si="76"/>
        <v>0</v>
      </c>
      <c r="K163" s="43">
        <f t="shared" si="76"/>
        <v>0</v>
      </c>
      <c r="L163" s="43">
        <f t="shared" si="76"/>
        <v>0</v>
      </c>
      <c r="M163" s="43">
        <f t="shared" si="76"/>
        <v>82.00659860370789</v>
      </c>
      <c r="N163" s="43">
        <f t="shared" si="76"/>
        <v>82.00659860370789</v>
      </c>
    </row>
    <row r="164" spans="1:14" ht="12.75">
      <c r="A164" s="4" t="str">
        <f>A37</f>
        <v>SGS Slab Demolition</v>
      </c>
      <c r="B164" s="43">
        <f aca="true" t="shared" si="77" ref="B164:N164">IF(AND(B$157&gt;=$J37,B$157&lt;=$K37),$I37+$I38,0)</f>
        <v>72.5777951886117</v>
      </c>
      <c r="C164" s="43">
        <f t="shared" si="77"/>
        <v>72.5777951886117</v>
      </c>
      <c r="D164" s="43">
        <f t="shared" si="77"/>
        <v>0</v>
      </c>
      <c r="E164" s="43">
        <f t="shared" si="77"/>
        <v>0</v>
      </c>
      <c r="F164" s="43">
        <f t="shared" si="77"/>
        <v>0</v>
      </c>
      <c r="G164" s="43">
        <f t="shared" si="77"/>
        <v>0</v>
      </c>
      <c r="H164" s="43">
        <f t="shared" si="77"/>
        <v>0</v>
      </c>
      <c r="I164" s="43">
        <f t="shared" si="77"/>
        <v>0</v>
      </c>
      <c r="J164" s="43">
        <f t="shared" si="77"/>
        <v>0</v>
      </c>
      <c r="K164" s="43">
        <f t="shared" si="77"/>
        <v>0</v>
      </c>
      <c r="L164" s="43">
        <f t="shared" si="77"/>
        <v>0</v>
      </c>
      <c r="M164" s="43">
        <f t="shared" si="77"/>
        <v>0</v>
      </c>
      <c r="N164" s="43">
        <f t="shared" si="77"/>
        <v>0</v>
      </c>
    </row>
    <row r="165" spans="1:14" ht="12.75">
      <c r="A165" s="4" t="str">
        <f>A39</f>
        <v>SGS Grading</v>
      </c>
      <c r="B165" s="43">
        <f aca="true" t="shared" si="78" ref="B165:N165">IF(AND(B$157&gt;=$J39,B$157&lt;=$K39),$I39+$I40,0)</f>
        <v>0</v>
      </c>
      <c r="C165" s="43">
        <f t="shared" si="78"/>
        <v>0</v>
      </c>
      <c r="D165" s="43">
        <f t="shared" si="78"/>
        <v>0</v>
      </c>
      <c r="E165" s="43">
        <f t="shared" si="78"/>
        <v>0</v>
      </c>
      <c r="F165" s="43">
        <f t="shared" si="78"/>
        <v>0</v>
      </c>
      <c r="G165" s="43">
        <f t="shared" si="78"/>
        <v>5.999637481515182</v>
      </c>
      <c r="H165" s="43">
        <f t="shared" si="78"/>
        <v>5.999637481515182</v>
      </c>
      <c r="I165" s="43">
        <f t="shared" si="78"/>
        <v>0</v>
      </c>
      <c r="J165" s="43">
        <f t="shared" si="78"/>
        <v>0</v>
      </c>
      <c r="K165" s="43">
        <f t="shared" si="78"/>
        <v>0</v>
      </c>
      <c r="L165" s="43">
        <f t="shared" si="78"/>
        <v>0</v>
      </c>
      <c r="M165" s="43">
        <f t="shared" si="78"/>
        <v>0</v>
      </c>
      <c r="N165" s="43">
        <f t="shared" si="78"/>
        <v>0</v>
      </c>
    </row>
    <row r="166" spans="1:14" ht="12.75">
      <c r="A166" s="4" t="str">
        <f>A41</f>
        <v>SGS Foundations </v>
      </c>
      <c r="B166" s="43">
        <f aca="true" t="shared" si="79" ref="B166:N166">IF(AND(B$157&gt;=$J41,B$157&lt;=$K41),$I41+$I42,0)</f>
        <v>0</v>
      </c>
      <c r="C166" s="43">
        <f t="shared" si="79"/>
        <v>0</v>
      </c>
      <c r="D166" s="43">
        <f t="shared" si="79"/>
        <v>0</v>
      </c>
      <c r="E166" s="43">
        <f t="shared" si="79"/>
        <v>0</v>
      </c>
      <c r="F166" s="43">
        <f t="shared" si="79"/>
        <v>0</v>
      </c>
      <c r="G166" s="43">
        <f t="shared" si="79"/>
        <v>0</v>
      </c>
      <c r="H166" s="43">
        <f t="shared" si="79"/>
        <v>0</v>
      </c>
      <c r="I166" s="43">
        <f t="shared" si="79"/>
        <v>26.421897379948625</v>
      </c>
      <c r="J166" s="43">
        <f t="shared" si="79"/>
        <v>26.421897379948625</v>
      </c>
      <c r="K166" s="43">
        <f t="shared" si="79"/>
        <v>26.421897379948625</v>
      </c>
      <c r="L166" s="43">
        <f t="shared" si="79"/>
        <v>26.421897379948625</v>
      </c>
      <c r="M166" s="43">
        <f t="shared" si="79"/>
        <v>0</v>
      </c>
      <c r="N166" s="43">
        <f t="shared" si="79"/>
        <v>0</v>
      </c>
    </row>
    <row r="167" spans="1:14" ht="12.75">
      <c r="A167" s="4" t="str">
        <f>A43</f>
        <v>SGS Paving</v>
      </c>
      <c r="B167" s="43">
        <f aca="true" t="shared" si="80" ref="B167:N167">IF(AND(B$157&gt;=$J43,B$157&lt;=$K43),$I43+$I44,0)</f>
        <v>0</v>
      </c>
      <c r="C167" s="43">
        <f t="shared" si="80"/>
        <v>0</v>
      </c>
      <c r="D167" s="43">
        <f t="shared" si="80"/>
        <v>0</v>
      </c>
      <c r="E167" s="43">
        <f t="shared" si="80"/>
        <v>0</v>
      </c>
      <c r="F167" s="43">
        <f t="shared" si="80"/>
        <v>0</v>
      </c>
      <c r="G167" s="43">
        <f t="shared" si="80"/>
        <v>0</v>
      </c>
      <c r="H167" s="43">
        <f t="shared" si="80"/>
        <v>0</v>
      </c>
      <c r="I167" s="43">
        <f t="shared" si="80"/>
        <v>18.81584790710884</v>
      </c>
      <c r="J167" s="43">
        <f t="shared" si="80"/>
        <v>18.81584790710884</v>
      </c>
      <c r="K167" s="43">
        <f t="shared" si="80"/>
        <v>18.81584790710884</v>
      </c>
      <c r="L167" s="43">
        <f t="shared" si="80"/>
        <v>18.81584790710884</v>
      </c>
      <c r="M167" s="43">
        <f t="shared" si="80"/>
        <v>0</v>
      </c>
      <c r="N167" s="43">
        <f t="shared" si="80"/>
        <v>0</v>
      </c>
    </row>
    <row r="168" spans="1:14" ht="12.75">
      <c r="A168" s="4" t="str">
        <f>A45</f>
        <v>SGS Equipment Installation</v>
      </c>
      <c r="B168" s="43">
        <f aca="true" t="shared" si="81" ref="B168:N168">IF(AND(B$157&gt;=$J45,B$157&lt;=$K45),$I45+$I46,0)</f>
        <v>0</v>
      </c>
      <c r="C168" s="43">
        <f t="shared" si="81"/>
        <v>0</v>
      </c>
      <c r="D168" s="43">
        <f t="shared" si="81"/>
        <v>0</v>
      </c>
      <c r="E168" s="43">
        <f t="shared" si="81"/>
        <v>0</v>
      </c>
      <c r="F168" s="43">
        <f t="shared" si="81"/>
        <v>0</v>
      </c>
      <c r="G168" s="43">
        <f t="shared" si="81"/>
        <v>0</v>
      </c>
      <c r="H168" s="43">
        <f t="shared" si="81"/>
        <v>0</v>
      </c>
      <c r="I168" s="43">
        <f t="shared" si="81"/>
        <v>0</v>
      </c>
      <c r="J168" s="43">
        <f t="shared" si="81"/>
        <v>0</v>
      </c>
      <c r="K168" s="43">
        <f t="shared" si="81"/>
        <v>0</v>
      </c>
      <c r="L168" s="43">
        <f t="shared" si="81"/>
        <v>0</v>
      </c>
      <c r="M168" s="43">
        <f t="shared" si="81"/>
        <v>45.72434536362856</v>
      </c>
      <c r="N168" s="43">
        <f t="shared" si="81"/>
        <v>45.72434536362856</v>
      </c>
    </row>
    <row r="169" spans="1:14" ht="12.75">
      <c r="A169" s="4" t="str">
        <f>A47</f>
        <v>VGS Demolition</v>
      </c>
      <c r="B169" s="43">
        <f aca="true" t="shared" si="82" ref="B169:N169">IF(AND(B$157&gt;=$J47,B$157&lt;=$K47),$I47+$I48,0)</f>
        <v>53.53275396697393</v>
      </c>
      <c r="C169" s="43">
        <f t="shared" si="82"/>
        <v>53.53275396697393</v>
      </c>
      <c r="D169" s="43">
        <f t="shared" si="82"/>
        <v>0</v>
      </c>
      <c r="E169" s="43">
        <f t="shared" si="82"/>
        <v>0</v>
      </c>
      <c r="F169" s="43">
        <f t="shared" si="82"/>
        <v>0</v>
      </c>
      <c r="G169" s="43">
        <f t="shared" si="82"/>
        <v>0</v>
      </c>
      <c r="H169" s="43">
        <f t="shared" si="82"/>
        <v>0</v>
      </c>
      <c r="I169" s="43">
        <f t="shared" si="82"/>
        <v>0</v>
      </c>
      <c r="J169" s="43">
        <f t="shared" si="82"/>
        <v>0</v>
      </c>
      <c r="K169" s="43">
        <f t="shared" si="82"/>
        <v>0</v>
      </c>
      <c r="L169" s="43">
        <f t="shared" si="82"/>
        <v>0</v>
      </c>
      <c r="M169" s="43">
        <f t="shared" si="82"/>
        <v>0</v>
      </c>
      <c r="N169" s="43">
        <f t="shared" si="82"/>
        <v>0</v>
      </c>
    </row>
    <row r="170" spans="1:14" ht="12.75">
      <c r="A170" s="4" t="str">
        <f>A49</f>
        <v>VGS Grading</v>
      </c>
      <c r="B170" s="43">
        <f aca="true" t="shared" si="83" ref="B170:N170">IF(AND(B$157&gt;=$J49,B$157&lt;=$K49),$I49+$I50,0)</f>
        <v>0</v>
      </c>
      <c r="C170" s="43">
        <f t="shared" si="83"/>
        <v>0</v>
      </c>
      <c r="D170" s="43">
        <f t="shared" si="83"/>
        <v>5.069699032471537</v>
      </c>
      <c r="E170" s="43">
        <f t="shared" si="83"/>
        <v>5.069699032471537</v>
      </c>
      <c r="F170" s="43">
        <f t="shared" si="83"/>
        <v>0</v>
      </c>
      <c r="G170" s="43">
        <f t="shared" si="83"/>
        <v>0</v>
      </c>
      <c r="H170" s="43">
        <f t="shared" si="83"/>
        <v>0</v>
      </c>
      <c r="I170" s="43">
        <f t="shared" si="83"/>
        <v>0</v>
      </c>
      <c r="J170" s="43">
        <f t="shared" si="83"/>
        <v>0</v>
      </c>
      <c r="K170" s="43">
        <f t="shared" si="83"/>
        <v>0</v>
      </c>
      <c r="L170" s="43">
        <f t="shared" si="83"/>
        <v>0</v>
      </c>
      <c r="M170" s="43">
        <f t="shared" si="83"/>
        <v>0</v>
      </c>
      <c r="N170" s="43">
        <f t="shared" si="83"/>
        <v>0</v>
      </c>
    </row>
    <row r="171" spans="1:14" ht="12.75">
      <c r="A171" s="4" t="str">
        <f>A51</f>
        <v>VGS Foundations </v>
      </c>
      <c r="B171" s="43">
        <f aca="true" t="shared" si="84" ref="B171:N171">IF(AND(B$157&gt;=$J51,B$157&lt;=$K51),$I51+$I52,0)</f>
        <v>0</v>
      </c>
      <c r="C171" s="43">
        <f t="shared" si="84"/>
        <v>0</v>
      </c>
      <c r="D171" s="43">
        <f t="shared" si="84"/>
        <v>0</v>
      </c>
      <c r="E171" s="43">
        <f t="shared" si="84"/>
        <v>0</v>
      </c>
      <c r="F171" s="43">
        <f t="shared" si="84"/>
        <v>73.29648829514942</v>
      </c>
      <c r="G171" s="43">
        <f t="shared" si="84"/>
        <v>73.29648829514942</v>
      </c>
      <c r="H171" s="43">
        <f t="shared" si="84"/>
        <v>73.29648829514942</v>
      </c>
      <c r="I171" s="43">
        <f t="shared" si="84"/>
        <v>73.29648829514942</v>
      </c>
      <c r="J171" s="43">
        <f t="shared" si="84"/>
        <v>73.29648829514942</v>
      </c>
      <c r="K171" s="43">
        <f t="shared" si="84"/>
        <v>0</v>
      </c>
      <c r="L171" s="43">
        <f t="shared" si="84"/>
        <v>0</v>
      </c>
      <c r="M171" s="43">
        <f t="shared" si="84"/>
        <v>0</v>
      </c>
      <c r="N171" s="43">
        <f t="shared" si="84"/>
        <v>0</v>
      </c>
    </row>
    <row r="172" spans="1:14" ht="12.75">
      <c r="A172" s="4" t="str">
        <f>A53</f>
        <v>VGS Paving</v>
      </c>
      <c r="B172" s="43">
        <f aca="true" t="shared" si="85" ref="B172:N172">IF(AND(B$157&gt;=$J53,B$157&lt;=$K53),$I53+$I54,0)</f>
        <v>0</v>
      </c>
      <c r="C172" s="43">
        <f t="shared" si="85"/>
        <v>0</v>
      </c>
      <c r="D172" s="43">
        <f t="shared" si="85"/>
        <v>0</v>
      </c>
      <c r="E172" s="43">
        <f t="shared" si="85"/>
        <v>0</v>
      </c>
      <c r="F172" s="43">
        <f t="shared" si="85"/>
        <v>0</v>
      </c>
      <c r="G172" s="43">
        <f t="shared" si="85"/>
        <v>0</v>
      </c>
      <c r="H172" s="43">
        <f t="shared" si="85"/>
        <v>0</v>
      </c>
      <c r="I172" s="43">
        <f t="shared" si="85"/>
        <v>24.197738663038628</v>
      </c>
      <c r="J172" s="43">
        <f t="shared" si="85"/>
        <v>24.197738663038628</v>
      </c>
      <c r="K172" s="43">
        <f t="shared" si="85"/>
        <v>24.197738663038628</v>
      </c>
      <c r="L172" s="43">
        <f t="shared" si="85"/>
        <v>0</v>
      </c>
      <c r="M172" s="43">
        <f t="shared" si="85"/>
        <v>0</v>
      </c>
      <c r="N172" s="43">
        <f t="shared" si="85"/>
        <v>0</v>
      </c>
    </row>
    <row r="173" spans="1:14" ht="12.75">
      <c r="A173" s="4" t="str">
        <f>A55</f>
        <v>VGS Equipment Installation</v>
      </c>
      <c r="B173" s="43">
        <f aca="true" t="shared" si="86" ref="B173:N173">IF(AND(B$157&gt;=$J55,B$157&lt;=$K55),$I55+$I56,0)</f>
        <v>0</v>
      </c>
      <c r="C173" s="43">
        <f t="shared" si="86"/>
        <v>0</v>
      </c>
      <c r="D173" s="43">
        <f t="shared" si="86"/>
        <v>0</v>
      </c>
      <c r="E173" s="43">
        <f t="shared" si="86"/>
        <v>0</v>
      </c>
      <c r="F173" s="43">
        <f t="shared" si="86"/>
        <v>0</v>
      </c>
      <c r="G173" s="43">
        <f t="shared" si="86"/>
        <v>0</v>
      </c>
      <c r="H173" s="43">
        <f t="shared" si="86"/>
        <v>0</v>
      </c>
      <c r="I173" s="43">
        <f t="shared" si="86"/>
        <v>0</v>
      </c>
      <c r="J173" s="43">
        <f t="shared" si="86"/>
        <v>0</v>
      </c>
      <c r="K173" s="43">
        <f t="shared" si="86"/>
        <v>0</v>
      </c>
      <c r="L173" s="43">
        <f t="shared" si="86"/>
        <v>0</v>
      </c>
      <c r="M173" s="43">
        <f t="shared" si="86"/>
        <v>44.34768897285073</v>
      </c>
      <c r="N173" s="43">
        <f t="shared" si="86"/>
        <v>44.34768897285073</v>
      </c>
    </row>
    <row r="174" spans="1:14" ht="12.75">
      <c r="A174" s="15" t="s">
        <v>24</v>
      </c>
      <c r="B174" s="44">
        <f>SUM(B158:B173)</f>
        <v>260.5014638933961</v>
      </c>
      <c r="C174" s="44">
        <f aca="true" t="shared" si="87" ref="C174:N174">SUM(C158:C173)</f>
        <v>260.5014638933961</v>
      </c>
      <c r="D174" s="44">
        <f t="shared" si="87"/>
        <v>312.869423690868</v>
      </c>
      <c r="E174" s="44">
        <f t="shared" si="87"/>
        <v>312.869423690868</v>
      </c>
      <c r="F174" s="44">
        <f t="shared" si="87"/>
        <v>381.0962129535459</v>
      </c>
      <c r="G174" s="44">
        <f t="shared" si="87"/>
        <v>394.4421894675326</v>
      </c>
      <c r="H174" s="44">
        <f t="shared" si="87"/>
        <v>394.4421894675326</v>
      </c>
      <c r="I174" s="44">
        <f t="shared" si="87"/>
        <v>341.34629186023443</v>
      </c>
      <c r="J174" s="44">
        <f t="shared" si="87"/>
        <v>341.34629186023443</v>
      </c>
      <c r="K174" s="44">
        <f t="shared" si="87"/>
        <v>268.049803565085</v>
      </c>
      <c r="L174" s="44">
        <f t="shared" si="87"/>
        <v>243.85206490204638</v>
      </c>
      <c r="M174" s="44">
        <f t="shared" si="87"/>
        <v>172.07863294018716</v>
      </c>
      <c r="N174" s="44">
        <f t="shared" si="87"/>
        <v>172.07863294018716</v>
      </c>
    </row>
    <row r="175" spans="1:14" ht="12.75">
      <c r="A175" s="39" t="s">
        <v>132</v>
      </c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7"/>
      <c r="M175" s="47"/>
      <c r="N175" s="47"/>
    </row>
    <row r="176" spans="1:14" ht="12.75">
      <c r="A176" s="62" t="s">
        <v>276</v>
      </c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7"/>
      <c r="M176" s="47"/>
      <c r="N176" s="47"/>
    </row>
    <row r="177" spans="1:11" ht="12.75">
      <c r="A177" s="29"/>
      <c r="B177" s="48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ht="12.75">
      <c r="A178" s="29"/>
      <c r="B178" s="48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ht="12.75">
      <c r="A179" s="86" t="s">
        <v>142</v>
      </c>
      <c r="B179" s="86"/>
      <c r="C179" s="86"/>
      <c r="D179" s="86"/>
      <c r="E179" s="86"/>
      <c r="F179" s="86"/>
      <c r="G179" s="86"/>
      <c r="H179" s="86"/>
      <c r="I179" s="49"/>
      <c r="J179" s="49"/>
      <c r="K179" s="49"/>
    </row>
    <row r="180" spans="1:11" ht="12.75">
      <c r="A180" s="85" t="s">
        <v>146</v>
      </c>
      <c r="B180" s="85"/>
      <c r="C180" s="85"/>
      <c r="D180" s="85"/>
      <c r="E180" s="85"/>
      <c r="F180" s="85"/>
      <c r="G180" s="85"/>
      <c r="H180" s="85"/>
      <c r="I180" s="49"/>
      <c r="J180" s="49"/>
      <c r="K180" s="49"/>
    </row>
    <row r="181" spans="1:11" ht="42">
      <c r="A181" s="2" t="s">
        <v>131</v>
      </c>
      <c r="B181" s="3" t="s">
        <v>193</v>
      </c>
      <c r="C181" s="3" t="s">
        <v>194</v>
      </c>
      <c r="D181" s="3" t="s">
        <v>199</v>
      </c>
      <c r="E181" s="3" t="s">
        <v>200</v>
      </c>
      <c r="F181" s="3" t="s">
        <v>208</v>
      </c>
      <c r="G181" s="3" t="s">
        <v>209</v>
      </c>
      <c r="H181" s="3" t="s">
        <v>210</v>
      </c>
      <c r="I181" s="49"/>
      <c r="J181" s="49"/>
      <c r="K181" s="49"/>
    </row>
    <row r="182" spans="1:11" ht="12.75">
      <c r="A182" s="15" t="s">
        <v>94</v>
      </c>
      <c r="B182" s="43">
        <f>FoundationsHGS!B85+PavingHGS!B85+FoundationsSGS!B84+PavingSGS!B85+FoundationsVGS!B85+PavingVGS!B85</f>
        <v>408.34224000000006</v>
      </c>
      <c r="C182" s="43">
        <f>'Equipment InstallationHGS'!C84+'Equipment InstallationSGS'!C84+'Equipment InstallationVGS'!C84</f>
        <v>69.07208</v>
      </c>
      <c r="D182" s="43">
        <f>'Equipment InstallationHGS'!D84+'Equipment InstallationSGS'!D84+'Equipment InstallationVGS'!D84</f>
        <v>590.5340799999999</v>
      </c>
      <c r="E182" s="43">
        <f>'Equipment InstallationHGS'!E84+'Equipment InstallationSGS'!E84+'Equipment InstallationVGS'!E84</f>
        <v>48.62256</v>
      </c>
      <c r="F182" s="43">
        <f>FoundationsHGS!F85+PavingHGS!F85+FoundationsSGS!F84+PavingSGS!F85+FoundationsVGS!F85+PavingVGS!F85</f>
        <v>18.08332</v>
      </c>
      <c r="G182" s="43"/>
      <c r="H182" s="43">
        <f>FoundationsHGS!H85+PavingHGS!H85+FoundationsSGS!H84+PavingSGS!H85+FoundationsVGS!H85+PavingVGS!H85</f>
        <v>18.08332</v>
      </c>
      <c r="I182" s="49"/>
      <c r="J182" s="49"/>
      <c r="K182" s="49"/>
    </row>
    <row r="183" spans="1:11" ht="12.75">
      <c r="A183" s="4" t="s">
        <v>123</v>
      </c>
      <c r="B183" s="40">
        <v>0</v>
      </c>
      <c r="C183" s="40">
        <v>0.05</v>
      </c>
      <c r="D183" s="40">
        <v>0.05</v>
      </c>
      <c r="E183" s="40">
        <v>0.05</v>
      </c>
      <c r="F183" s="40">
        <v>0.05</v>
      </c>
      <c r="G183" s="43"/>
      <c r="H183" s="43">
        <f>FoundationsHGS!H86+PavingHGS!H86+FoundationsSGS!H85+PavingSGS!H86+FoundationsVGS!H86+PavingVGS!H86</f>
        <v>0</v>
      </c>
      <c r="I183" s="49"/>
      <c r="J183" s="49"/>
      <c r="K183" s="49"/>
    </row>
    <row r="184" spans="1:11" ht="12.75">
      <c r="A184" s="4" t="s">
        <v>124</v>
      </c>
      <c r="B184" s="43">
        <f>-B183*B182</f>
        <v>0</v>
      </c>
      <c r="C184" s="43">
        <f>-C183*C182</f>
        <v>-3.4536040000000003</v>
      </c>
      <c r="D184" s="43">
        <f>-D183*D182</f>
        <v>-29.526703999999995</v>
      </c>
      <c r="E184" s="43">
        <f>-E183*E182</f>
        <v>-2.431128</v>
      </c>
      <c r="F184" s="43">
        <f>-F183*F182</f>
        <v>-0.904166</v>
      </c>
      <c r="G184" s="43"/>
      <c r="H184" s="43">
        <f>FoundationsHGS!H87+PavingHGS!H87+FoundationsSGS!H86+PavingSGS!H87+FoundationsVGS!H87+PavingVGS!H87</f>
        <v>-0.904166</v>
      </c>
      <c r="I184" s="49"/>
      <c r="J184" s="49"/>
      <c r="K184" s="49"/>
    </row>
    <row r="185" spans="1:11" ht="12.75">
      <c r="A185" s="15" t="s">
        <v>125</v>
      </c>
      <c r="B185" s="44">
        <f>B182+B184</f>
        <v>408.34224000000006</v>
      </c>
      <c r="C185" s="44">
        <f>C182+C184</f>
        <v>65.618476</v>
      </c>
      <c r="D185" s="44">
        <f>D182+D184</f>
        <v>561.0073759999999</v>
      </c>
      <c r="E185" s="44">
        <f>E182+E184</f>
        <v>46.191432</v>
      </c>
      <c r="F185" s="44">
        <f>F182+F184</f>
        <v>17.179154</v>
      </c>
      <c r="G185" s="44"/>
      <c r="H185" s="44">
        <f>F185+G185</f>
        <v>17.179154</v>
      </c>
      <c r="I185" s="49"/>
      <c r="J185" s="49"/>
      <c r="K185" s="49"/>
    </row>
    <row r="186" spans="1:11" ht="12.75">
      <c r="A186" s="15" t="s">
        <v>127</v>
      </c>
      <c r="B186" s="43">
        <f>FoundationsHGS!B89+PavingHGS!B89+FoundationsSGS!B88+PavingSGS!B89+FoundationsVGS!B89+PavingVGS!B89</f>
        <v>13.495282186948854</v>
      </c>
      <c r="C186" s="43">
        <f>'Equipment InstallationHGS'!C88+'Equipment InstallationSGS'!C88+'Equipment InstallationVGS'!C88</f>
        <v>1.300641534391534</v>
      </c>
      <c r="D186" s="43">
        <f>'Equipment InstallationHGS'!D88+'Equipment InstallationSGS'!D88+'Equipment InstallationVGS'!D88</f>
        <v>1.6072089947089945</v>
      </c>
      <c r="E186" s="43">
        <f>'Equipment InstallationHGS'!E88+'Equipment InstallationSGS'!E88+'Equipment InstallationVGS'!E88</f>
        <v>0</v>
      </c>
      <c r="F186" s="43">
        <f>FoundationsHGS!F89+PavingHGS!F89+FoundationsSGS!F88+PavingSGS!F89+FoundationsVGS!F89+PavingVGS!F89</f>
        <v>0.12226631393298058</v>
      </c>
      <c r="G186" s="43"/>
      <c r="H186" s="43">
        <f>FoundationsHGS!H89+PavingHGS!H89+FoundationsSGS!H88+PavingSGS!H89+FoundationsVGS!H89+PavingVGS!H89</f>
        <v>0.12226631393298058</v>
      </c>
      <c r="I186" s="49"/>
      <c r="J186" s="49"/>
      <c r="K186" s="49"/>
    </row>
    <row r="187" spans="1:11" ht="12.75">
      <c r="A187" s="4" t="s">
        <v>123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/>
      <c r="H187" s="44"/>
      <c r="I187" s="49"/>
      <c r="J187" s="49"/>
      <c r="K187" s="49"/>
    </row>
    <row r="188" spans="1:11" ht="12.75">
      <c r="A188" s="4" t="s">
        <v>124</v>
      </c>
      <c r="B188" s="43">
        <f>-B187*B186</f>
        <v>0</v>
      </c>
      <c r="C188" s="43">
        <f>-C187*C186</f>
        <v>0</v>
      </c>
      <c r="D188" s="43">
        <f>-D187*D186</f>
        <v>0</v>
      </c>
      <c r="E188" s="43">
        <f>-E187*E186</f>
        <v>0</v>
      </c>
      <c r="F188" s="43">
        <f>-F187*F186</f>
        <v>0</v>
      </c>
      <c r="G188" s="43"/>
      <c r="H188" s="43">
        <f>FoundationsHGS!H91+PavingHGS!H91+FoundationsSGS!H90+PavingSGS!H91+FoundationsVGS!H91+PavingVGS!H91</f>
        <v>0</v>
      </c>
      <c r="I188" s="49"/>
      <c r="J188" s="49"/>
      <c r="K188" s="49"/>
    </row>
    <row r="189" spans="1:11" ht="12.75">
      <c r="A189" s="15" t="s">
        <v>125</v>
      </c>
      <c r="B189" s="44">
        <f>B186+B188</f>
        <v>13.495282186948854</v>
      </c>
      <c r="C189" s="44">
        <f>C186+C188</f>
        <v>1.300641534391534</v>
      </c>
      <c r="D189" s="44">
        <f>D186+D188</f>
        <v>1.6072089947089945</v>
      </c>
      <c r="E189" s="44">
        <f>E186+E188</f>
        <v>0</v>
      </c>
      <c r="F189" s="44">
        <f>F186+F188</f>
        <v>0.12226631393298058</v>
      </c>
      <c r="G189" s="44"/>
      <c r="H189" s="44">
        <f>F189+G189</f>
        <v>0.12226631393298058</v>
      </c>
      <c r="I189" s="49"/>
      <c r="J189" s="49"/>
      <c r="K189" s="49"/>
    </row>
    <row r="190" spans="1:11" ht="12.75">
      <c r="A190" s="15" t="s">
        <v>95</v>
      </c>
      <c r="B190" s="43"/>
      <c r="C190" s="43"/>
      <c r="D190" s="43"/>
      <c r="E190" s="43"/>
      <c r="F190" s="43"/>
      <c r="G190" s="43">
        <f>FoundationsHGS!G93+PavingHGS!G93+FoundationsSGS!G92+PavingSGS!G93+FoundationsVGS!G93+PavingVGS!G93</f>
        <v>66.04508092748101</v>
      </c>
      <c r="H190" s="43">
        <f>FoundationsHGS!H93+PavingHGS!H93+FoundationsSGS!H92+PavingSGS!H93+FoundationsVGS!H93+PavingVGS!H93</f>
        <v>66.04508092748101</v>
      </c>
      <c r="I190" s="49"/>
      <c r="J190" s="49"/>
      <c r="K190" s="49"/>
    </row>
    <row r="191" spans="1:11" ht="12.75">
      <c r="A191" s="4" t="s">
        <v>123</v>
      </c>
      <c r="B191" s="40"/>
      <c r="C191" s="40"/>
      <c r="D191" s="40"/>
      <c r="E191" s="40"/>
      <c r="F191" s="40"/>
      <c r="G191" s="40">
        <v>0.16</v>
      </c>
      <c r="H191" s="43"/>
      <c r="I191" s="49"/>
      <c r="J191" s="49"/>
      <c r="K191" s="49"/>
    </row>
    <row r="192" spans="1:11" ht="12.75">
      <c r="A192" s="4" t="s">
        <v>124</v>
      </c>
      <c r="B192" s="43"/>
      <c r="C192" s="43"/>
      <c r="D192" s="43"/>
      <c r="E192" s="43"/>
      <c r="F192" s="43"/>
      <c r="G192" s="43">
        <f>-G191*G190</f>
        <v>-10.567212948396962</v>
      </c>
      <c r="H192" s="43">
        <f>F192+G192</f>
        <v>-10.567212948396962</v>
      </c>
      <c r="I192" s="49"/>
      <c r="J192" s="49"/>
      <c r="K192" s="49"/>
    </row>
    <row r="193" spans="1:11" ht="12.75">
      <c r="A193" s="15" t="s">
        <v>125</v>
      </c>
      <c r="B193" s="44"/>
      <c r="C193" s="44"/>
      <c r="D193" s="44"/>
      <c r="E193" s="44"/>
      <c r="F193" s="44"/>
      <c r="G193" s="44">
        <f>G190+G192</f>
        <v>55.477867979084046</v>
      </c>
      <c r="H193" s="44">
        <f>F193+G193</f>
        <v>55.477867979084046</v>
      </c>
      <c r="I193" s="49"/>
      <c r="J193" s="49"/>
      <c r="K193" s="49"/>
    </row>
    <row r="194" spans="1:11" ht="12.75">
      <c r="A194" s="15" t="s">
        <v>96</v>
      </c>
      <c r="B194" s="43"/>
      <c r="C194" s="43">
        <f>'Equipment InstallationHGS'!C96+'Equipment InstallationSGS'!C96+'Equipment InstallationVGS'!C96</f>
        <v>0</v>
      </c>
      <c r="D194" s="43"/>
      <c r="E194" s="43"/>
      <c r="F194" s="43"/>
      <c r="G194" s="43"/>
      <c r="H194" s="43"/>
      <c r="I194" s="49"/>
      <c r="J194" s="49"/>
      <c r="K194" s="49"/>
    </row>
    <row r="195" spans="1:11" ht="12.75">
      <c r="A195" s="4" t="s">
        <v>123</v>
      </c>
      <c r="B195" s="40"/>
      <c r="C195" s="40">
        <v>0</v>
      </c>
      <c r="D195" s="40"/>
      <c r="E195" s="40"/>
      <c r="F195" s="40"/>
      <c r="G195" s="40"/>
      <c r="H195" s="43"/>
      <c r="I195" s="49"/>
      <c r="J195" s="49"/>
      <c r="K195" s="49"/>
    </row>
    <row r="196" spans="1:11" ht="12.75">
      <c r="A196" s="4" t="s">
        <v>124</v>
      </c>
      <c r="B196" s="43"/>
      <c r="C196" s="43">
        <f>-C195*C194</f>
        <v>0</v>
      </c>
      <c r="D196" s="43"/>
      <c r="E196" s="43"/>
      <c r="F196" s="43"/>
      <c r="G196" s="43"/>
      <c r="H196" s="43"/>
      <c r="I196" s="49"/>
      <c r="J196" s="49"/>
      <c r="K196" s="49"/>
    </row>
    <row r="197" spans="1:11" ht="12.75">
      <c r="A197" s="15" t="s">
        <v>125</v>
      </c>
      <c r="B197" s="44"/>
      <c r="C197" s="44">
        <f>C194+C196</f>
        <v>0</v>
      </c>
      <c r="D197" s="44"/>
      <c r="E197" s="44"/>
      <c r="F197" s="44"/>
      <c r="G197" s="44"/>
      <c r="H197" s="44"/>
      <c r="I197" s="49"/>
      <c r="J197" s="49"/>
      <c r="K197" s="49"/>
    </row>
    <row r="198" spans="1:11" ht="12.75">
      <c r="A198" s="15" t="s">
        <v>97</v>
      </c>
      <c r="B198" s="43"/>
      <c r="C198" s="43">
        <f>'Equipment InstallationHGS'!C100+'Equipment InstallationSGS'!C100+'Equipment InstallationVGS'!C100</f>
        <v>77</v>
      </c>
      <c r="D198" s="43"/>
      <c r="E198" s="43"/>
      <c r="F198" s="43"/>
      <c r="G198" s="43"/>
      <c r="H198" s="43"/>
      <c r="I198" s="49"/>
      <c r="J198" s="49"/>
      <c r="K198" s="49"/>
    </row>
    <row r="199" spans="1:11" ht="12.75">
      <c r="A199" s="4" t="s">
        <v>123</v>
      </c>
      <c r="B199" s="40"/>
      <c r="C199" s="40">
        <v>0</v>
      </c>
      <c r="D199" s="40"/>
      <c r="E199" s="40"/>
      <c r="F199" s="40"/>
      <c r="G199" s="40"/>
      <c r="H199" s="43"/>
      <c r="I199" s="49"/>
      <c r="J199" s="49"/>
      <c r="K199" s="49"/>
    </row>
    <row r="200" spans="1:11" ht="12.75">
      <c r="A200" s="4" t="s">
        <v>124</v>
      </c>
      <c r="B200" s="43"/>
      <c r="C200" s="43">
        <f>-C199*C198</f>
        <v>0</v>
      </c>
      <c r="D200" s="43"/>
      <c r="E200" s="43"/>
      <c r="F200" s="43"/>
      <c r="G200" s="43"/>
      <c r="H200" s="43"/>
      <c r="I200" s="49"/>
      <c r="J200" s="49"/>
      <c r="K200" s="49"/>
    </row>
    <row r="201" spans="1:11" ht="12.75">
      <c r="A201" s="15" t="s">
        <v>125</v>
      </c>
      <c r="B201" s="44"/>
      <c r="C201" s="44">
        <f>C198+C200</f>
        <v>77</v>
      </c>
      <c r="D201" s="44"/>
      <c r="E201" s="44"/>
      <c r="F201" s="44"/>
      <c r="G201" s="44"/>
      <c r="H201" s="44"/>
      <c r="I201" s="49"/>
      <c r="J201" s="49"/>
      <c r="K201" s="49"/>
    </row>
    <row r="202" spans="1:11" ht="12.75">
      <c r="A202" s="15" t="s">
        <v>189</v>
      </c>
      <c r="B202" s="43"/>
      <c r="C202" s="43"/>
      <c r="D202" s="43"/>
      <c r="E202" s="43"/>
      <c r="F202" s="43"/>
      <c r="G202" s="43"/>
      <c r="H202" s="43"/>
      <c r="I202" s="49"/>
      <c r="J202" s="49"/>
      <c r="K202" s="49"/>
    </row>
    <row r="203" spans="1:11" ht="12.75">
      <c r="A203" s="4" t="s">
        <v>123</v>
      </c>
      <c r="B203" s="40"/>
      <c r="C203" s="40">
        <v>0.9</v>
      </c>
      <c r="D203" s="40"/>
      <c r="E203" s="40"/>
      <c r="F203" s="40"/>
      <c r="G203" s="40"/>
      <c r="H203" s="43"/>
      <c r="I203" s="49"/>
      <c r="J203" s="49"/>
      <c r="K203" s="49"/>
    </row>
    <row r="204" spans="1:11" ht="12.75">
      <c r="A204" s="4" t="s">
        <v>124</v>
      </c>
      <c r="B204" s="43"/>
      <c r="C204" s="43">
        <f>-C203*C202</f>
        <v>0</v>
      </c>
      <c r="D204" s="43"/>
      <c r="E204" s="43"/>
      <c r="F204" s="43"/>
      <c r="G204" s="43"/>
      <c r="H204" s="43"/>
      <c r="I204" s="49"/>
      <c r="J204" s="49"/>
      <c r="K204" s="49"/>
    </row>
    <row r="205" spans="1:11" ht="12.75">
      <c r="A205" s="15" t="s">
        <v>125</v>
      </c>
      <c r="B205" s="44"/>
      <c r="C205" s="44">
        <f>C202+C204</f>
        <v>0</v>
      </c>
      <c r="D205" s="44"/>
      <c r="E205" s="44"/>
      <c r="F205" s="44"/>
      <c r="G205" s="44"/>
      <c r="H205" s="44"/>
      <c r="I205" s="49"/>
      <c r="J205" s="49"/>
      <c r="K205" s="49"/>
    </row>
    <row r="206" spans="1:11" ht="12.75">
      <c r="A206" s="15" t="s">
        <v>98</v>
      </c>
      <c r="B206" s="44">
        <f aca="true" t="shared" si="88" ref="B206:G206">B185+B189+B193+B197+B205</f>
        <v>421.8375221869489</v>
      </c>
      <c r="C206" s="44">
        <f>C185+C189+C193+C197+C201+C205</f>
        <v>143.91911753439155</v>
      </c>
      <c r="D206" s="44">
        <f t="shared" si="88"/>
        <v>562.6145849947089</v>
      </c>
      <c r="E206" s="44">
        <f t="shared" si="88"/>
        <v>46.191432</v>
      </c>
      <c r="F206" s="44">
        <f t="shared" si="88"/>
        <v>17.30142031393298</v>
      </c>
      <c r="G206" s="44">
        <f t="shared" si="88"/>
        <v>55.477867979084046</v>
      </c>
      <c r="H206" s="44">
        <f>H185+H193+H197+H205</f>
        <v>72.65702197908405</v>
      </c>
      <c r="I206" s="49"/>
      <c r="J206" s="49"/>
      <c r="K206" s="49"/>
    </row>
    <row r="207" spans="1:11" ht="12.75">
      <c r="A207" s="15" t="s">
        <v>167</v>
      </c>
      <c r="B207" s="44"/>
      <c r="C207" s="44"/>
      <c r="D207" s="44"/>
      <c r="E207" s="44"/>
      <c r="F207" s="45"/>
      <c r="G207" s="45">
        <f>FoundationsHGS!G106+PavingHGS!G106+FoundationsSGS!G105+PavingSGS!G106+FoundationsVGS!G106+PavingVGS!G106</f>
        <v>0</v>
      </c>
      <c r="H207" s="45">
        <f>FoundationsHGS!H106+PavingHGS!H106+FoundationsSGS!H105+PavingSGS!H106+FoundationsVGS!H106+PavingVGS!H106</f>
        <v>0</v>
      </c>
      <c r="I207" s="49"/>
      <c r="J207" s="49"/>
      <c r="K207" s="49"/>
    </row>
    <row r="208" spans="1:11" ht="12.75">
      <c r="A208" s="4" t="s">
        <v>123</v>
      </c>
      <c r="B208" s="44"/>
      <c r="C208" s="44"/>
      <c r="D208" s="44"/>
      <c r="E208" s="44"/>
      <c r="F208" s="44"/>
      <c r="G208" s="61">
        <v>0.9</v>
      </c>
      <c r="H208" s="44"/>
      <c r="I208" s="49"/>
      <c r="J208" s="49"/>
      <c r="K208" s="49"/>
    </row>
    <row r="209" spans="1:11" ht="12.75">
      <c r="A209" s="4" t="s">
        <v>124</v>
      </c>
      <c r="B209" s="44"/>
      <c r="C209" s="44"/>
      <c r="D209" s="44"/>
      <c r="E209" s="44"/>
      <c r="F209" s="44"/>
      <c r="G209" s="43">
        <f>-G208*G207</f>
        <v>0</v>
      </c>
      <c r="H209" s="43">
        <f>F209+G209</f>
        <v>0</v>
      </c>
      <c r="I209" s="49"/>
      <c r="J209" s="49"/>
      <c r="K209" s="49"/>
    </row>
    <row r="210" spans="1:11" ht="12.75">
      <c r="A210" s="15" t="s">
        <v>125</v>
      </c>
      <c r="B210" s="44"/>
      <c r="C210" s="44"/>
      <c r="D210" s="44"/>
      <c r="E210" s="44"/>
      <c r="F210" s="44"/>
      <c r="G210" s="44">
        <f>G207+G209</f>
        <v>0</v>
      </c>
      <c r="H210" s="44">
        <f>F210+G210</f>
        <v>0</v>
      </c>
      <c r="I210" s="49"/>
      <c r="J210" s="49"/>
      <c r="K210" s="49"/>
    </row>
    <row r="211" spans="1:11" ht="12.75">
      <c r="A211" s="15" t="s">
        <v>99</v>
      </c>
      <c r="B211" s="43">
        <f>FoundationsHGS!B114+PavingHGS!B114+FoundationsSGS!B113+PavingSGS!B114+FoundationsVGS!B114+PavingVGS!B114</f>
        <v>246.1710758377425</v>
      </c>
      <c r="C211" s="45">
        <f>'Equipment InstallationHGS'!C109+'Equipment InstallationSGS'!C109+'Equipment InstallationVGS'!C109</f>
        <v>42.40718694885362</v>
      </c>
      <c r="D211" s="45">
        <f>'Equipment InstallationHGS'!D109+'Equipment InstallationSGS'!D109+'Equipment InstallationVGS'!D109</f>
        <v>67.62059082892415</v>
      </c>
      <c r="E211" s="45">
        <f>'Equipment InstallationHGS'!E109+'Equipment InstallationSGS'!E109+'Equipment InstallationVGS'!E109</f>
        <v>0</v>
      </c>
      <c r="F211" s="45">
        <f>FoundationsHGS!F110+PavingHGS!F110+FoundationsSGS!F109+PavingSGS!F110+FoundationsVGS!F110+PavingVGS!F110</f>
        <v>5.254850088183421</v>
      </c>
      <c r="G211" s="45">
        <f>FoundationsHGS!G110+PavingHGS!G110+FoundationsSGS!G109+PavingSGS!G110+FoundationsVGS!G110+PavingVGS!G110</f>
        <v>251.84077453063696</v>
      </c>
      <c r="H211" s="45">
        <f>FoundationsHGS!H110+PavingHGS!H110+FoundationsSGS!H109+PavingSGS!H110+FoundationsVGS!H110+PavingVGS!H110</f>
        <v>257.09562461882047</v>
      </c>
      <c r="I211" s="49"/>
      <c r="J211" s="49"/>
      <c r="K211" s="49"/>
    </row>
    <row r="212" spans="1:11" ht="12.75">
      <c r="A212" s="4" t="s">
        <v>123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3"/>
      <c r="I212" s="49"/>
      <c r="J212" s="49"/>
      <c r="K212" s="49"/>
    </row>
    <row r="213" spans="1:11" ht="12.75">
      <c r="A213" s="4" t="s">
        <v>124</v>
      </c>
      <c r="B213" s="43">
        <f aca="true" t="shared" si="89" ref="B213:G213">-B212*B211</f>
        <v>0</v>
      </c>
      <c r="C213" s="43">
        <f t="shared" si="89"/>
        <v>0</v>
      </c>
      <c r="D213" s="43">
        <f t="shared" si="89"/>
        <v>0</v>
      </c>
      <c r="E213" s="43">
        <f t="shared" si="89"/>
        <v>0</v>
      </c>
      <c r="F213" s="43">
        <f t="shared" si="89"/>
        <v>0</v>
      </c>
      <c r="G213" s="43">
        <f t="shared" si="89"/>
        <v>0</v>
      </c>
      <c r="H213" s="43">
        <f>F213+G213</f>
        <v>0</v>
      </c>
      <c r="I213" s="49"/>
      <c r="J213" s="49"/>
      <c r="K213" s="49"/>
    </row>
    <row r="214" spans="1:11" ht="12.75">
      <c r="A214" s="15" t="s">
        <v>125</v>
      </c>
      <c r="B214" s="44">
        <f aca="true" t="shared" si="90" ref="B214:G214">B211+B213</f>
        <v>246.1710758377425</v>
      </c>
      <c r="C214" s="44">
        <f t="shared" si="90"/>
        <v>42.40718694885362</v>
      </c>
      <c r="D214" s="44">
        <f t="shared" si="90"/>
        <v>67.62059082892415</v>
      </c>
      <c r="E214" s="44">
        <f t="shared" si="90"/>
        <v>0</v>
      </c>
      <c r="F214" s="44">
        <f t="shared" si="90"/>
        <v>5.254850088183421</v>
      </c>
      <c r="G214" s="44">
        <f t="shared" si="90"/>
        <v>251.84077453063696</v>
      </c>
      <c r="H214" s="44">
        <f>F214+G214</f>
        <v>257.0956246188204</v>
      </c>
      <c r="I214" s="49"/>
      <c r="J214" s="49"/>
      <c r="K214" s="49"/>
    </row>
    <row r="215" spans="1:11" ht="12.75">
      <c r="A215" s="15" t="s">
        <v>168</v>
      </c>
      <c r="B215" s="44">
        <f>B214+B210</f>
        <v>246.1710758377425</v>
      </c>
      <c r="C215" s="44">
        <f aca="true" t="shared" si="91" ref="C215:H215">C214+C210</f>
        <v>42.40718694885362</v>
      </c>
      <c r="D215" s="44">
        <f t="shared" si="91"/>
        <v>67.62059082892415</v>
      </c>
      <c r="E215" s="44">
        <f t="shared" si="91"/>
        <v>0</v>
      </c>
      <c r="F215" s="44">
        <f t="shared" si="91"/>
        <v>5.254850088183421</v>
      </c>
      <c r="G215" s="44">
        <f t="shared" si="91"/>
        <v>251.84077453063696</v>
      </c>
      <c r="H215" s="44">
        <f t="shared" si="91"/>
        <v>257.0956246188204</v>
      </c>
      <c r="I215" s="49"/>
      <c r="J215" s="49"/>
      <c r="K215" s="49"/>
    </row>
    <row r="216" spans="1:11" ht="12.75">
      <c r="A216" s="15" t="s">
        <v>24</v>
      </c>
      <c r="B216" s="44">
        <f>B206+B215</f>
        <v>668.0085980246914</v>
      </c>
      <c r="C216" s="44">
        <f aca="true" t="shared" si="92" ref="C216:H216">C206+C215</f>
        <v>186.32630448324517</v>
      </c>
      <c r="D216" s="44">
        <f t="shared" si="92"/>
        <v>630.2351758236331</v>
      </c>
      <c r="E216" s="44">
        <f t="shared" si="92"/>
        <v>46.191432</v>
      </c>
      <c r="F216" s="44">
        <f t="shared" si="92"/>
        <v>22.5562704021164</v>
      </c>
      <c r="G216" s="44">
        <f t="shared" si="92"/>
        <v>307.31864250972103</v>
      </c>
      <c r="H216" s="44">
        <f t="shared" si="92"/>
        <v>329.75264659790446</v>
      </c>
      <c r="I216" s="49"/>
      <c r="J216" s="49"/>
      <c r="K216" s="49"/>
    </row>
    <row r="217" spans="1:11" ht="12.75">
      <c r="A217" s="68" t="s">
        <v>252</v>
      </c>
      <c r="B217" s="70">
        <v>550</v>
      </c>
      <c r="C217" s="70">
        <v>75</v>
      </c>
      <c r="D217" s="70">
        <v>100</v>
      </c>
      <c r="E217" s="70">
        <v>150</v>
      </c>
      <c r="F217" s="70"/>
      <c r="G217" s="70"/>
      <c r="H217" s="70">
        <v>150</v>
      </c>
      <c r="I217" s="49"/>
      <c r="J217" s="49"/>
      <c r="K217" s="49"/>
    </row>
    <row r="218" spans="1:11" ht="12.75">
      <c r="A218" s="51" t="s">
        <v>253</v>
      </c>
      <c r="B218" s="44" t="str">
        <f>IF(B216&gt;B217,"Yes","No")</f>
        <v>Yes</v>
      </c>
      <c r="C218" s="44" t="str">
        <f>IF(C216&gt;C217,"Yes","No")</f>
        <v>Yes</v>
      </c>
      <c r="D218" s="44" t="str">
        <f>IF(D216&gt;D217,"Yes","No")</f>
        <v>Yes</v>
      </c>
      <c r="E218" s="45" t="str">
        <f>IF(E216&gt;E217,"Yes","No")</f>
        <v>No</v>
      </c>
      <c r="F218" s="44"/>
      <c r="G218" s="44"/>
      <c r="H218" s="44" t="str">
        <f>IF(H216&gt;H217,"Yes","No")</f>
        <v>Yes</v>
      </c>
      <c r="I218" s="49"/>
      <c r="J218" s="49"/>
      <c r="K218" s="49"/>
    </row>
    <row r="219" spans="1:11" ht="12.75">
      <c r="A219" s="39" t="s">
        <v>132</v>
      </c>
      <c r="I219" s="49"/>
      <c r="J219" s="49"/>
      <c r="K219" s="49"/>
    </row>
    <row r="220" spans="1:11" ht="13.5">
      <c r="A220" s="62" t="s">
        <v>298</v>
      </c>
      <c r="B220" s="48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 ht="13.5">
      <c r="A221" s="62" t="s">
        <v>366</v>
      </c>
      <c r="B221" s="48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 ht="12.75">
      <c r="A222" s="29"/>
      <c r="B222" s="48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 ht="12.75">
      <c r="A223" s="29"/>
      <c r="B223" s="48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1:11" ht="12.75">
      <c r="A224" s="86" t="s">
        <v>143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</row>
    <row r="225" spans="1:11" ht="12.75">
      <c r="A225" s="85" t="s">
        <v>147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1:28" ht="39">
      <c r="A226" s="27" t="s">
        <v>87</v>
      </c>
      <c r="B226" s="2" t="s">
        <v>101</v>
      </c>
      <c r="C226" s="3" t="s">
        <v>39</v>
      </c>
      <c r="D226" s="3" t="s">
        <v>126</v>
      </c>
      <c r="E226" s="3" t="s">
        <v>37</v>
      </c>
      <c r="F226" s="3" t="s">
        <v>38</v>
      </c>
      <c r="G226" s="3" t="s">
        <v>40</v>
      </c>
      <c r="H226" s="3" t="s">
        <v>41</v>
      </c>
      <c r="I226" s="3" t="s">
        <v>42</v>
      </c>
      <c r="J226" s="2" t="s">
        <v>35</v>
      </c>
      <c r="K226" s="19" t="s">
        <v>36</v>
      </c>
      <c r="L226" s="81"/>
      <c r="M226" s="77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1:28" ht="12.75">
      <c r="A227" s="5" t="str">
        <f>TankDemolitionHGS!A$1</f>
        <v>HGS Tank Demolition</v>
      </c>
      <c r="B227" s="74" t="s">
        <v>111</v>
      </c>
      <c r="C227" s="42">
        <f>TankDemolitionHGS!B$133</f>
        <v>131.8359452275132</v>
      </c>
      <c r="D227" s="42">
        <f>TankDemolitionHGS!C$133</f>
        <v>49.791473194309916</v>
      </c>
      <c r="E227" s="42">
        <f>TankDemolitionHGS!D$133</f>
        <v>226.17787286631395</v>
      </c>
      <c r="F227" s="42">
        <f>TankDemolitionHGS!E$133</f>
        <v>19.3039088</v>
      </c>
      <c r="G227" s="42">
        <f>TankDemolitionHGS!F$133</f>
        <v>13.23729053121693</v>
      </c>
      <c r="H227" s="42">
        <f>TankDemolitionHGS!G$133</f>
        <v>13.408175954318745</v>
      </c>
      <c r="I227" s="42">
        <f>TankDemolitionHGS!H$133</f>
        <v>26.626749554318742</v>
      </c>
      <c r="J227" s="69">
        <v>1</v>
      </c>
      <c r="K227" s="83">
        <v>10</v>
      </c>
      <c r="L227" s="82"/>
      <c r="M227" s="7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1:28" ht="12.75">
      <c r="A228" s="56"/>
      <c r="B228" s="74" t="s">
        <v>112</v>
      </c>
      <c r="C228" s="42">
        <f>TankDemolitionHGS!B$142</f>
        <v>30.625044091710755</v>
      </c>
      <c r="D228" s="42">
        <f>TankDemolitionHGS!C$142</f>
        <v>4.474426807760141</v>
      </c>
      <c r="E228" s="42">
        <f>TankDemolitionHGS!D$142</f>
        <v>22.32768959435626</v>
      </c>
      <c r="F228" s="42">
        <f>TankDemolitionHGS!E$142</f>
        <v>0</v>
      </c>
      <c r="G228" s="42">
        <f>TankDemolitionHGS!F$142</f>
        <v>1.3527336860670194</v>
      </c>
      <c r="H228" s="42">
        <f>TankDemolitionHGS!G$142</f>
        <v>69.80746944161801</v>
      </c>
      <c r="I228" s="42">
        <f>TankDemolitionHGS!H$142</f>
        <v>71.16020312768504</v>
      </c>
      <c r="J228" s="69">
        <v>1</v>
      </c>
      <c r="K228" s="83">
        <v>10</v>
      </c>
      <c r="L228" s="82"/>
      <c r="M228" s="7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</row>
    <row r="229" spans="1:28" ht="12.75">
      <c r="A229" s="5" t="str">
        <f>BackfillHGS!A$1</f>
        <v>HGS Backfill</v>
      </c>
      <c r="B229" s="74" t="s">
        <v>111</v>
      </c>
      <c r="C229" s="42">
        <f>BackfillHGS!B$105</f>
        <v>151.92707132275132</v>
      </c>
      <c r="D229" s="42">
        <f>BackfillHGS!C$105</f>
        <v>31.011413587301586</v>
      </c>
      <c r="E229" s="42">
        <f>BackfillHGS!D$105</f>
        <v>287.8309192663139</v>
      </c>
      <c r="F229" s="42">
        <f>BackfillHGS!E$105</f>
        <v>25.889248000000002</v>
      </c>
      <c r="G229" s="42">
        <f>BackfillHGS!F$105</f>
        <v>13.988984874779542</v>
      </c>
      <c r="H229" s="42">
        <f>BackfillHGS!G$105</f>
        <v>78.25082509919768</v>
      </c>
      <c r="I229" s="42">
        <f>BackfillHGS!H$105</f>
        <v>92.15669709919769</v>
      </c>
      <c r="J229" s="69">
        <v>11</v>
      </c>
      <c r="K229" s="83">
        <v>20</v>
      </c>
      <c r="L229" s="82"/>
      <c r="M229" s="7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1:28" ht="12.75">
      <c r="A230" s="56"/>
      <c r="B230" s="74" t="s">
        <v>112</v>
      </c>
      <c r="C230" s="42">
        <f>BackfillHGS!B$114</f>
        <v>48.84303350970018</v>
      </c>
      <c r="D230" s="42">
        <f>BackfillHGS!C$114</f>
        <v>7.290564373897706</v>
      </c>
      <c r="E230" s="42">
        <f>BackfillHGS!D$114</f>
        <v>41.48456790123456</v>
      </c>
      <c r="F230" s="42">
        <f>BackfillHGS!E$114</f>
        <v>0</v>
      </c>
      <c r="G230" s="42">
        <f>BackfillHGS!F$114</f>
        <v>2.6014109347442678</v>
      </c>
      <c r="H230" s="42">
        <f>BackfillHGS!G$114</f>
        <v>133.21478813012914</v>
      </c>
      <c r="I230" s="42">
        <f>BackfillHGS!H$114</f>
        <v>135.8161990648734</v>
      </c>
      <c r="J230" s="69">
        <v>11</v>
      </c>
      <c r="K230" s="83">
        <v>20</v>
      </c>
      <c r="L230" s="82"/>
      <c r="M230" s="7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1:28" ht="12.75">
      <c r="A231" s="5" t="str">
        <f>GradingHGS!A$1</f>
        <v>HGS Grading</v>
      </c>
      <c r="B231" s="74" t="s">
        <v>111</v>
      </c>
      <c r="C231" s="42">
        <f>GradingHGS!B$105</f>
        <v>52.030312380952374</v>
      </c>
      <c r="D231" s="42">
        <f>GradingHGS!C$105</f>
        <v>9.877420070546737</v>
      </c>
      <c r="E231" s="42">
        <f>GradingHGS!D$105</f>
        <v>74.90027946384481</v>
      </c>
      <c r="F231" s="42">
        <f>GradingHGS!E$105</f>
        <v>6.58236</v>
      </c>
      <c r="G231" s="42">
        <f>GradingHGS!F$105</f>
        <v>4.253331880070546</v>
      </c>
      <c r="H231" s="42">
        <f>GradingHGS!G$105</f>
        <v>2.285108684761634</v>
      </c>
      <c r="I231" s="42">
        <f>GradingHGS!H$105</f>
        <v>6.537536684761634</v>
      </c>
      <c r="J231" s="69">
        <v>18</v>
      </c>
      <c r="K231" s="83">
        <v>20</v>
      </c>
      <c r="L231" s="82"/>
      <c r="M231" s="7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1:28" ht="12.75">
      <c r="A232" s="56"/>
      <c r="B232" s="74" t="s">
        <v>112</v>
      </c>
      <c r="C232" s="42">
        <f>GradingHGS!B$114</f>
        <v>1.4518518518518517</v>
      </c>
      <c r="D232" s="42">
        <f>GradingHGS!C$114</f>
        <v>0.1898148148148148</v>
      </c>
      <c r="E232" s="42">
        <f>GradingHGS!D$114</f>
        <v>0.20992063492063495</v>
      </c>
      <c r="F232" s="42">
        <f>GradingHGS!E$114</f>
        <v>0</v>
      </c>
      <c r="G232" s="42">
        <f>GradingHGS!F$114</f>
        <v>0</v>
      </c>
      <c r="H232" s="42">
        <f>GradingHGS!G$114</f>
        <v>0.14882767054190232</v>
      </c>
      <c r="I232" s="42">
        <f>GradingHGS!H$114</f>
        <v>0.14882767054190232</v>
      </c>
      <c r="J232" s="69">
        <v>18</v>
      </c>
      <c r="K232" s="83">
        <v>20</v>
      </c>
      <c r="L232" s="82"/>
      <c r="M232" s="7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1:28" ht="12.75">
      <c r="A233" s="5" t="str">
        <f>FoundationsHGS!A$1</f>
        <v>HGS Foundations </v>
      </c>
      <c r="B233" s="74" t="s">
        <v>111</v>
      </c>
      <c r="C233" s="42">
        <f>FoundationsHGS!B$105</f>
        <v>254.5066582010582</v>
      </c>
      <c r="D233" s="42">
        <f>FoundationsHGS!C$105</f>
        <v>22.01385734744268</v>
      </c>
      <c r="E233" s="42">
        <f>FoundationsHGS!D$105</f>
        <v>125.07183267724868</v>
      </c>
      <c r="F233" s="42">
        <f>FoundationsHGS!E$105</f>
        <v>10.182632</v>
      </c>
      <c r="G233" s="42">
        <f>FoundationsHGS!F$105</f>
        <v>7.60332728042328</v>
      </c>
      <c r="H233" s="42">
        <f>FoundationsHGS!G$105</f>
        <v>33.60603800527956</v>
      </c>
      <c r="I233" s="42">
        <f>FoundationsHGS!H$105</f>
        <v>41.166442005279556</v>
      </c>
      <c r="J233" s="69">
        <v>21</v>
      </c>
      <c r="K233" s="83">
        <v>28</v>
      </c>
      <c r="L233" s="82"/>
      <c r="M233" s="7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1:28" ht="12.75">
      <c r="A234" s="56"/>
      <c r="B234" s="74" t="s">
        <v>112</v>
      </c>
      <c r="C234" s="42">
        <f>FoundationsHGS!B$114</f>
        <v>150.0299823633157</v>
      </c>
      <c r="D234" s="42">
        <f>FoundationsHGS!C$114</f>
        <v>20.212081128747794</v>
      </c>
      <c r="E234" s="42">
        <f>FoundationsHGS!D$114</f>
        <v>44.41137566137566</v>
      </c>
      <c r="F234" s="42">
        <f>FoundationsHGS!E$114</f>
        <v>0</v>
      </c>
      <c r="G234" s="42">
        <f>FoundationsHGS!F$114</f>
        <v>1.7169312169312168</v>
      </c>
      <c r="H234" s="42">
        <f>FoundationsHGS!G$114</f>
        <v>89.41900525793463</v>
      </c>
      <c r="I234" s="42">
        <f>FoundationsHGS!H$114</f>
        <v>91.13593647486584</v>
      </c>
      <c r="J234" s="69">
        <v>21</v>
      </c>
      <c r="K234" s="83">
        <v>28</v>
      </c>
      <c r="L234" s="82"/>
      <c r="M234" s="79"/>
      <c r="N234" s="29"/>
      <c r="O234" s="23"/>
      <c r="P234" s="67"/>
      <c r="Q234" s="67"/>
      <c r="R234" s="67"/>
      <c r="S234" s="67"/>
      <c r="T234" s="67"/>
      <c r="U234" s="67"/>
      <c r="V234" s="67"/>
      <c r="W234" s="84"/>
      <c r="X234" s="84"/>
      <c r="Y234" s="29"/>
      <c r="Z234" s="29"/>
      <c r="AA234" s="29"/>
      <c r="AB234" s="29"/>
    </row>
    <row r="235" spans="1:28" ht="12.75">
      <c r="A235" s="5" t="str">
        <f>PavingHGS!A$1</f>
        <v>HGS Paving</v>
      </c>
      <c r="B235" s="74" t="s">
        <v>111</v>
      </c>
      <c r="C235" s="42">
        <f>PavingHGS!B$105</f>
        <v>47.72576888888889</v>
      </c>
      <c r="D235" s="42">
        <f>PavingHGS!C$105</f>
        <v>9.324180329169621</v>
      </c>
      <c r="E235" s="42">
        <f>PavingHGS!D$105</f>
        <v>65.41588038095237</v>
      </c>
      <c r="F235" s="42">
        <f>PavingHGS!E$105</f>
        <v>5.477168</v>
      </c>
      <c r="G235" s="42">
        <f>PavingHGS!F$105</f>
        <v>3.7180418765432095</v>
      </c>
      <c r="H235" s="42">
        <f>PavingHGS!G$105</f>
        <v>4.331297938908914</v>
      </c>
      <c r="I235" s="42">
        <f>PavingHGS!H$105</f>
        <v>8.031129938908915</v>
      </c>
      <c r="J235" s="69">
        <v>21</v>
      </c>
      <c r="K235" s="83">
        <v>28</v>
      </c>
      <c r="L235" s="82"/>
      <c r="M235" s="7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1:28" ht="12.75">
      <c r="A236" s="56"/>
      <c r="B236" s="74" t="s">
        <v>112</v>
      </c>
      <c r="C236" s="42">
        <f>PavingHGS!B$114</f>
        <v>21.385185185185186</v>
      </c>
      <c r="D236" s="42">
        <f>PavingHGS!C$114</f>
        <v>3.175925925925926</v>
      </c>
      <c r="E236" s="42">
        <f>PavingHGS!D$114</f>
        <v>17.5494708994709</v>
      </c>
      <c r="F236" s="42">
        <f>PavingHGS!E$114</f>
        <v>0</v>
      </c>
      <c r="G236" s="42">
        <f>PavingHGS!F$114</f>
        <v>1.0925925925925926</v>
      </c>
      <c r="H236" s="42">
        <f>PavingHGS!G$114</f>
        <v>49.308282218911025</v>
      </c>
      <c r="I236" s="42">
        <f>PavingHGS!H$114</f>
        <v>50.40087481150362</v>
      </c>
      <c r="J236" s="69">
        <v>21</v>
      </c>
      <c r="K236" s="83">
        <v>28</v>
      </c>
      <c r="L236" s="82"/>
      <c r="M236" s="7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1:28" ht="12.75">
      <c r="A237" s="5" t="str">
        <f>'Equipment InstallationHGS'!A$1</f>
        <v>HGS Equipment Installation</v>
      </c>
      <c r="B237" s="74" t="s">
        <v>111</v>
      </c>
      <c r="C237" s="42">
        <f>'Equipment InstallationHGS'!B$104</f>
        <v>179.9849588712522</v>
      </c>
      <c r="D237" s="42">
        <f>'Equipment InstallationHGS'!C$104</f>
        <v>73.94226249029983</v>
      </c>
      <c r="E237" s="42">
        <f>'Equipment InstallationHGS'!D$104</f>
        <v>324.49306050088177</v>
      </c>
      <c r="F237" s="42">
        <f>'Equipment InstallationHGS'!E$104</f>
        <v>25.894719999999996</v>
      </c>
      <c r="G237" s="42">
        <f>'Equipment InstallationHGS'!F$104</f>
        <v>18.57228305467372</v>
      </c>
      <c r="H237" s="42">
        <f>'Equipment InstallationHGS'!G$104</f>
        <v>15.754322812327711</v>
      </c>
      <c r="I237" s="42">
        <f>'Equipment InstallationHGS'!H$104</f>
        <v>34.31359881232771</v>
      </c>
      <c r="J237" s="69">
        <v>29</v>
      </c>
      <c r="K237" s="83">
        <v>150</v>
      </c>
      <c r="L237" s="82"/>
      <c r="M237" s="7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1:28" ht="12.75">
      <c r="A238" s="56"/>
      <c r="B238" s="74" t="s">
        <v>112</v>
      </c>
      <c r="C238" s="42">
        <f>'Equipment InstallationHGS'!B$113</f>
        <v>202.38095238095235</v>
      </c>
      <c r="D238" s="42">
        <f>'Equipment InstallationHGS'!C$113</f>
        <v>26.64021164021164</v>
      </c>
      <c r="E238" s="42">
        <f>'Equipment InstallationHGS'!D$113</f>
        <v>36.14638447971781</v>
      </c>
      <c r="F238" s="42">
        <f>'Equipment InstallationHGS'!E$113</f>
        <v>0</v>
      </c>
      <c r="G238" s="42">
        <f>'Equipment InstallationHGS'!F$113</f>
        <v>0.5202821869488536</v>
      </c>
      <c r="H238" s="42">
        <f>'Equipment InstallationHGS'!G$113</f>
        <v>43.182083156933274</v>
      </c>
      <c r="I238" s="42">
        <f>'Equipment InstallationHGS'!H$113</f>
        <v>43.70236534388213</v>
      </c>
      <c r="J238" s="69">
        <v>29</v>
      </c>
      <c r="K238" s="83">
        <v>150</v>
      </c>
      <c r="L238" s="82"/>
      <c r="M238" s="7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1:28" ht="12.75">
      <c r="A239" s="5" t="str">
        <f>SlabDemolitionSGS!A$1</f>
        <v>SGS Slab Demolition</v>
      </c>
      <c r="B239" s="74" t="s">
        <v>111</v>
      </c>
      <c r="C239" s="42">
        <f>SlabDemolitionSGS!B$105</f>
        <v>40.55226793650794</v>
      </c>
      <c r="D239" s="42">
        <f>SlabDemolitionSGS!C$105</f>
        <v>7.0275153615520285</v>
      </c>
      <c r="E239" s="42">
        <f>SlabDemolitionSGS!D$105</f>
        <v>52.16100958730159</v>
      </c>
      <c r="F239" s="42">
        <f>SlabDemolitionSGS!E$105</f>
        <v>4.695888</v>
      </c>
      <c r="G239" s="42">
        <f>SlabDemolitionSGS!F$105</f>
        <v>2.609067287477954</v>
      </c>
      <c r="H239" s="42">
        <f>SlabDemolitionSGS!G$105</f>
        <v>4.844962803306262</v>
      </c>
      <c r="I239" s="42">
        <f>SlabDemolitionSGS!H$105</f>
        <v>7.454030090784216</v>
      </c>
      <c r="J239" s="69">
        <v>1</v>
      </c>
      <c r="K239" s="83">
        <v>10</v>
      </c>
      <c r="L239" s="82"/>
      <c r="M239" s="7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1:28" ht="12.75">
      <c r="A240" s="56"/>
      <c r="B240" s="74" t="s">
        <v>112</v>
      </c>
      <c r="C240" s="42">
        <f>SlabDemolitionSGS!B$114</f>
        <v>16.500881834215168</v>
      </c>
      <c r="D240" s="42">
        <f>SlabDemolitionSGS!C$114</f>
        <v>2.446869488536155</v>
      </c>
      <c r="E240" s="42">
        <f>SlabDemolitionSGS!D$114</f>
        <v>13.401014109347441</v>
      </c>
      <c r="F240" s="42">
        <f>SlabDemolitionSGS!E$114</f>
        <v>0</v>
      </c>
      <c r="G240" s="42">
        <f>SlabDemolitionSGS!F$114</f>
        <v>0.8324514991181656</v>
      </c>
      <c r="H240" s="42">
        <f>SlabDemolitionSGS!G$114</f>
        <v>42.71802880396647</v>
      </c>
      <c r="I240" s="42">
        <f>SlabDemolitionSGS!H$114</f>
        <v>43.55048030308463</v>
      </c>
      <c r="J240" s="69">
        <v>1</v>
      </c>
      <c r="K240" s="83">
        <v>10</v>
      </c>
      <c r="L240" s="82"/>
      <c r="M240" s="7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1:28" ht="12.75">
      <c r="A241" s="5" t="str">
        <f>GradingSGS!A$1</f>
        <v>SGS Grading</v>
      </c>
      <c r="B241" s="74" t="s">
        <v>111</v>
      </c>
      <c r="C241" s="42">
        <f>GradingSGS!B$105</f>
        <v>22.042837248677248</v>
      </c>
      <c r="D241" s="42">
        <f>GradingSGS!C$105</f>
        <v>5.613023206349206</v>
      </c>
      <c r="E241" s="42">
        <f>GradingSGS!D$105</f>
        <v>40.324385855379184</v>
      </c>
      <c r="F241" s="42">
        <f>GradingSGS!E$105</f>
        <v>3.698616</v>
      </c>
      <c r="G241" s="42">
        <f>GradingSGS!F$105</f>
        <v>2.090523880070547</v>
      </c>
      <c r="H241" s="42">
        <f>GradingSGS!G$105</f>
        <v>3.0662569819582957</v>
      </c>
      <c r="I241" s="42">
        <f>GradingSGS!H$105</f>
        <v>5.155876981958295</v>
      </c>
      <c r="J241" s="69">
        <v>18</v>
      </c>
      <c r="K241" s="83">
        <v>20</v>
      </c>
      <c r="L241" s="82"/>
      <c r="M241" s="7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1:28" ht="12.75">
      <c r="A242" s="56"/>
      <c r="B242" s="74" t="s">
        <v>112</v>
      </c>
      <c r="C242" s="42">
        <f>GradingSGS!B$114</f>
        <v>1.4518518518518517</v>
      </c>
      <c r="D242" s="42">
        <f>GradingSGS!C$114</f>
        <v>0.1898148148148148</v>
      </c>
      <c r="E242" s="42">
        <f>GradingSGS!D$114</f>
        <v>0.20992063492063495</v>
      </c>
      <c r="F242" s="42">
        <f>GradingSGS!E$114</f>
        <v>0</v>
      </c>
      <c r="G242" s="42">
        <f>GradingSGS!F$114</f>
        <v>0</v>
      </c>
      <c r="H242" s="42">
        <f>GradingSGS!G$114</f>
        <v>0.14882767054190232</v>
      </c>
      <c r="I242" s="42">
        <f>GradingSGS!H$114</f>
        <v>0.14882767054190232</v>
      </c>
      <c r="J242" s="69">
        <v>18</v>
      </c>
      <c r="K242" s="83">
        <v>20</v>
      </c>
      <c r="L242" s="82"/>
      <c r="M242" s="7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1:28" ht="12.75">
      <c r="A243" s="5" t="str">
        <f>FoundationsSGS!A$1</f>
        <v>SGS Foundations </v>
      </c>
      <c r="B243" s="74" t="s">
        <v>111</v>
      </c>
      <c r="C243" s="42">
        <f>FoundationsSGS!B$104</f>
        <v>31.603055026455028</v>
      </c>
      <c r="D243" s="42">
        <f>FoundationsSGS!C$104</f>
        <v>3.0680146666666666</v>
      </c>
      <c r="E243" s="42">
        <f>FoundationsSGS!D$104</f>
        <v>19.57209743915344</v>
      </c>
      <c r="F243" s="42">
        <f>FoundationsSGS!E$104</f>
        <v>1.595012</v>
      </c>
      <c r="G243" s="42">
        <f>FoundationsSGS!F$104</f>
        <v>1.199007643738977</v>
      </c>
      <c r="H243" s="42">
        <f>FoundationsSGS!G$104</f>
        <v>4.559915707109241</v>
      </c>
      <c r="I243" s="42">
        <f>FoundationsSGS!H$104</f>
        <v>5.74851770710924</v>
      </c>
      <c r="J243" s="69">
        <v>21</v>
      </c>
      <c r="K243" s="83">
        <v>28</v>
      </c>
      <c r="L243" s="82"/>
      <c r="M243" s="7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1:28" ht="12.75">
      <c r="A244" s="56"/>
      <c r="B244" s="74" t="s">
        <v>112</v>
      </c>
      <c r="C244" s="42">
        <f>FoundationsSGS!B$113</f>
        <v>13.331922398589064</v>
      </c>
      <c r="D244" s="42">
        <f>FoundationsSGS!C$113</f>
        <v>1.8877865961199294</v>
      </c>
      <c r="E244" s="42">
        <f>FoundationsSGS!D$113</f>
        <v>7.435229276895943</v>
      </c>
      <c r="F244" s="42">
        <f>FoundationsSGS!E$113</f>
        <v>0</v>
      </c>
      <c r="G244" s="42">
        <f>FoundationsSGS!F$113</f>
        <v>0.4162257495590828</v>
      </c>
      <c r="H244" s="42">
        <f>FoundationsSGS!G$113</f>
        <v>19.315634906758614</v>
      </c>
      <c r="I244" s="42">
        <f>FoundationsSGS!H$113</f>
        <v>19.731860656317696</v>
      </c>
      <c r="J244" s="69">
        <v>21</v>
      </c>
      <c r="K244" s="83">
        <v>28</v>
      </c>
      <c r="L244" s="82"/>
      <c r="M244" s="79"/>
      <c r="N244" s="29"/>
      <c r="O244" s="23"/>
      <c r="P244" s="67"/>
      <c r="Q244" s="67"/>
      <c r="R244" s="67"/>
      <c r="S244" s="67"/>
      <c r="T244" s="67"/>
      <c r="U244" s="67"/>
      <c r="V244" s="67"/>
      <c r="W244" s="84"/>
      <c r="X244" s="84"/>
      <c r="Y244" s="29"/>
      <c r="Z244" s="29"/>
      <c r="AA244" s="29"/>
      <c r="AB244" s="29"/>
    </row>
    <row r="245" spans="1:28" ht="12.75">
      <c r="A245" s="5" t="str">
        <f>PavingSGS!A$1</f>
        <v>SGS Paving</v>
      </c>
      <c r="B245" s="74" t="s">
        <v>111</v>
      </c>
      <c r="C245" s="42">
        <f>PavingSGS!B$105</f>
        <v>16.777976296296295</v>
      </c>
      <c r="D245" s="42">
        <f>PavingSGS!C$105</f>
        <v>2.411548383425153</v>
      </c>
      <c r="E245" s="42">
        <f>PavingSGS!D$105</f>
        <v>30.5326455026455</v>
      </c>
      <c r="F245" s="42">
        <f>PavingSGS!E$105</f>
        <v>2.5934239999999997</v>
      </c>
      <c r="G245" s="42">
        <f>PavingSGS!F$105</f>
        <v>1.5448282328042324</v>
      </c>
      <c r="H245" s="42">
        <f>PavingSGS!G$105</f>
        <v>2.289915970259919</v>
      </c>
      <c r="I245" s="42">
        <f>PavingSGS!H$105</f>
        <v>3.826939970259919</v>
      </c>
      <c r="J245" s="69">
        <v>21</v>
      </c>
      <c r="K245" s="83">
        <v>28</v>
      </c>
      <c r="L245" s="82"/>
      <c r="M245" s="7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1:28" ht="12.75">
      <c r="A246" s="56"/>
      <c r="B246" s="74" t="s">
        <v>112</v>
      </c>
      <c r="C246" s="42">
        <f>PavingSGS!B$114</f>
        <v>6.732275132275133</v>
      </c>
      <c r="D246" s="42">
        <f>PavingSGS!C$114</f>
        <v>0.9887566137566136</v>
      </c>
      <c r="E246" s="42">
        <f>PavingSGS!D$114</f>
        <v>5.104100529100529</v>
      </c>
      <c r="F246" s="42">
        <f>PavingSGS!E$114</f>
        <v>0</v>
      </c>
      <c r="G246" s="42">
        <f>PavingSGS!F$114</f>
        <v>0.31216931216931215</v>
      </c>
      <c r="H246" s="42">
        <f>PavingSGS!G$114</f>
        <v>14.151863921349678</v>
      </c>
      <c r="I246" s="42">
        <f>PavingSGS!H$114</f>
        <v>14.46403323351899</v>
      </c>
      <c r="J246" s="69">
        <v>21</v>
      </c>
      <c r="K246" s="83">
        <v>28</v>
      </c>
      <c r="L246" s="82"/>
      <c r="M246" s="7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1:28" ht="12.75">
      <c r="A247" s="5" t="str">
        <f>'Equipment InstallationSGS'!A$1</f>
        <v>SGS Equipment Installation</v>
      </c>
      <c r="B247" s="74" t="s">
        <v>111</v>
      </c>
      <c r="C247" s="42">
        <f>'Equipment InstallationSGS'!B$104</f>
        <v>64.06863915343915</v>
      </c>
      <c r="D247" s="42">
        <f>'Equipment InstallationSGS'!C$104</f>
        <v>48.18472171781305</v>
      </c>
      <c r="E247" s="42">
        <f>'Equipment InstallationSGS'!D$104</f>
        <v>113.95404391534392</v>
      </c>
      <c r="F247" s="42">
        <f>'Equipment InstallationSGS'!E$104</f>
        <v>9.846864</v>
      </c>
      <c r="G247" s="42">
        <f>'Equipment InstallationSGS'!F$104</f>
        <v>6.411303760141093</v>
      </c>
      <c r="H247" s="42">
        <f>'Equipment InstallationSGS'!G$104</f>
        <v>6.107549044771484</v>
      </c>
      <c r="I247" s="42">
        <f>'Equipment InstallationSGS'!H$104</f>
        <v>12.504545044771483</v>
      </c>
      <c r="J247" s="69">
        <v>29</v>
      </c>
      <c r="K247" s="83">
        <v>150</v>
      </c>
      <c r="L247" s="82"/>
      <c r="M247" s="7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1:28" ht="12.75">
      <c r="A248" s="56"/>
      <c r="B248" s="74" t="s">
        <v>112</v>
      </c>
      <c r="C248" s="42">
        <f>'Equipment InstallationSGS'!B$113</f>
        <v>58.075837742504405</v>
      </c>
      <c r="D248" s="42">
        <f>'Equipment InstallationSGS'!C$113</f>
        <v>7.791887125220459</v>
      </c>
      <c r="E248" s="42">
        <f>'Equipment InstallationSGS'!D$113</f>
        <v>15.970017636684302</v>
      </c>
      <c r="F248" s="42">
        <f>'Equipment InstallationSGS'!E$113</f>
        <v>0</v>
      </c>
      <c r="G248" s="42">
        <f>'Equipment InstallationSGS'!F$113</f>
        <v>0.572310405643739</v>
      </c>
      <c r="H248" s="42">
        <f>'Equipment InstallationSGS'!G$113</f>
        <v>30.733155477877673</v>
      </c>
      <c r="I248" s="42">
        <f>'Equipment InstallationSGS'!H$113</f>
        <v>31.305465883521414</v>
      </c>
      <c r="J248" s="69">
        <v>29</v>
      </c>
      <c r="K248" s="83">
        <v>150</v>
      </c>
      <c r="L248" s="82"/>
      <c r="M248" s="7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1:28" ht="12.75">
      <c r="A249" s="5" t="str">
        <f>DemolitionVGS!A$1</f>
        <v>VGS Demolition</v>
      </c>
      <c r="B249" s="74" t="s">
        <v>111</v>
      </c>
      <c r="C249" s="42">
        <f>DemolitionVGS!B$120</f>
        <v>84.01033402469135</v>
      </c>
      <c r="D249" s="42">
        <f>DemolitionVGS!C$120</f>
        <v>15.491181133944352</v>
      </c>
      <c r="E249" s="42">
        <f>DemolitionVGS!D$120</f>
        <v>136.10074585820104</v>
      </c>
      <c r="F249" s="42">
        <f>DemolitionVGS!E$120</f>
        <v>11.984622399999997</v>
      </c>
      <c r="G249" s="42">
        <f>DemolitionVGS!F$120</f>
        <v>7.550917265608465</v>
      </c>
      <c r="H249" s="42">
        <f>DemolitionVGS!G$120</f>
        <v>4.079444565062891</v>
      </c>
      <c r="I249" s="42">
        <f>DemolitionVGS!H$120</f>
        <v>11.61475336506289</v>
      </c>
      <c r="J249" s="69">
        <v>1</v>
      </c>
      <c r="K249" s="83">
        <v>10</v>
      </c>
      <c r="L249" s="82"/>
      <c r="M249" s="7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1:28" ht="12.75">
      <c r="A250" s="56"/>
      <c r="B250" s="74" t="s">
        <v>112</v>
      </c>
      <c r="C250" s="42">
        <f>DemolitionVGS!B$129</f>
        <v>17.027865961199293</v>
      </c>
      <c r="D250" s="42">
        <f>DemolitionVGS!C$129</f>
        <v>2.4071869488536155</v>
      </c>
      <c r="E250" s="42">
        <f>DemolitionVGS!D$129</f>
        <v>9.346516754850088</v>
      </c>
      <c r="F250" s="42">
        <f>DemolitionVGS!E$129</f>
        <v>0</v>
      </c>
      <c r="G250" s="42">
        <f>DemolitionVGS!F$129</f>
        <v>0.5202821869488536</v>
      </c>
      <c r="H250" s="42">
        <f>DemolitionVGS!G$129</f>
        <v>27.387095978735342</v>
      </c>
      <c r="I250" s="42">
        <f>DemolitionVGS!H$129</f>
        <v>27.907378165684197</v>
      </c>
      <c r="J250" s="69">
        <v>1</v>
      </c>
      <c r="K250" s="83">
        <v>10</v>
      </c>
      <c r="L250" s="82"/>
      <c r="M250" s="7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1:28" ht="12.75">
      <c r="A251" s="5" t="str">
        <f>GradingVGS!A$1</f>
        <v>VGS Grading</v>
      </c>
      <c r="B251" s="74" t="s">
        <v>111</v>
      </c>
      <c r="C251" s="42">
        <f>GradingVGS!B$105</f>
        <v>21.67511238095238</v>
      </c>
      <c r="D251" s="42">
        <f>GradingVGS!C$105</f>
        <v>5.551804070546737</v>
      </c>
      <c r="E251" s="42">
        <f>GradingVGS!D$105</f>
        <v>40.295351463844796</v>
      </c>
      <c r="F251" s="42">
        <f>GradingVGS!E$105</f>
        <v>3.698616</v>
      </c>
      <c r="G251" s="42">
        <f>GradingVGS!F$105</f>
        <v>2.090523880070547</v>
      </c>
      <c r="H251" s="42">
        <f>GradingVGS!G$105</f>
        <v>2.285108684761634</v>
      </c>
      <c r="I251" s="42">
        <f>GradingVGS!H$105</f>
        <v>4.374728684761634</v>
      </c>
      <c r="J251" s="69">
        <v>11</v>
      </c>
      <c r="K251" s="83">
        <v>15</v>
      </c>
      <c r="L251" s="82"/>
      <c r="M251" s="7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1:28" ht="12.75">
      <c r="A252" s="56"/>
      <c r="B252" s="74" t="s">
        <v>112</v>
      </c>
      <c r="C252" s="42">
        <f>GradingVGS!B$114</f>
        <v>1.4518518518518517</v>
      </c>
      <c r="D252" s="42">
        <f>GradingVGS!C$114</f>
        <v>0.1898148148148148</v>
      </c>
      <c r="E252" s="42">
        <f>GradingVGS!D$114</f>
        <v>0.20992063492063495</v>
      </c>
      <c r="F252" s="42">
        <f>GradingVGS!E$114</f>
        <v>0</v>
      </c>
      <c r="G252" s="42">
        <f>GradingVGS!F$114</f>
        <v>0</v>
      </c>
      <c r="H252" s="42">
        <f>GradingVGS!G$114</f>
        <v>0.14882767054190232</v>
      </c>
      <c r="I252" s="42">
        <f>GradingVGS!H$114</f>
        <v>0.14882767054190232</v>
      </c>
      <c r="J252" s="69">
        <v>11</v>
      </c>
      <c r="K252" s="83">
        <v>15</v>
      </c>
      <c r="L252" s="82"/>
      <c r="M252" s="7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1:28" ht="12.75">
      <c r="A253" s="5" t="str">
        <f>FoundationsVGS!A$1</f>
        <v>VGS Foundations </v>
      </c>
      <c r="B253" s="74" t="s">
        <v>111</v>
      </c>
      <c r="C253" s="42">
        <f>FoundationsVGS!B$105</f>
        <v>54.120073368606704</v>
      </c>
      <c r="D253" s="42">
        <f>FoundationsVGS!C$105</f>
        <v>4.807746398589066</v>
      </c>
      <c r="E253" s="42">
        <f>FoundationsVGS!D$105</f>
        <v>27.920418172839504</v>
      </c>
      <c r="F253" s="42">
        <f>FoundationsVGS!E$105</f>
        <v>2.2287760000000003</v>
      </c>
      <c r="G253" s="42">
        <f>FoundationsVGS!F$105</f>
        <v>1.6887856366843035</v>
      </c>
      <c r="H253" s="42">
        <f>FoundationsVGS!G$105</f>
        <v>7.890438895104255</v>
      </c>
      <c r="I253" s="42">
        <f>FoundationsVGS!H$105</f>
        <v>9.546706895104256</v>
      </c>
      <c r="J253" s="69">
        <v>16</v>
      </c>
      <c r="K253" s="83">
        <v>22</v>
      </c>
      <c r="L253" s="82"/>
      <c r="M253" s="7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1:28" ht="12.75">
      <c r="A254" s="56"/>
      <c r="B254" s="74" t="s">
        <v>112</v>
      </c>
      <c r="C254" s="42">
        <f>FoundationsVGS!B$114</f>
        <v>46.19929453262786</v>
      </c>
      <c r="D254" s="42">
        <f>FoundationsVGS!C$114</f>
        <v>6.492504409171076</v>
      </c>
      <c r="E254" s="42">
        <f>FoundationsVGS!D$114</f>
        <v>23.891093474426803</v>
      </c>
      <c r="F254" s="42">
        <f>FoundationsVGS!E$114</f>
        <v>0</v>
      </c>
      <c r="G254" s="42">
        <f>FoundationsVGS!F$114</f>
        <v>1.3007054673721339</v>
      </c>
      <c r="H254" s="42">
        <f>FoundationsVGS!G$114</f>
        <v>60.82644555406411</v>
      </c>
      <c r="I254" s="42">
        <f>FoundationsVGS!H$114</f>
        <v>62.12715102143624</v>
      </c>
      <c r="J254" s="69">
        <v>16</v>
      </c>
      <c r="K254" s="83">
        <v>22</v>
      </c>
      <c r="L254" s="82"/>
      <c r="M254" s="7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1:28" ht="12.75">
      <c r="A255" s="5" t="str">
        <f>PavingVGS!A$1</f>
        <v>VGS Paving</v>
      </c>
      <c r="B255" s="74" t="s">
        <v>111</v>
      </c>
      <c r="C255" s="42">
        <f>PavingVGS!B$105</f>
        <v>17.10399040564374</v>
      </c>
      <c r="D255" s="42">
        <f>PavingVGS!C$105</f>
        <v>2.90111261186567</v>
      </c>
      <c r="E255" s="42">
        <f>PavingVGS!D$105</f>
        <v>30.6152733686067</v>
      </c>
      <c r="F255" s="42">
        <f>PavingVGS!E$105</f>
        <v>2.5934239999999997</v>
      </c>
      <c r="G255" s="42">
        <f>PavingVGS!F$105</f>
        <v>1.5474296437389767</v>
      </c>
      <c r="H255" s="42">
        <f>PavingVGS!G$105</f>
        <v>2.800261462422168</v>
      </c>
      <c r="I255" s="42">
        <f>PavingVGS!H$105</f>
        <v>4.337285462422168</v>
      </c>
      <c r="J255" s="69">
        <v>21</v>
      </c>
      <c r="K255" s="83">
        <v>25</v>
      </c>
      <c r="L255" s="82"/>
      <c r="M255" s="7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1:28" ht="12.75">
      <c r="A256" s="56"/>
      <c r="B256" s="74" t="s">
        <v>112</v>
      </c>
      <c r="C256" s="42">
        <f>PavingVGS!B$114</f>
        <v>8.492416225749558</v>
      </c>
      <c r="D256" s="42">
        <f>PavingVGS!C$114</f>
        <v>1.2550705467372134</v>
      </c>
      <c r="E256" s="42">
        <f>PavingVGS!D$114</f>
        <v>6.735493827160493</v>
      </c>
      <c r="F256" s="42">
        <f>PavingVGS!E$114</f>
        <v>0</v>
      </c>
      <c r="G256" s="42">
        <f>PavingVGS!F$114</f>
        <v>0.4162257495590828</v>
      </c>
      <c r="H256" s="42">
        <f>PavingVGS!G$114</f>
        <v>18.81954267161894</v>
      </c>
      <c r="I256" s="42">
        <f>PavingVGS!H$114</f>
        <v>19.235768421178022</v>
      </c>
      <c r="J256" s="69">
        <v>21</v>
      </c>
      <c r="K256" s="83">
        <v>25</v>
      </c>
      <c r="L256" s="82"/>
      <c r="M256" s="7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1:28" ht="12.75">
      <c r="A257" s="5" t="str">
        <f>'Equipment InstallationVGS'!A$1</f>
        <v>VGS Equipment Installation</v>
      </c>
      <c r="B257" s="74" t="s">
        <v>111</v>
      </c>
      <c r="C257" s="42">
        <f>'Equipment InstallationVGS'!B$104</f>
        <v>74.48057636684304</v>
      </c>
      <c r="D257" s="42">
        <f>'Equipment InstallationVGS'!C$104</f>
        <v>21.79213332627866</v>
      </c>
      <c r="E257" s="42">
        <f>'Equipment InstallationVGS'!D$104</f>
        <v>124.16748057848322</v>
      </c>
      <c r="F257" s="42">
        <f>'Equipment InstallationVGS'!E$104</f>
        <v>10.449848000000001</v>
      </c>
      <c r="G257" s="42">
        <f>'Equipment InstallationVGS'!F$104</f>
        <v>7.028415054673722</v>
      </c>
      <c r="H257" s="42">
        <f>'Equipment InstallationVGS'!G$104</f>
        <v>6.621213909168833</v>
      </c>
      <c r="I257" s="42">
        <f>'Equipment InstallationVGS'!H$104</f>
        <v>13.636621909168834</v>
      </c>
      <c r="J257" s="69">
        <v>29</v>
      </c>
      <c r="K257" s="83">
        <v>150</v>
      </c>
      <c r="L257" s="82"/>
      <c r="M257" s="7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1:28" ht="12.75">
      <c r="A258" s="56"/>
      <c r="B258" s="74" t="s">
        <v>112</v>
      </c>
      <c r="C258" s="42">
        <f>'Equipment InstallationVGS'!B$113</f>
        <v>59.61552028218694</v>
      </c>
      <c r="D258" s="42">
        <f>'Equipment InstallationVGS'!C$113</f>
        <v>7.975088183421517</v>
      </c>
      <c r="E258" s="42">
        <f>'Equipment InstallationVGS'!D$113</f>
        <v>15.504188712522044</v>
      </c>
      <c r="F258" s="42">
        <f>'Equipment InstallationVGS'!E$113</f>
        <v>0</v>
      </c>
      <c r="G258" s="42">
        <f>'Equipment InstallationVGS'!F$113</f>
        <v>0.5202821869488536</v>
      </c>
      <c r="H258" s="42">
        <f>'Equipment InstallationVGS'!G$113</f>
        <v>28.54736222031288</v>
      </c>
      <c r="I258" s="42">
        <f>'Equipment InstallationVGS'!H$113</f>
        <v>29.067644407261735</v>
      </c>
      <c r="J258" s="69">
        <v>29</v>
      </c>
      <c r="K258" s="83">
        <v>150</v>
      </c>
      <c r="L258" s="82"/>
      <c r="M258" s="7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1:11" ht="12.75">
      <c r="A259" s="29"/>
      <c r="B259" s="23"/>
      <c r="C259" s="67"/>
      <c r="D259" s="67"/>
      <c r="E259" s="67"/>
      <c r="F259" s="67"/>
      <c r="G259" s="67"/>
      <c r="H259" s="67"/>
      <c r="I259" s="67"/>
      <c r="J259" s="57"/>
      <c r="K259" s="57"/>
    </row>
    <row r="260" spans="1:11" ht="12.75">
      <c r="A260" s="29"/>
      <c r="B260" s="23"/>
      <c r="C260" s="67"/>
      <c r="D260" s="67"/>
      <c r="E260" s="67"/>
      <c r="F260" s="67"/>
      <c r="G260" s="67"/>
      <c r="H260" s="67"/>
      <c r="I260" s="67"/>
      <c r="J260" s="57"/>
      <c r="K260" s="57"/>
    </row>
    <row r="261" spans="1:14" ht="12.75">
      <c r="A261" s="86" t="s">
        <v>239</v>
      </c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</row>
    <row r="262" spans="1:14" ht="12.75">
      <c r="A262" s="85" t="s">
        <v>240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</row>
    <row r="263" spans="1:14" ht="12.75">
      <c r="A263" s="37" t="s">
        <v>87</v>
      </c>
      <c r="B263" s="69">
        <v>1</v>
      </c>
      <c r="C263" s="69">
        <v>10</v>
      </c>
      <c r="D263" s="69">
        <v>11</v>
      </c>
      <c r="E263" s="69">
        <v>15</v>
      </c>
      <c r="F263" s="69">
        <v>16</v>
      </c>
      <c r="G263" s="69">
        <v>18</v>
      </c>
      <c r="H263" s="69">
        <v>20</v>
      </c>
      <c r="I263" s="69">
        <v>21</v>
      </c>
      <c r="J263" s="69">
        <v>22</v>
      </c>
      <c r="K263" s="69">
        <v>25</v>
      </c>
      <c r="L263" s="69">
        <v>28</v>
      </c>
      <c r="M263" s="69">
        <v>29</v>
      </c>
      <c r="N263" s="69">
        <v>150</v>
      </c>
    </row>
    <row r="264" spans="1:14" ht="12.75">
      <c r="A264" s="4" t="str">
        <f>A227</f>
        <v>HGS Tank Demolition</v>
      </c>
      <c r="B264" s="43">
        <f aca="true" t="shared" si="93" ref="B264:N264">IF(AND(B$263&gt;=$J227,B$263&lt;=$K227),$C227+$C228,0)</f>
        <v>162.46098931922396</v>
      </c>
      <c r="C264" s="43">
        <f t="shared" si="93"/>
        <v>162.46098931922396</v>
      </c>
      <c r="D264" s="43">
        <f t="shared" si="93"/>
        <v>0</v>
      </c>
      <c r="E264" s="43">
        <f t="shared" si="93"/>
        <v>0</v>
      </c>
      <c r="F264" s="43">
        <f t="shared" si="93"/>
        <v>0</v>
      </c>
      <c r="G264" s="43">
        <f t="shared" si="93"/>
        <v>0</v>
      </c>
      <c r="H264" s="43">
        <f t="shared" si="93"/>
        <v>0</v>
      </c>
      <c r="I264" s="43">
        <f t="shared" si="93"/>
        <v>0</v>
      </c>
      <c r="J264" s="43">
        <f t="shared" si="93"/>
        <v>0</v>
      </c>
      <c r="K264" s="43">
        <f t="shared" si="93"/>
        <v>0</v>
      </c>
      <c r="L264" s="43">
        <f t="shared" si="93"/>
        <v>0</v>
      </c>
      <c r="M264" s="43">
        <f t="shared" si="93"/>
        <v>0</v>
      </c>
      <c r="N264" s="43">
        <f t="shared" si="93"/>
        <v>0</v>
      </c>
    </row>
    <row r="265" spans="1:14" ht="12.75">
      <c r="A265" s="4" t="str">
        <f>A229</f>
        <v>HGS Backfill</v>
      </c>
      <c r="B265" s="43">
        <f aca="true" t="shared" si="94" ref="B265:N265">IF(AND(B$263&gt;=$J229,B$263&lt;=$K229),$C229+$C230,0)</f>
        <v>0</v>
      </c>
      <c r="C265" s="43">
        <f t="shared" si="94"/>
        <v>0</v>
      </c>
      <c r="D265" s="43">
        <f t="shared" si="94"/>
        <v>200.7701048324515</v>
      </c>
      <c r="E265" s="43">
        <f t="shared" si="94"/>
        <v>200.7701048324515</v>
      </c>
      <c r="F265" s="43">
        <f t="shared" si="94"/>
        <v>200.7701048324515</v>
      </c>
      <c r="G265" s="43">
        <f t="shared" si="94"/>
        <v>200.7701048324515</v>
      </c>
      <c r="H265" s="43">
        <f t="shared" si="94"/>
        <v>200.7701048324515</v>
      </c>
      <c r="I265" s="43">
        <f t="shared" si="94"/>
        <v>0</v>
      </c>
      <c r="J265" s="43">
        <f t="shared" si="94"/>
        <v>0</v>
      </c>
      <c r="K265" s="43">
        <f t="shared" si="94"/>
        <v>0</v>
      </c>
      <c r="L265" s="43">
        <f t="shared" si="94"/>
        <v>0</v>
      </c>
      <c r="M265" s="43">
        <f t="shared" si="94"/>
        <v>0</v>
      </c>
      <c r="N265" s="43">
        <f t="shared" si="94"/>
        <v>0</v>
      </c>
    </row>
    <row r="266" spans="1:14" ht="12.75">
      <c r="A266" s="4" t="str">
        <f>A231</f>
        <v>HGS Grading</v>
      </c>
      <c r="B266" s="43">
        <f aca="true" t="shared" si="95" ref="B266:N266">IF(AND(B$263&gt;=$J231,B$263&lt;=$K231),$C231+$C232,0)</f>
        <v>0</v>
      </c>
      <c r="C266" s="43">
        <f t="shared" si="95"/>
        <v>0</v>
      </c>
      <c r="D266" s="43">
        <f t="shared" si="95"/>
        <v>0</v>
      </c>
      <c r="E266" s="43">
        <f t="shared" si="95"/>
        <v>0</v>
      </c>
      <c r="F266" s="43">
        <f t="shared" si="95"/>
        <v>0</v>
      </c>
      <c r="G266" s="43">
        <f t="shared" si="95"/>
        <v>53.48216423280422</v>
      </c>
      <c r="H266" s="43">
        <f t="shared" si="95"/>
        <v>53.48216423280422</v>
      </c>
      <c r="I266" s="43">
        <f t="shared" si="95"/>
        <v>0</v>
      </c>
      <c r="J266" s="43">
        <f t="shared" si="95"/>
        <v>0</v>
      </c>
      <c r="K266" s="43">
        <f t="shared" si="95"/>
        <v>0</v>
      </c>
      <c r="L266" s="43">
        <f t="shared" si="95"/>
        <v>0</v>
      </c>
      <c r="M266" s="43">
        <f t="shared" si="95"/>
        <v>0</v>
      </c>
      <c r="N266" s="43">
        <f t="shared" si="95"/>
        <v>0</v>
      </c>
    </row>
    <row r="267" spans="1:14" ht="12.75">
      <c r="A267" s="4" t="str">
        <f>A233</f>
        <v>HGS Foundations </v>
      </c>
      <c r="B267" s="43">
        <f aca="true" t="shared" si="96" ref="B267:N267">IF(AND(B$263&gt;=$J233,B$263&lt;=$K233),$C233+$C234,0)</f>
        <v>0</v>
      </c>
      <c r="C267" s="43">
        <f t="shared" si="96"/>
        <v>0</v>
      </c>
      <c r="D267" s="43">
        <f t="shared" si="96"/>
        <v>0</v>
      </c>
      <c r="E267" s="43">
        <f t="shared" si="96"/>
        <v>0</v>
      </c>
      <c r="F267" s="43">
        <f t="shared" si="96"/>
        <v>0</v>
      </c>
      <c r="G267" s="43">
        <f t="shared" si="96"/>
        <v>0</v>
      </c>
      <c r="H267" s="43">
        <f t="shared" si="96"/>
        <v>0</v>
      </c>
      <c r="I267" s="43">
        <f t="shared" si="96"/>
        <v>404.5366405643739</v>
      </c>
      <c r="J267" s="43">
        <f t="shared" si="96"/>
        <v>404.5366405643739</v>
      </c>
      <c r="K267" s="43">
        <f t="shared" si="96"/>
        <v>404.5366405643739</v>
      </c>
      <c r="L267" s="43">
        <f t="shared" si="96"/>
        <v>404.5366405643739</v>
      </c>
      <c r="M267" s="43">
        <f t="shared" si="96"/>
        <v>0</v>
      </c>
      <c r="N267" s="43">
        <f t="shared" si="96"/>
        <v>0</v>
      </c>
    </row>
    <row r="268" spans="1:14" ht="12.75">
      <c r="A268" s="4" t="str">
        <f>A235</f>
        <v>HGS Paving</v>
      </c>
      <c r="B268" s="43">
        <f aca="true" t="shared" si="97" ref="B268:N268">IF(AND(B$263&gt;=$J235,B$263&lt;=$K235),$C235+$C236,0)</f>
        <v>0</v>
      </c>
      <c r="C268" s="43">
        <f t="shared" si="97"/>
        <v>0</v>
      </c>
      <c r="D268" s="43">
        <f t="shared" si="97"/>
        <v>0</v>
      </c>
      <c r="E268" s="43">
        <f t="shared" si="97"/>
        <v>0</v>
      </c>
      <c r="F268" s="43">
        <f t="shared" si="97"/>
        <v>0</v>
      </c>
      <c r="G268" s="43">
        <f t="shared" si="97"/>
        <v>0</v>
      </c>
      <c r="H268" s="43">
        <f t="shared" si="97"/>
        <v>0</v>
      </c>
      <c r="I268" s="43">
        <f t="shared" si="97"/>
        <v>69.11095407407407</v>
      </c>
      <c r="J268" s="43">
        <f t="shared" si="97"/>
        <v>69.11095407407407</v>
      </c>
      <c r="K268" s="43">
        <f t="shared" si="97"/>
        <v>69.11095407407407</v>
      </c>
      <c r="L268" s="43">
        <f t="shared" si="97"/>
        <v>69.11095407407407</v>
      </c>
      <c r="M268" s="43">
        <f t="shared" si="97"/>
        <v>0</v>
      </c>
      <c r="N268" s="43">
        <f t="shared" si="97"/>
        <v>0</v>
      </c>
    </row>
    <row r="269" spans="1:14" ht="12.75">
      <c r="A269" s="4" t="str">
        <f>A237</f>
        <v>HGS Equipment Installation</v>
      </c>
      <c r="B269" s="43">
        <f aca="true" t="shared" si="98" ref="B269:N269">IF(AND(B$263&gt;=$J237,B$263&lt;=$K237),$C237+$C238,0)</f>
        <v>0</v>
      </c>
      <c r="C269" s="43">
        <f t="shared" si="98"/>
        <v>0</v>
      </c>
      <c r="D269" s="43">
        <f t="shared" si="98"/>
        <v>0</v>
      </c>
      <c r="E269" s="43">
        <f t="shared" si="98"/>
        <v>0</v>
      </c>
      <c r="F269" s="43">
        <f t="shared" si="98"/>
        <v>0</v>
      </c>
      <c r="G269" s="43">
        <f t="shared" si="98"/>
        <v>0</v>
      </c>
      <c r="H269" s="43">
        <f t="shared" si="98"/>
        <v>0</v>
      </c>
      <c r="I269" s="43">
        <f t="shared" si="98"/>
        <v>0</v>
      </c>
      <c r="J269" s="43">
        <f t="shared" si="98"/>
        <v>0</v>
      </c>
      <c r="K269" s="43">
        <f t="shared" si="98"/>
        <v>0</v>
      </c>
      <c r="L269" s="43">
        <f t="shared" si="98"/>
        <v>0</v>
      </c>
      <c r="M269" s="43">
        <f t="shared" si="98"/>
        <v>382.36591125220457</v>
      </c>
      <c r="N269" s="43">
        <f t="shared" si="98"/>
        <v>382.36591125220457</v>
      </c>
    </row>
    <row r="270" spans="1:14" ht="12.75">
      <c r="A270" s="4" t="str">
        <f>A239</f>
        <v>SGS Slab Demolition</v>
      </c>
      <c r="B270" s="43">
        <f aca="true" t="shared" si="99" ref="B270:N270">IF(AND(B$263&gt;=$J239,B$263&lt;=$K239),$C239+$C240,0)</f>
        <v>57.05314977072311</v>
      </c>
      <c r="C270" s="43">
        <f t="shared" si="99"/>
        <v>57.05314977072311</v>
      </c>
      <c r="D270" s="43">
        <f t="shared" si="99"/>
        <v>0</v>
      </c>
      <c r="E270" s="43">
        <f t="shared" si="99"/>
        <v>0</v>
      </c>
      <c r="F270" s="43">
        <f t="shared" si="99"/>
        <v>0</v>
      </c>
      <c r="G270" s="43">
        <f t="shared" si="99"/>
        <v>0</v>
      </c>
      <c r="H270" s="43">
        <f t="shared" si="99"/>
        <v>0</v>
      </c>
      <c r="I270" s="43">
        <f t="shared" si="99"/>
        <v>0</v>
      </c>
      <c r="J270" s="43">
        <f t="shared" si="99"/>
        <v>0</v>
      </c>
      <c r="K270" s="43">
        <f t="shared" si="99"/>
        <v>0</v>
      </c>
      <c r="L270" s="43">
        <f t="shared" si="99"/>
        <v>0</v>
      </c>
      <c r="M270" s="43">
        <f t="shared" si="99"/>
        <v>0</v>
      </c>
      <c r="N270" s="43">
        <f t="shared" si="99"/>
        <v>0</v>
      </c>
    </row>
    <row r="271" spans="1:14" ht="12.75">
      <c r="A271" s="4" t="str">
        <f>A241</f>
        <v>SGS Grading</v>
      </c>
      <c r="B271" s="43">
        <f aca="true" t="shared" si="100" ref="B271:N271">IF(AND(B$263&gt;=$J241,B$263&lt;=$K241),$C241+$C242,0)</f>
        <v>0</v>
      </c>
      <c r="C271" s="43">
        <f t="shared" si="100"/>
        <v>0</v>
      </c>
      <c r="D271" s="43">
        <f t="shared" si="100"/>
        <v>0</v>
      </c>
      <c r="E271" s="43">
        <f t="shared" si="100"/>
        <v>0</v>
      </c>
      <c r="F271" s="43">
        <f t="shared" si="100"/>
        <v>0</v>
      </c>
      <c r="G271" s="43">
        <f t="shared" si="100"/>
        <v>23.4946891005291</v>
      </c>
      <c r="H271" s="43">
        <f t="shared" si="100"/>
        <v>23.4946891005291</v>
      </c>
      <c r="I271" s="43">
        <f t="shared" si="100"/>
        <v>0</v>
      </c>
      <c r="J271" s="43">
        <f t="shared" si="100"/>
        <v>0</v>
      </c>
      <c r="K271" s="43">
        <f t="shared" si="100"/>
        <v>0</v>
      </c>
      <c r="L271" s="43">
        <f t="shared" si="100"/>
        <v>0</v>
      </c>
      <c r="M271" s="43">
        <f t="shared" si="100"/>
        <v>0</v>
      </c>
      <c r="N271" s="43">
        <f t="shared" si="100"/>
        <v>0</v>
      </c>
    </row>
    <row r="272" spans="1:14" ht="12.75">
      <c r="A272" s="4" t="str">
        <f>A243</f>
        <v>SGS Foundations </v>
      </c>
      <c r="B272" s="43">
        <f aca="true" t="shared" si="101" ref="B272:N272">IF(AND(B$263&gt;=$J243,B$263&lt;=$K243),$C243+$C244,0)</f>
        <v>0</v>
      </c>
      <c r="C272" s="43">
        <f t="shared" si="101"/>
        <v>0</v>
      </c>
      <c r="D272" s="43">
        <f t="shared" si="101"/>
        <v>0</v>
      </c>
      <c r="E272" s="43">
        <f t="shared" si="101"/>
        <v>0</v>
      </c>
      <c r="F272" s="43">
        <f t="shared" si="101"/>
        <v>0</v>
      </c>
      <c r="G272" s="43">
        <f t="shared" si="101"/>
        <v>0</v>
      </c>
      <c r="H272" s="43">
        <f t="shared" si="101"/>
        <v>0</v>
      </c>
      <c r="I272" s="43">
        <f t="shared" si="101"/>
        <v>44.934977425044096</v>
      </c>
      <c r="J272" s="43">
        <f t="shared" si="101"/>
        <v>44.934977425044096</v>
      </c>
      <c r="K272" s="43">
        <f t="shared" si="101"/>
        <v>44.934977425044096</v>
      </c>
      <c r="L272" s="43">
        <f t="shared" si="101"/>
        <v>44.934977425044096</v>
      </c>
      <c r="M272" s="43">
        <f t="shared" si="101"/>
        <v>0</v>
      </c>
      <c r="N272" s="43">
        <f t="shared" si="101"/>
        <v>0</v>
      </c>
    </row>
    <row r="273" spans="1:14" ht="12.75">
      <c r="A273" s="4" t="str">
        <f>A245</f>
        <v>SGS Paving</v>
      </c>
      <c r="B273" s="43">
        <f aca="true" t="shared" si="102" ref="B273:N273">IF(AND(B$263&gt;=$J245,B$263&lt;=$K245),$C245+$C246,0)</f>
        <v>0</v>
      </c>
      <c r="C273" s="43">
        <f t="shared" si="102"/>
        <v>0</v>
      </c>
      <c r="D273" s="43">
        <f t="shared" si="102"/>
        <v>0</v>
      </c>
      <c r="E273" s="43">
        <f t="shared" si="102"/>
        <v>0</v>
      </c>
      <c r="F273" s="43">
        <f t="shared" si="102"/>
        <v>0</v>
      </c>
      <c r="G273" s="43">
        <f t="shared" si="102"/>
        <v>0</v>
      </c>
      <c r="H273" s="43">
        <f t="shared" si="102"/>
        <v>0</v>
      </c>
      <c r="I273" s="43">
        <f t="shared" si="102"/>
        <v>23.51025142857143</v>
      </c>
      <c r="J273" s="43">
        <f t="shared" si="102"/>
        <v>23.51025142857143</v>
      </c>
      <c r="K273" s="43">
        <f t="shared" si="102"/>
        <v>23.51025142857143</v>
      </c>
      <c r="L273" s="43">
        <f t="shared" si="102"/>
        <v>23.51025142857143</v>
      </c>
      <c r="M273" s="43">
        <f t="shared" si="102"/>
        <v>0</v>
      </c>
      <c r="N273" s="43">
        <f t="shared" si="102"/>
        <v>0</v>
      </c>
    </row>
    <row r="274" spans="1:14" ht="12.75">
      <c r="A274" s="4" t="str">
        <f>A247</f>
        <v>SGS Equipment Installation</v>
      </c>
      <c r="B274" s="43">
        <f>IF(AND(B$263&gt;=$J247,B$263&lt;=$K247),$C247+$C248,0)</f>
        <v>0</v>
      </c>
      <c r="C274" s="43">
        <f aca="true" t="shared" si="103" ref="C274:N274">IF(AND(C$263&gt;=$J247,C$263&lt;=$K247),$C247+$C248,0)</f>
        <v>0</v>
      </c>
      <c r="D274" s="43">
        <f t="shared" si="103"/>
        <v>0</v>
      </c>
      <c r="E274" s="43">
        <f t="shared" si="103"/>
        <v>0</v>
      </c>
      <c r="F274" s="43">
        <f t="shared" si="103"/>
        <v>0</v>
      </c>
      <c r="G274" s="43">
        <f t="shared" si="103"/>
        <v>0</v>
      </c>
      <c r="H274" s="43">
        <f t="shared" si="103"/>
        <v>0</v>
      </c>
      <c r="I274" s="43">
        <f t="shared" si="103"/>
        <v>0</v>
      </c>
      <c r="J274" s="43">
        <f t="shared" si="103"/>
        <v>0</v>
      </c>
      <c r="K274" s="43">
        <f t="shared" si="103"/>
        <v>0</v>
      </c>
      <c r="L274" s="43">
        <f t="shared" si="103"/>
        <v>0</v>
      </c>
      <c r="M274" s="43">
        <f t="shared" si="103"/>
        <v>122.14447689594355</v>
      </c>
      <c r="N274" s="43">
        <f t="shared" si="103"/>
        <v>122.14447689594355</v>
      </c>
    </row>
    <row r="275" spans="1:14" ht="12.75">
      <c r="A275" s="4" t="str">
        <f>A249</f>
        <v>VGS Demolition</v>
      </c>
      <c r="B275" s="43">
        <f>IF(AND(B$263&gt;=$J249,B$263&lt;=$K249),$C249+$C250,0)</f>
        <v>101.03819998589064</v>
      </c>
      <c r="C275" s="43">
        <f aca="true" t="shared" si="104" ref="C275:N275">IF(AND(C$263&gt;=$J249,C$263&lt;=$K249),$C249+$C250,0)</f>
        <v>101.03819998589064</v>
      </c>
      <c r="D275" s="43">
        <f t="shared" si="104"/>
        <v>0</v>
      </c>
      <c r="E275" s="43">
        <f t="shared" si="104"/>
        <v>0</v>
      </c>
      <c r="F275" s="43">
        <f t="shared" si="104"/>
        <v>0</v>
      </c>
      <c r="G275" s="43">
        <f t="shared" si="104"/>
        <v>0</v>
      </c>
      <c r="H275" s="43">
        <f t="shared" si="104"/>
        <v>0</v>
      </c>
      <c r="I275" s="43">
        <f t="shared" si="104"/>
        <v>0</v>
      </c>
      <c r="J275" s="43">
        <f t="shared" si="104"/>
        <v>0</v>
      </c>
      <c r="K275" s="43">
        <f t="shared" si="104"/>
        <v>0</v>
      </c>
      <c r="L275" s="43">
        <f t="shared" si="104"/>
        <v>0</v>
      </c>
      <c r="M275" s="43">
        <f t="shared" si="104"/>
        <v>0</v>
      </c>
      <c r="N275" s="43">
        <f t="shared" si="104"/>
        <v>0</v>
      </c>
    </row>
    <row r="276" spans="1:14" ht="12.75">
      <c r="A276" s="4" t="str">
        <f>A251</f>
        <v>VGS Grading</v>
      </c>
      <c r="B276" s="43">
        <f>IF(AND(B$263&gt;=$J251,B$263&lt;=$K251),$C251+$C252,0)</f>
        <v>0</v>
      </c>
      <c r="C276" s="43">
        <f aca="true" t="shared" si="105" ref="C276:N276">IF(AND(C$263&gt;=$J251,C$263&lt;=$K251),$C251+$C252,0)</f>
        <v>0</v>
      </c>
      <c r="D276" s="43">
        <f t="shared" si="105"/>
        <v>23.126964232804234</v>
      </c>
      <c r="E276" s="43">
        <f t="shared" si="105"/>
        <v>23.126964232804234</v>
      </c>
      <c r="F276" s="43">
        <f t="shared" si="105"/>
        <v>0</v>
      </c>
      <c r="G276" s="43">
        <f t="shared" si="105"/>
        <v>0</v>
      </c>
      <c r="H276" s="43">
        <f t="shared" si="105"/>
        <v>0</v>
      </c>
      <c r="I276" s="43">
        <f t="shared" si="105"/>
        <v>0</v>
      </c>
      <c r="J276" s="43">
        <f t="shared" si="105"/>
        <v>0</v>
      </c>
      <c r="K276" s="43">
        <f t="shared" si="105"/>
        <v>0</v>
      </c>
      <c r="L276" s="43">
        <f t="shared" si="105"/>
        <v>0</v>
      </c>
      <c r="M276" s="43">
        <f t="shared" si="105"/>
        <v>0</v>
      </c>
      <c r="N276" s="43">
        <f t="shared" si="105"/>
        <v>0</v>
      </c>
    </row>
    <row r="277" spans="1:14" ht="12.75">
      <c r="A277" s="4" t="str">
        <f>A253</f>
        <v>VGS Foundations </v>
      </c>
      <c r="B277" s="43">
        <f>IF(AND(B$263&gt;=$J253,B$263&lt;=$K253),$C253+$C254,0)</f>
        <v>0</v>
      </c>
      <c r="C277" s="43">
        <f aca="true" t="shared" si="106" ref="C277:N277">IF(AND(C$263&gt;=$J253,C$263&lt;=$K253),$C253+$C254,0)</f>
        <v>0</v>
      </c>
      <c r="D277" s="43">
        <f t="shared" si="106"/>
        <v>0</v>
      </c>
      <c r="E277" s="43">
        <f t="shared" si="106"/>
        <v>0</v>
      </c>
      <c r="F277" s="43">
        <f t="shared" si="106"/>
        <v>100.31936790123456</v>
      </c>
      <c r="G277" s="43">
        <f t="shared" si="106"/>
        <v>100.31936790123456</v>
      </c>
      <c r="H277" s="43">
        <f t="shared" si="106"/>
        <v>100.31936790123456</v>
      </c>
      <c r="I277" s="43">
        <f t="shared" si="106"/>
        <v>100.31936790123456</v>
      </c>
      <c r="J277" s="43">
        <f t="shared" si="106"/>
        <v>100.31936790123456</v>
      </c>
      <c r="K277" s="43">
        <f t="shared" si="106"/>
        <v>0</v>
      </c>
      <c r="L277" s="43">
        <f t="shared" si="106"/>
        <v>0</v>
      </c>
      <c r="M277" s="43">
        <f t="shared" si="106"/>
        <v>0</v>
      </c>
      <c r="N277" s="43">
        <f t="shared" si="106"/>
        <v>0</v>
      </c>
    </row>
    <row r="278" spans="1:14" ht="12.75">
      <c r="A278" s="4" t="str">
        <f>A255</f>
        <v>VGS Paving</v>
      </c>
      <c r="B278" s="43">
        <f>IF(AND(B$263&gt;=$J255,B$263&lt;=$K255),$C255+$C256,0)</f>
        <v>0</v>
      </c>
      <c r="C278" s="43">
        <f aca="true" t="shared" si="107" ref="C278:N278">IF(AND(C$263&gt;=$J255,C$263&lt;=$K255),$C255+$C256,0)</f>
        <v>0</v>
      </c>
      <c r="D278" s="43">
        <f t="shared" si="107"/>
        <v>0</v>
      </c>
      <c r="E278" s="43">
        <f t="shared" si="107"/>
        <v>0</v>
      </c>
      <c r="F278" s="43">
        <f t="shared" si="107"/>
        <v>0</v>
      </c>
      <c r="G278" s="43">
        <f t="shared" si="107"/>
        <v>0</v>
      </c>
      <c r="H278" s="43">
        <f t="shared" si="107"/>
        <v>0</v>
      </c>
      <c r="I278" s="43">
        <f t="shared" si="107"/>
        <v>25.596406631393297</v>
      </c>
      <c r="J278" s="43">
        <f t="shared" si="107"/>
        <v>25.596406631393297</v>
      </c>
      <c r="K278" s="43">
        <f t="shared" si="107"/>
        <v>25.596406631393297</v>
      </c>
      <c r="L278" s="43">
        <f t="shared" si="107"/>
        <v>0</v>
      </c>
      <c r="M278" s="43">
        <f t="shared" si="107"/>
        <v>0</v>
      </c>
      <c r="N278" s="43">
        <f t="shared" si="107"/>
        <v>0</v>
      </c>
    </row>
    <row r="279" spans="1:14" ht="12.75">
      <c r="A279" s="4" t="str">
        <f>A257</f>
        <v>VGS Equipment Installation</v>
      </c>
      <c r="B279" s="43">
        <f>IF(AND(B$263&gt;=$J257,B$263&lt;=$K257),$C257+$C258,0)</f>
        <v>0</v>
      </c>
      <c r="C279" s="43">
        <f aca="true" t="shared" si="108" ref="C279:N279">IF(AND(C$263&gt;=$J257,C$263&lt;=$K257),$C257+$C258,0)</f>
        <v>0</v>
      </c>
      <c r="D279" s="43">
        <f t="shared" si="108"/>
        <v>0</v>
      </c>
      <c r="E279" s="43">
        <f t="shared" si="108"/>
        <v>0</v>
      </c>
      <c r="F279" s="43">
        <f t="shared" si="108"/>
        <v>0</v>
      </c>
      <c r="G279" s="43">
        <f t="shared" si="108"/>
        <v>0</v>
      </c>
      <c r="H279" s="43">
        <f t="shared" si="108"/>
        <v>0</v>
      </c>
      <c r="I279" s="43">
        <f t="shared" si="108"/>
        <v>0</v>
      </c>
      <c r="J279" s="43">
        <f t="shared" si="108"/>
        <v>0</v>
      </c>
      <c r="K279" s="43">
        <f t="shared" si="108"/>
        <v>0</v>
      </c>
      <c r="L279" s="43">
        <f t="shared" si="108"/>
        <v>0</v>
      </c>
      <c r="M279" s="43">
        <f t="shared" si="108"/>
        <v>134.09609664903</v>
      </c>
      <c r="N279" s="43">
        <f t="shared" si="108"/>
        <v>134.09609664903</v>
      </c>
    </row>
    <row r="280" spans="1:14" ht="12.75">
      <c r="A280" s="15" t="s">
        <v>24</v>
      </c>
      <c r="B280" s="44">
        <f aca="true" t="shared" si="109" ref="B280:N280">SUM(B264:B279)</f>
        <v>320.5523390758377</v>
      </c>
      <c r="C280" s="44">
        <f t="shared" si="109"/>
        <v>320.5523390758377</v>
      </c>
      <c r="D280" s="44">
        <f t="shared" si="109"/>
        <v>223.89706906525572</v>
      </c>
      <c r="E280" s="44">
        <f t="shared" si="109"/>
        <v>223.89706906525572</v>
      </c>
      <c r="F280" s="44">
        <f t="shared" si="109"/>
        <v>301.0894727336861</v>
      </c>
      <c r="G280" s="44">
        <f t="shared" si="109"/>
        <v>378.06632606701936</v>
      </c>
      <c r="H280" s="44">
        <f t="shared" si="109"/>
        <v>378.06632606701936</v>
      </c>
      <c r="I280" s="44">
        <f t="shared" si="109"/>
        <v>668.0085980246914</v>
      </c>
      <c r="J280" s="44">
        <f t="shared" si="109"/>
        <v>668.0085980246914</v>
      </c>
      <c r="K280" s="44">
        <f t="shared" si="109"/>
        <v>567.6892301234568</v>
      </c>
      <c r="L280" s="44">
        <f t="shared" si="109"/>
        <v>542.0928234920635</v>
      </c>
      <c r="M280" s="44">
        <f t="shared" si="109"/>
        <v>638.6064847971782</v>
      </c>
      <c r="N280" s="44">
        <f t="shared" si="109"/>
        <v>638.6064847971782</v>
      </c>
    </row>
    <row r="281" spans="1:14" ht="12.75">
      <c r="A281" s="39" t="s">
        <v>132</v>
      </c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47"/>
      <c r="M281" s="47"/>
      <c r="N281" s="47"/>
    </row>
    <row r="282" spans="1:14" ht="12.75">
      <c r="A282" s="62" t="s">
        <v>276</v>
      </c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7"/>
      <c r="M282" s="47"/>
      <c r="N282" s="47"/>
    </row>
    <row r="283" spans="1:11" ht="12.75">
      <c r="A283" s="29"/>
      <c r="B283" s="48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1:11" ht="12.75">
      <c r="A284" s="29"/>
      <c r="B284" s="48"/>
      <c r="C284" s="49"/>
      <c r="D284" s="49"/>
      <c r="E284" s="49"/>
      <c r="F284" s="49"/>
      <c r="G284" s="49"/>
      <c r="H284" s="49"/>
      <c r="I284" s="49"/>
      <c r="J284" s="49"/>
      <c r="K284" s="49"/>
    </row>
    <row r="285" spans="1:14" ht="12.75">
      <c r="A285" s="86" t="s">
        <v>241</v>
      </c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</row>
    <row r="286" spans="1:14" ht="12.75">
      <c r="A286" s="85" t="s">
        <v>242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</row>
    <row r="287" spans="1:14" ht="12.75">
      <c r="A287" s="37" t="s">
        <v>87</v>
      </c>
      <c r="B287" s="69">
        <v>1</v>
      </c>
      <c r="C287" s="69">
        <v>10</v>
      </c>
      <c r="D287" s="69">
        <v>11</v>
      </c>
      <c r="E287" s="69">
        <v>15</v>
      </c>
      <c r="F287" s="69">
        <v>16</v>
      </c>
      <c r="G287" s="69">
        <v>18</v>
      </c>
      <c r="H287" s="69">
        <v>20</v>
      </c>
      <c r="I287" s="69">
        <v>21</v>
      </c>
      <c r="J287" s="69">
        <v>22</v>
      </c>
      <c r="K287" s="69">
        <v>25</v>
      </c>
      <c r="L287" s="69">
        <v>28</v>
      </c>
      <c r="M287" s="69">
        <v>29</v>
      </c>
      <c r="N287" s="69">
        <v>150</v>
      </c>
    </row>
    <row r="288" spans="1:14" ht="12.75">
      <c r="A288" s="4" t="str">
        <f>A227</f>
        <v>HGS Tank Demolition</v>
      </c>
      <c r="B288" s="43">
        <f aca="true" t="shared" si="110" ref="B288:N288">IF(AND(B$287&gt;=$J227,B$287&lt;=$K227),$D227+$D228,0)</f>
        <v>54.265900002070055</v>
      </c>
      <c r="C288" s="43">
        <f t="shared" si="110"/>
        <v>54.265900002070055</v>
      </c>
      <c r="D288" s="43">
        <f t="shared" si="110"/>
        <v>0</v>
      </c>
      <c r="E288" s="43">
        <f t="shared" si="110"/>
        <v>0</v>
      </c>
      <c r="F288" s="43">
        <f t="shared" si="110"/>
        <v>0</v>
      </c>
      <c r="G288" s="43">
        <f t="shared" si="110"/>
        <v>0</v>
      </c>
      <c r="H288" s="43">
        <f t="shared" si="110"/>
        <v>0</v>
      </c>
      <c r="I288" s="43">
        <f t="shared" si="110"/>
        <v>0</v>
      </c>
      <c r="J288" s="43">
        <f t="shared" si="110"/>
        <v>0</v>
      </c>
      <c r="K288" s="43">
        <f t="shared" si="110"/>
        <v>0</v>
      </c>
      <c r="L288" s="43">
        <f t="shared" si="110"/>
        <v>0</v>
      </c>
      <c r="M288" s="43">
        <f t="shared" si="110"/>
        <v>0</v>
      </c>
      <c r="N288" s="43">
        <f t="shared" si="110"/>
        <v>0</v>
      </c>
    </row>
    <row r="289" spans="1:14" ht="12.75">
      <c r="A289" s="4" t="str">
        <f>A229</f>
        <v>HGS Backfill</v>
      </c>
      <c r="B289" s="43">
        <f aca="true" t="shared" si="111" ref="B289:N289">IF(AND(B$287&gt;=$J229,B$287&lt;=$K229),$D229+$D230,0)</f>
        <v>0</v>
      </c>
      <c r="C289" s="43">
        <f t="shared" si="111"/>
        <v>0</v>
      </c>
      <c r="D289" s="43">
        <f t="shared" si="111"/>
        <v>38.30197796119929</v>
      </c>
      <c r="E289" s="43">
        <f t="shared" si="111"/>
        <v>38.30197796119929</v>
      </c>
      <c r="F289" s="43">
        <f t="shared" si="111"/>
        <v>38.30197796119929</v>
      </c>
      <c r="G289" s="43">
        <f t="shared" si="111"/>
        <v>38.30197796119929</v>
      </c>
      <c r="H289" s="43">
        <f t="shared" si="111"/>
        <v>38.30197796119929</v>
      </c>
      <c r="I289" s="43">
        <f t="shared" si="111"/>
        <v>0</v>
      </c>
      <c r="J289" s="43">
        <f t="shared" si="111"/>
        <v>0</v>
      </c>
      <c r="K289" s="43">
        <f t="shared" si="111"/>
        <v>0</v>
      </c>
      <c r="L289" s="43">
        <f t="shared" si="111"/>
        <v>0</v>
      </c>
      <c r="M289" s="43">
        <f t="shared" si="111"/>
        <v>0</v>
      </c>
      <c r="N289" s="43">
        <f t="shared" si="111"/>
        <v>0</v>
      </c>
    </row>
    <row r="290" spans="1:14" ht="12.75">
      <c r="A290" s="4" t="str">
        <f>A231</f>
        <v>HGS Grading</v>
      </c>
      <c r="B290" s="43">
        <f aca="true" t="shared" si="112" ref="B290:N290">IF(AND(B$287&gt;=$J231,B$287&lt;=$K231),$D231+$D232,0)</f>
        <v>0</v>
      </c>
      <c r="C290" s="43">
        <f t="shared" si="112"/>
        <v>0</v>
      </c>
      <c r="D290" s="43">
        <f t="shared" si="112"/>
        <v>0</v>
      </c>
      <c r="E290" s="43">
        <f t="shared" si="112"/>
        <v>0</v>
      </c>
      <c r="F290" s="43">
        <f t="shared" si="112"/>
        <v>0</v>
      </c>
      <c r="G290" s="43">
        <f t="shared" si="112"/>
        <v>10.067234885361552</v>
      </c>
      <c r="H290" s="43">
        <f t="shared" si="112"/>
        <v>10.067234885361552</v>
      </c>
      <c r="I290" s="43">
        <f t="shared" si="112"/>
        <v>0</v>
      </c>
      <c r="J290" s="43">
        <f t="shared" si="112"/>
        <v>0</v>
      </c>
      <c r="K290" s="43">
        <f t="shared" si="112"/>
        <v>0</v>
      </c>
      <c r="L290" s="43">
        <f t="shared" si="112"/>
        <v>0</v>
      </c>
      <c r="M290" s="43">
        <f t="shared" si="112"/>
        <v>0</v>
      </c>
      <c r="N290" s="43">
        <f t="shared" si="112"/>
        <v>0</v>
      </c>
    </row>
    <row r="291" spans="1:14" ht="12.75">
      <c r="A291" s="4" t="str">
        <f>A233</f>
        <v>HGS Foundations </v>
      </c>
      <c r="B291" s="43">
        <f aca="true" t="shared" si="113" ref="B291:N291">IF(AND(B$287&gt;=$J233,B$287&lt;=$K233),$D233+$D234,0)</f>
        <v>0</v>
      </c>
      <c r="C291" s="43">
        <f t="shared" si="113"/>
        <v>0</v>
      </c>
      <c r="D291" s="43">
        <f t="shared" si="113"/>
        <v>0</v>
      </c>
      <c r="E291" s="43">
        <f t="shared" si="113"/>
        <v>0</v>
      </c>
      <c r="F291" s="43">
        <f t="shared" si="113"/>
        <v>0</v>
      </c>
      <c r="G291" s="43">
        <f t="shared" si="113"/>
        <v>0</v>
      </c>
      <c r="H291" s="43">
        <f t="shared" si="113"/>
        <v>0</v>
      </c>
      <c r="I291" s="43">
        <f t="shared" si="113"/>
        <v>42.22593847619048</v>
      </c>
      <c r="J291" s="43">
        <f t="shared" si="113"/>
        <v>42.22593847619048</v>
      </c>
      <c r="K291" s="43">
        <f t="shared" si="113"/>
        <v>42.22593847619048</v>
      </c>
      <c r="L291" s="43">
        <f t="shared" si="113"/>
        <v>42.22593847619048</v>
      </c>
      <c r="M291" s="43">
        <f t="shared" si="113"/>
        <v>0</v>
      </c>
      <c r="N291" s="43">
        <f t="shared" si="113"/>
        <v>0</v>
      </c>
    </row>
    <row r="292" spans="1:14" ht="12.75">
      <c r="A292" s="4" t="str">
        <f>A235</f>
        <v>HGS Paving</v>
      </c>
      <c r="B292" s="43">
        <f aca="true" t="shared" si="114" ref="B292:N292">IF(AND(B$287&gt;=$J235,B$287&lt;=$K235),$D235+$D236,0)</f>
        <v>0</v>
      </c>
      <c r="C292" s="43">
        <f t="shared" si="114"/>
        <v>0</v>
      </c>
      <c r="D292" s="43">
        <f t="shared" si="114"/>
        <v>0</v>
      </c>
      <c r="E292" s="43">
        <f t="shared" si="114"/>
        <v>0</v>
      </c>
      <c r="F292" s="43">
        <f t="shared" si="114"/>
        <v>0</v>
      </c>
      <c r="G292" s="43">
        <f t="shared" si="114"/>
        <v>0</v>
      </c>
      <c r="H292" s="43">
        <f t="shared" si="114"/>
        <v>0</v>
      </c>
      <c r="I292" s="43">
        <f t="shared" si="114"/>
        <v>12.500106255095547</v>
      </c>
      <c r="J292" s="43">
        <f t="shared" si="114"/>
        <v>12.500106255095547</v>
      </c>
      <c r="K292" s="43">
        <f t="shared" si="114"/>
        <v>12.500106255095547</v>
      </c>
      <c r="L292" s="43">
        <f t="shared" si="114"/>
        <v>12.500106255095547</v>
      </c>
      <c r="M292" s="43">
        <f t="shared" si="114"/>
        <v>0</v>
      </c>
      <c r="N292" s="43">
        <f t="shared" si="114"/>
        <v>0</v>
      </c>
    </row>
    <row r="293" spans="1:14" ht="12.75">
      <c r="A293" s="4" t="str">
        <f>A237</f>
        <v>HGS Equipment Installation</v>
      </c>
      <c r="B293" s="43">
        <f aca="true" t="shared" si="115" ref="B293:N293">IF(AND(B$287&gt;=$J237,B$287&lt;=$K237),$D237+$D238,0)</f>
        <v>0</v>
      </c>
      <c r="C293" s="43">
        <f t="shared" si="115"/>
        <v>0</v>
      </c>
      <c r="D293" s="43">
        <f t="shared" si="115"/>
        <v>0</v>
      </c>
      <c r="E293" s="43">
        <f t="shared" si="115"/>
        <v>0</v>
      </c>
      <c r="F293" s="43">
        <f t="shared" si="115"/>
        <v>0</v>
      </c>
      <c r="G293" s="43">
        <f t="shared" si="115"/>
        <v>0</v>
      </c>
      <c r="H293" s="43">
        <f t="shared" si="115"/>
        <v>0</v>
      </c>
      <c r="I293" s="43">
        <f t="shared" si="115"/>
        <v>0</v>
      </c>
      <c r="J293" s="43">
        <f t="shared" si="115"/>
        <v>0</v>
      </c>
      <c r="K293" s="43">
        <f t="shared" si="115"/>
        <v>0</v>
      </c>
      <c r="L293" s="43">
        <f t="shared" si="115"/>
        <v>0</v>
      </c>
      <c r="M293" s="43">
        <f t="shared" si="115"/>
        <v>100.58247413051146</v>
      </c>
      <c r="N293" s="43">
        <f t="shared" si="115"/>
        <v>100.58247413051146</v>
      </c>
    </row>
    <row r="294" spans="1:14" ht="12.75">
      <c r="A294" s="4" t="str">
        <f>A239</f>
        <v>SGS Slab Demolition</v>
      </c>
      <c r="B294" s="43">
        <f aca="true" t="shared" si="116" ref="B294:N294">IF(AND(B$287&gt;=$J239,B$287&lt;=$K239),$D239+$D240,0)</f>
        <v>9.474384850088184</v>
      </c>
      <c r="C294" s="43">
        <f t="shared" si="116"/>
        <v>9.474384850088184</v>
      </c>
      <c r="D294" s="43">
        <f t="shared" si="116"/>
        <v>0</v>
      </c>
      <c r="E294" s="43">
        <f t="shared" si="116"/>
        <v>0</v>
      </c>
      <c r="F294" s="43">
        <f t="shared" si="116"/>
        <v>0</v>
      </c>
      <c r="G294" s="43">
        <f t="shared" si="116"/>
        <v>0</v>
      </c>
      <c r="H294" s="43">
        <f t="shared" si="116"/>
        <v>0</v>
      </c>
      <c r="I294" s="43">
        <f t="shared" si="116"/>
        <v>0</v>
      </c>
      <c r="J294" s="43">
        <f t="shared" si="116"/>
        <v>0</v>
      </c>
      <c r="K294" s="43">
        <f t="shared" si="116"/>
        <v>0</v>
      </c>
      <c r="L294" s="43">
        <f t="shared" si="116"/>
        <v>0</v>
      </c>
      <c r="M294" s="43">
        <f t="shared" si="116"/>
        <v>0</v>
      </c>
      <c r="N294" s="43">
        <f t="shared" si="116"/>
        <v>0</v>
      </c>
    </row>
    <row r="295" spans="1:14" ht="12.75">
      <c r="A295" s="4" t="str">
        <f>A241</f>
        <v>SGS Grading</v>
      </c>
      <c r="B295" s="43">
        <f aca="true" t="shared" si="117" ref="B295:N295">IF(AND(B$287&gt;=$J241,B$287&lt;=$K241),$D241+$D242,0)</f>
        <v>0</v>
      </c>
      <c r="C295" s="43">
        <f t="shared" si="117"/>
        <v>0</v>
      </c>
      <c r="D295" s="43">
        <f t="shared" si="117"/>
        <v>0</v>
      </c>
      <c r="E295" s="43">
        <f t="shared" si="117"/>
        <v>0</v>
      </c>
      <c r="F295" s="43">
        <f t="shared" si="117"/>
        <v>0</v>
      </c>
      <c r="G295" s="43">
        <f t="shared" si="117"/>
        <v>5.802838021164021</v>
      </c>
      <c r="H295" s="43">
        <f t="shared" si="117"/>
        <v>5.802838021164021</v>
      </c>
      <c r="I295" s="43">
        <f t="shared" si="117"/>
        <v>0</v>
      </c>
      <c r="J295" s="43">
        <f t="shared" si="117"/>
        <v>0</v>
      </c>
      <c r="K295" s="43">
        <f t="shared" si="117"/>
        <v>0</v>
      </c>
      <c r="L295" s="43">
        <f t="shared" si="117"/>
        <v>0</v>
      </c>
      <c r="M295" s="43">
        <f t="shared" si="117"/>
        <v>0</v>
      </c>
      <c r="N295" s="43">
        <f t="shared" si="117"/>
        <v>0</v>
      </c>
    </row>
    <row r="296" spans="1:14" ht="12.75">
      <c r="A296" s="4" t="str">
        <f>A243</f>
        <v>SGS Foundations </v>
      </c>
      <c r="B296" s="43">
        <f aca="true" t="shared" si="118" ref="B296:N296">IF(AND(B$287&gt;=$J243,B$287&lt;=$K243),$D243+$D244,0)</f>
        <v>0</v>
      </c>
      <c r="C296" s="43">
        <f t="shared" si="118"/>
        <v>0</v>
      </c>
      <c r="D296" s="43">
        <f t="shared" si="118"/>
        <v>0</v>
      </c>
      <c r="E296" s="43">
        <f t="shared" si="118"/>
        <v>0</v>
      </c>
      <c r="F296" s="43">
        <f t="shared" si="118"/>
        <v>0</v>
      </c>
      <c r="G296" s="43">
        <f t="shared" si="118"/>
        <v>0</v>
      </c>
      <c r="H296" s="43">
        <f t="shared" si="118"/>
        <v>0</v>
      </c>
      <c r="I296" s="43">
        <f t="shared" si="118"/>
        <v>4.955801262786596</v>
      </c>
      <c r="J296" s="43">
        <f t="shared" si="118"/>
        <v>4.955801262786596</v>
      </c>
      <c r="K296" s="43">
        <f t="shared" si="118"/>
        <v>4.955801262786596</v>
      </c>
      <c r="L296" s="43">
        <f t="shared" si="118"/>
        <v>4.955801262786596</v>
      </c>
      <c r="M296" s="43">
        <f t="shared" si="118"/>
        <v>0</v>
      </c>
      <c r="N296" s="43">
        <f t="shared" si="118"/>
        <v>0</v>
      </c>
    </row>
    <row r="297" spans="1:14" ht="12.75">
      <c r="A297" s="4" t="str">
        <f>A245</f>
        <v>SGS Paving</v>
      </c>
      <c r="B297" s="43">
        <f aca="true" t="shared" si="119" ref="B297:N297">IF(AND(B$287&gt;=$J245,B$287&lt;=$K245),$D245+$D246,0)</f>
        <v>0</v>
      </c>
      <c r="C297" s="43">
        <f t="shared" si="119"/>
        <v>0</v>
      </c>
      <c r="D297" s="43">
        <f t="shared" si="119"/>
        <v>0</v>
      </c>
      <c r="E297" s="43">
        <f t="shared" si="119"/>
        <v>0</v>
      </c>
      <c r="F297" s="43">
        <f t="shared" si="119"/>
        <v>0</v>
      </c>
      <c r="G297" s="43">
        <f t="shared" si="119"/>
        <v>0</v>
      </c>
      <c r="H297" s="43">
        <f t="shared" si="119"/>
        <v>0</v>
      </c>
      <c r="I297" s="43">
        <f t="shared" si="119"/>
        <v>3.4003049971817667</v>
      </c>
      <c r="J297" s="43">
        <f t="shared" si="119"/>
        <v>3.4003049971817667</v>
      </c>
      <c r="K297" s="43">
        <f t="shared" si="119"/>
        <v>3.4003049971817667</v>
      </c>
      <c r="L297" s="43">
        <f t="shared" si="119"/>
        <v>3.4003049971817667</v>
      </c>
      <c r="M297" s="43">
        <f t="shared" si="119"/>
        <v>0</v>
      </c>
      <c r="N297" s="43">
        <f t="shared" si="119"/>
        <v>0</v>
      </c>
    </row>
    <row r="298" spans="1:14" ht="12.75">
      <c r="A298" s="4" t="str">
        <f>A247</f>
        <v>SGS Equipment Installation</v>
      </c>
      <c r="B298" s="43">
        <f aca="true" t="shared" si="120" ref="B298:N298">IF(AND(B$287&gt;=$J247,B$287&lt;=$K247),$D247+$D248,0)</f>
        <v>0</v>
      </c>
      <c r="C298" s="43">
        <f t="shared" si="120"/>
        <v>0</v>
      </c>
      <c r="D298" s="43">
        <f t="shared" si="120"/>
        <v>0</v>
      </c>
      <c r="E298" s="43">
        <f t="shared" si="120"/>
        <v>0</v>
      </c>
      <c r="F298" s="43">
        <f t="shared" si="120"/>
        <v>0</v>
      </c>
      <c r="G298" s="43">
        <f t="shared" si="120"/>
        <v>0</v>
      </c>
      <c r="H298" s="43">
        <f t="shared" si="120"/>
        <v>0</v>
      </c>
      <c r="I298" s="43">
        <f t="shared" si="120"/>
        <v>0</v>
      </c>
      <c r="J298" s="43">
        <f t="shared" si="120"/>
        <v>0</v>
      </c>
      <c r="K298" s="43">
        <f t="shared" si="120"/>
        <v>0</v>
      </c>
      <c r="L298" s="43">
        <f t="shared" si="120"/>
        <v>0</v>
      </c>
      <c r="M298" s="43">
        <f t="shared" si="120"/>
        <v>55.9766088430335</v>
      </c>
      <c r="N298" s="43">
        <f t="shared" si="120"/>
        <v>55.9766088430335</v>
      </c>
    </row>
    <row r="299" spans="1:14" ht="12.75">
      <c r="A299" s="4" t="str">
        <f>A249</f>
        <v>VGS Demolition</v>
      </c>
      <c r="B299" s="43">
        <f aca="true" t="shared" si="121" ref="B299:N299">IF(AND(B$287&gt;=$J249,B$287&lt;=$K249),$D249+$D250,0)</f>
        <v>17.898368082797965</v>
      </c>
      <c r="C299" s="43">
        <f t="shared" si="121"/>
        <v>17.898368082797965</v>
      </c>
      <c r="D299" s="43">
        <f t="shared" si="121"/>
        <v>0</v>
      </c>
      <c r="E299" s="43">
        <f t="shared" si="121"/>
        <v>0</v>
      </c>
      <c r="F299" s="43">
        <f t="shared" si="121"/>
        <v>0</v>
      </c>
      <c r="G299" s="43">
        <f t="shared" si="121"/>
        <v>0</v>
      </c>
      <c r="H299" s="43">
        <f t="shared" si="121"/>
        <v>0</v>
      </c>
      <c r="I299" s="43">
        <f t="shared" si="121"/>
        <v>0</v>
      </c>
      <c r="J299" s="43">
        <f t="shared" si="121"/>
        <v>0</v>
      </c>
      <c r="K299" s="43">
        <f t="shared" si="121"/>
        <v>0</v>
      </c>
      <c r="L299" s="43">
        <f t="shared" si="121"/>
        <v>0</v>
      </c>
      <c r="M299" s="43">
        <f t="shared" si="121"/>
        <v>0</v>
      </c>
      <c r="N299" s="43">
        <f t="shared" si="121"/>
        <v>0</v>
      </c>
    </row>
    <row r="300" spans="1:14" ht="12.75">
      <c r="A300" s="4" t="str">
        <f>A251</f>
        <v>VGS Grading</v>
      </c>
      <c r="B300" s="43">
        <f aca="true" t="shared" si="122" ref="B300:N300">IF(AND(B$287&gt;=$J251,B$287&lt;=$K251),$D251+$D252,0)</f>
        <v>0</v>
      </c>
      <c r="C300" s="43">
        <f t="shared" si="122"/>
        <v>0</v>
      </c>
      <c r="D300" s="43">
        <f t="shared" si="122"/>
        <v>5.741618885361552</v>
      </c>
      <c r="E300" s="43">
        <f t="shared" si="122"/>
        <v>5.741618885361552</v>
      </c>
      <c r="F300" s="43">
        <f t="shared" si="122"/>
        <v>0</v>
      </c>
      <c r="G300" s="43">
        <f t="shared" si="122"/>
        <v>0</v>
      </c>
      <c r="H300" s="43">
        <f t="shared" si="122"/>
        <v>0</v>
      </c>
      <c r="I300" s="43">
        <f t="shared" si="122"/>
        <v>0</v>
      </c>
      <c r="J300" s="43">
        <f t="shared" si="122"/>
        <v>0</v>
      </c>
      <c r="K300" s="43">
        <f t="shared" si="122"/>
        <v>0</v>
      </c>
      <c r="L300" s="43">
        <f t="shared" si="122"/>
        <v>0</v>
      </c>
      <c r="M300" s="43">
        <f t="shared" si="122"/>
        <v>0</v>
      </c>
      <c r="N300" s="43">
        <f t="shared" si="122"/>
        <v>0</v>
      </c>
    </row>
    <row r="301" spans="1:14" ht="12.75">
      <c r="A301" s="4" t="str">
        <f>A253</f>
        <v>VGS Foundations </v>
      </c>
      <c r="B301" s="43">
        <f aca="true" t="shared" si="123" ref="B301:N301">IF(AND(B$287&gt;=$J253,B$287&lt;=$K253),$D253+$D254,0)</f>
        <v>0</v>
      </c>
      <c r="C301" s="43">
        <f t="shared" si="123"/>
        <v>0</v>
      </c>
      <c r="D301" s="43">
        <f t="shared" si="123"/>
        <v>0</v>
      </c>
      <c r="E301" s="43">
        <f t="shared" si="123"/>
        <v>0</v>
      </c>
      <c r="F301" s="43">
        <f t="shared" si="123"/>
        <v>11.300250807760142</v>
      </c>
      <c r="G301" s="43">
        <f t="shared" si="123"/>
        <v>11.300250807760142</v>
      </c>
      <c r="H301" s="43">
        <f t="shared" si="123"/>
        <v>11.300250807760142</v>
      </c>
      <c r="I301" s="43">
        <f t="shared" si="123"/>
        <v>11.300250807760142</v>
      </c>
      <c r="J301" s="43">
        <f t="shared" si="123"/>
        <v>11.300250807760142</v>
      </c>
      <c r="K301" s="43">
        <f t="shared" si="123"/>
        <v>0</v>
      </c>
      <c r="L301" s="43">
        <f t="shared" si="123"/>
        <v>0</v>
      </c>
      <c r="M301" s="43">
        <f t="shared" si="123"/>
        <v>0</v>
      </c>
      <c r="N301" s="43">
        <f t="shared" si="123"/>
        <v>0</v>
      </c>
    </row>
    <row r="302" spans="1:14" ht="12.75">
      <c r="A302" s="4" t="str">
        <f>A255</f>
        <v>VGS Paving</v>
      </c>
      <c r="B302" s="43">
        <f aca="true" t="shared" si="124" ref="B302:N302">IF(AND(B$287&gt;=$J255,B$287&lt;=$K255),$D255+$D256,0)</f>
        <v>0</v>
      </c>
      <c r="C302" s="43">
        <f t="shared" si="124"/>
        <v>0</v>
      </c>
      <c r="D302" s="43">
        <f t="shared" si="124"/>
        <v>0</v>
      </c>
      <c r="E302" s="43">
        <f t="shared" si="124"/>
        <v>0</v>
      </c>
      <c r="F302" s="43">
        <f t="shared" si="124"/>
        <v>0</v>
      </c>
      <c r="G302" s="43">
        <f t="shared" si="124"/>
        <v>0</v>
      </c>
      <c r="H302" s="43">
        <f t="shared" si="124"/>
        <v>0</v>
      </c>
      <c r="I302" s="43">
        <f t="shared" si="124"/>
        <v>4.156183158602883</v>
      </c>
      <c r="J302" s="43">
        <f t="shared" si="124"/>
        <v>4.156183158602883</v>
      </c>
      <c r="K302" s="43">
        <f t="shared" si="124"/>
        <v>4.156183158602883</v>
      </c>
      <c r="L302" s="43">
        <f t="shared" si="124"/>
        <v>0</v>
      </c>
      <c r="M302" s="43">
        <f t="shared" si="124"/>
        <v>0</v>
      </c>
      <c r="N302" s="43">
        <f t="shared" si="124"/>
        <v>0</v>
      </c>
    </row>
    <row r="303" spans="1:14" ht="12.75">
      <c r="A303" s="4" t="str">
        <f>A257</f>
        <v>VGS Equipment Installation</v>
      </c>
      <c r="B303" s="43">
        <f>IF(AND(B$287&gt;=$J257,B$287&lt;=$K257),$D257+$D258,0)</f>
        <v>0</v>
      </c>
      <c r="C303" s="43">
        <f aca="true" t="shared" si="125" ref="C303:N303">IF(AND(C$287&gt;=$J257,C$287&lt;=$K257),$D257+$D258,0)</f>
        <v>0</v>
      </c>
      <c r="D303" s="43">
        <f t="shared" si="125"/>
        <v>0</v>
      </c>
      <c r="E303" s="43">
        <f t="shared" si="125"/>
        <v>0</v>
      </c>
      <c r="F303" s="43">
        <f t="shared" si="125"/>
        <v>0</v>
      </c>
      <c r="G303" s="43">
        <f t="shared" si="125"/>
        <v>0</v>
      </c>
      <c r="H303" s="43">
        <f t="shared" si="125"/>
        <v>0</v>
      </c>
      <c r="I303" s="43">
        <f t="shared" si="125"/>
        <v>0</v>
      </c>
      <c r="J303" s="43">
        <f t="shared" si="125"/>
        <v>0</v>
      </c>
      <c r="K303" s="43">
        <f t="shared" si="125"/>
        <v>0</v>
      </c>
      <c r="L303" s="43">
        <f t="shared" si="125"/>
        <v>0</v>
      </c>
      <c r="M303" s="43">
        <f t="shared" si="125"/>
        <v>29.767221509700175</v>
      </c>
      <c r="N303" s="43">
        <f t="shared" si="125"/>
        <v>29.767221509700175</v>
      </c>
    </row>
    <row r="304" spans="1:14" ht="12.75">
      <c r="A304" s="15" t="s">
        <v>24</v>
      </c>
      <c r="B304" s="44">
        <f aca="true" t="shared" si="126" ref="B304:N304">SUM(B288:B303)</f>
        <v>81.63865293495621</v>
      </c>
      <c r="C304" s="44">
        <f t="shared" si="126"/>
        <v>81.63865293495621</v>
      </c>
      <c r="D304" s="44">
        <f t="shared" si="126"/>
        <v>44.043596846560845</v>
      </c>
      <c r="E304" s="44">
        <f t="shared" si="126"/>
        <v>44.043596846560845</v>
      </c>
      <c r="F304" s="44">
        <f t="shared" si="126"/>
        <v>49.602228768959435</v>
      </c>
      <c r="G304" s="44">
        <f t="shared" si="126"/>
        <v>65.472301675485</v>
      </c>
      <c r="H304" s="44">
        <f t="shared" si="126"/>
        <v>65.472301675485</v>
      </c>
      <c r="I304" s="44">
        <f t="shared" si="126"/>
        <v>78.5385849576174</v>
      </c>
      <c r="J304" s="44">
        <f t="shared" si="126"/>
        <v>78.5385849576174</v>
      </c>
      <c r="K304" s="44">
        <f t="shared" si="126"/>
        <v>67.23833414985727</v>
      </c>
      <c r="L304" s="44">
        <f t="shared" si="126"/>
        <v>63.08215099125438</v>
      </c>
      <c r="M304" s="44">
        <f t="shared" si="126"/>
        <v>186.3263044832451</v>
      </c>
      <c r="N304" s="44">
        <f t="shared" si="126"/>
        <v>186.3263044832451</v>
      </c>
    </row>
    <row r="305" spans="1:14" ht="12.75">
      <c r="A305" s="39" t="s">
        <v>132</v>
      </c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7"/>
      <c r="M305" s="47"/>
      <c r="N305" s="47"/>
    </row>
    <row r="306" spans="1:14" ht="12.75">
      <c r="A306" s="62" t="s">
        <v>276</v>
      </c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47"/>
      <c r="M306" s="47"/>
      <c r="N306" s="47"/>
    </row>
    <row r="307" spans="1:11" ht="12.75">
      <c r="A307" s="29"/>
      <c r="B307" s="48"/>
      <c r="C307" s="49"/>
      <c r="D307" s="49"/>
      <c r="E307" s="49"/>
      <c r="F307" s="49"/>
      <c r="G307" s="49"/>
      <c r="H307" s="49"/>
      <c r="I307" s="49"/>
      <c r="J307" s="49"/>
      <c r="K307" s="49"/>
    </row>
    <row r="308" spans="1:11" ht="12.75">
      <c r="A308" s="29"/>
      <c r="B308" s="48"/>
      <c r="C308" s="49"/>
      <c r="D308" s="49"/>
      <c r="E308" s="49"/>
      <c r="F308" s="49"/>
      <c r="G308" s="49"/>
      <c r="H308" s="49"/>
      <c r="I308" s="49"/>
      <c r="J308" s="49"/>
      <c r="K308" s="49"/>
    </row>
    <row r="309" spans="1:14" ht="12.75">
      <c r="A309" s="86" t="s">
        <v>243</v>
      </c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</row>
    <row r="310" spans="1:14" ht="15">
      <c r="A310" s="85" t="s">
        <v>244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</row>
    <row r="311" spans="1:14" ht="12.75">
      <c r="A311" s="37" t="s">
        <v>87</v>
      </c>
      <c r="B311" s="69">
        <v>1</v>
      </c>
      <c r="C311" s="69">
        <v>10</v>
      </c>
      <c r="D311" s="69">
        <v>11</v>
      </c>
      <c r="E311" s="69">
        <v>15</v>
      </c>
      <c r="F311" s="69">
        <v>16</v>
      </c>
      <c r="G311" s="69">
        <v>18</v>
      </c>
      <c r="H311" s="69">
        <v>20</v>
      </c>
      <c r="I311" s="69">
        <v>21</v>
      </c>
      <c r="J311" s="69">
        <v>22</v>
      </c>
      <c r="K311" s="69">
        <v>25</v>
      </c>
      <c r="L311" s="69">
        <v>28</v>
      </c>
      <c r="M311" s="69">
        <v>29</v>
      </c>
      <c r="N311" s="69">
        <v>150</v>
      </c>
    </row>
    <row r="312" spans="1:14" ht="12.75">
      <c r="A312" s="4" t="str">
        <f>A227</f>
        <v>HGS Tank Demolition</v>
      </c>
      <c r="B312" s="43">
        <f>IF(AND(B$311&gt;=$J227,B$311&lt;=$K227),$E227+$E228,0)</f>
        <v>248.5055624606702</v>
      </c>
      <c r="C312" s="43">
        <f aca="true" t="shared" si="127" ref="C312:N312">IF(AND(C$311&gt;=$J227,C$311&lt;=$K227),$E227+$E228,0)</f>
        <v>248.5055624606702</v>
      </c>
      <c r="D312" s="43">
        <f t="shared" si="127"/>
        <v>0</v>
      </c>
      <c r="E312" s="43">
        <f t="shared" si="127"/>
        <v>0</v>
      </c>
      <c r="F312" s="43">
        <f t="shared" si="127"/>
        <v>0</v>
      </c>
      <c r="G312" s="43">
        <f t="shared" si="127"/>
        <v>0</v>
      </c>
      <c r="H312" s="43">
        <f t="shared" si="127"/>
        <v>0</v>
      </c>
      <c r="I312" s="43">
        <f t="shared" si="127"/>
        <v>0</v>
      </c>
      <c r="J312" s="43">
        <f t="shared" si="127"/>
        <v>0</v>
      </c>
      <c r="K312" s="43">
        <f t="shared" si="127"/>
        <v>0</v>
      </c>
      <c r="L312" s="43">
        <f t="shared" si="127"/>
        <v>0</v>
      </c>
      <c r="M312" s="43">
        <f t="shared" si="127"/>
        <v>0</v>
      </c>
      <c r="N312" s="43">
        <f t="shared" si="127"/>
        <v>0</v>
      </c>
    </row>
    <row r="313" spans="1:14" ht="12.75">
      <c r="A313" s="4" t="str">
        <f>A229</f>
        <v>HGS Backfill</v>
      </c>
      <c r="B313" s="43">
        <f>IF(AND(B$311&gt;=$J229,B$311&lt;=$K229),$E229+$E230,0)</f>
        <v>0</v>
      </c>
      <c r="C313" s="43">
        <f aca="true" t="shared" si="128" ref="C313:N313">IF(AND(C$311&gt;=$J229,C$311&lt;=$K229),$E229+$E230,0)</f>
        <v>0</v>
      </c>
      <c r="D313" s="43">
        <f t="shared" si="128"/>
        <v>329.3154871675485</v>
      </c>
      <c r="E313" s="43">
        <f t="shared" si="128"/>
        <v>329.3154871675485</v>
      </c>
      <c r="F313" s="43">
        <f t="shared" si="128"/>
        <v>329.3154871675485</v>
      </c>
      <c r="G313" s="43">
        <f t="shared" si="128"/>
        <v>329.3154871675485</v>
      </c>
      <c r="H313" s="43">
        <f t="shared" si="128"/>
        <v>329.3154871675485</v>
      </c>
      <c r="I313" s="43">
        <f t="shared" si="128"/>
        <v>0</v>
      </c>
      <c r="J313" s="43">
        <f t="shared" si="128"/>
        <v>0</v>
      </c>
      <c r="K313" s="43">
        <f t="shared" si="128"/>
        <v>0</v>
      </c>
      <c r="L313" s="43">
        <f t="shared" si="128"/>
        <v>0</v>
      </c>
      <c r="M313" s="43">
        <f t="shared" si="128"/>
        <v>0</v>
      </c>
      <c r="N313" s="43">
        <f t="shared" si="128"/>
        <v>0</v>
      </c>
    </row>
    <row r="314" spans="1:14" ht="12.75">
      <c r="A314" s="4" t="str">
        <f>A231</f>
        <v>HGS Grading</v>
      </c>
      <c r="B314" s="43">
        <f>IF(AND(B$311&gt;=$J231,B$311&lt;=$K231),$E231+$E232,0)</f>
        <v>0</v>
      </c>
      <c r="C314" s="43">
        <f aca="true" t="shared" si="129" ref="C314:N314">IF(AND(C$311&gt;=$J231,C$311&lt;=$K231),$E231+$E232,0)</f>
        <v>0</v>
      </c>
      <c r="D314" s="43">
        <f t="shared" si="129"/>
        <v>0</v>
      </c>
      <c r="E314" s="43">
        <f t="shared" si="129"/>
        <v>0</v>
      </c>
      <c r="F314" s="43">
        <f t="shared" si="129"/>
        <v>0</v>
      </c>
      <c r="G314" s="43">
        <f t="shared" si="129"/>
        <v>75.11020009876545</v>
      </c>
      <c r="H314" s="43">
        <f t="shared" si="129"/>
        <v>75.11020009876545</v>
      </c>
      <c r="I314" s="43">
        <f t="shared" si="129"/>
        <v>0</v>
      </c>
      <c r="J314" s="43">
        <f t="shared" si="129"/>
        <v>0</v>
      </c>
      <c r="K314" s="43">
        <f t="shared" si="129"/>
        <v>0</v>
      </c>
      <c r="L314" s="43">
        <f t="shared" si="129"/>
        <v>0</v>
      </c>
      <c r="M314" s="43">
        <f t="shared" si="129"/>
        <v>0</v>
      </c>
      <c r="N314" s="43">
        <f t="shared" si="129"/>
        <v>0</v>
      </c>
    </row>
    <row r="315" spans="1:14" ht="12.75">
      <c r="A315" s="4" t="str">
        <f>A233</f>
        <v>HGS Foundations </v>
      </c>
      <c r="B315" s="43">
        <f>IF(AND(B$311&gt;=$J233,B$311&lt;=$K233),$E233+$E234,0)</f>
        <v>0</v>
      </c>
      <c r="C315" s="43">
        <f aca="true" t="shared" si="130" ref="C315:N315">IF(AND(C$311&gt;=$J233,C$311&lt;=$K233),$E233+$E234,0)</f>
        <v>0</v>
      </c>
      <c r="D315" s="43">
        <f t="shared" si="130"/>
        <v>0</v>
      </c>
      <c r="E315" s="43">
        <f t="shared" si="130"/>
        <v>0</v>
      </c>
      <c r="F315" s="43">
        <f t="shared" si="130"/>
        <v>0</v>
      </c>
      <c r="G315" s="43">
        <f t="shared" si="130"/>
        <v>0</v>
      </c>
      <c r="H315" s="43">
        <f t="shared" si="130"/>
        <v>0</v>
      </c>
      <c r="I315" s="43">
        <f t="shared" si="130"/>
        <v>169.48320833862434</v>
      </c>
      <c r="J315" s="43">
        <f t="shared" si="130"/>
        <v>169.48320833862434</v>
      </c>
      <c r="K315" s="43">
        <f t="shared" si="130"/>
        <v>169.48320833862434</v>
      </c>
      <c r="L315" s="43">
        <f t="shared" si="130"/>
        <v>169.48320833862434</v>
      </c>
      <c r="M315" s="43">
        <f t="shared" si="130"/>
        <v>0</v>
      </c>
      <c r="N315" s="43">
        <f t="shared" si="130"/>
        <v>0</v>
      </c>
    </row>
    <row r="316" spans="1:14" ht="12.75">
      <c r="A316" s="4" t="str">
        <f>A235</f>
        <v>HGS Paving</v>
      </c>
      <c r="B316" s="43">
        <f>IF(AND(B$311&gt;=$J235,B$311&lt;=$K235),$E235+$E236,0)</f>
        <v>0</v>
      </c>
      <c r="C316" s="43">
        <f aca="true" t="shared" si="131" ref="C316:N316">IF(AND(C$311&gt;=$J235,C$311&lt;=$K235),$E235+$E236,0)</f>
        <v>0</v>
      </c>
      <c r="D316" s="43">
        <f t="shared" si="131"/>
        <v>0</v>
      </c>
      <c r="E316" s="43">
        <f t="shared" si="131"/>
        <v>0</v>
      </c>
      <c r="F316" s="43">
        <f t="shared" si="131"/>
        <v>0</v>
      </c>
      <c r="G316" s="43">
        <f t="shared" si="131"/>
        <v>0</v>
      </c>
      <c r="H316" s="43">
        <f t="shared" si="131"/>
        <v>0</v>
      </c>
      <c r="I316" s="43">
        <f t="shared" si="131"/>
        <v>82.96535128042328</v>
      </c>
      <c r="J316" s="43">
        <f t="shared" si="131"/>
        <v>82.96535128042328</v>
      </c>
      <c r="K316" s="43">
        <f t="shared" si="131"/>
        <v>82.96535128042328</v>
      </c>
      <c r="L316" s="43">
        <f t="shared" si="131"/>
        <v>82.96535128042328</v>
      </c>
      <c r="M316" s="43">
        <f t="shared" si="131"/>
        <v>0</v>
      </c>
      <c r="N316" s="43">
        <f t="shared" si="131"/>
        <v>0</v>
      </c>
    </row>
    <row r="317" spans="1:14" ht="12.75">
      <c r="A317" s="4" t="str">
        <f>A237</f>
        <v>HGS Equipment Installation</v>
      </c>
      <c r="B317" s="43">
        <f>IF(AND(B$311&gt;=$J237,B$311&lt;=$K237),$E237+$E238,0)</f>
        <v>0</v>
      </c>
      <c r="C317" s="43">
        <f aca="true" t="shared" si="132" ref="C317:N317">IF(AND(C$311&gt;=$J237,C$311&lt;=$K237),$E237+$E238,0)</f>
        <v>0</v>
      </c>
      <c r="D317" s="43">
        <f t="shared" si="132"/>
        <v>0</v>
      </c>
      <c r="E317" s="43">
        <f t="shared" si="132"/>
        <v>0</v>
      </c>
      <c r="F317" s="43">
        <f t="shared" si="132"/>
        <v>0</v>
      </c>
      <c r="G317" s="43">
        <f t="shared" si="132"/>
        <v>0</v>
      </c>
      <c r="H317" s="43">
        <f t="shared" si="132"/>
        <v>0</v>
      </c>
      <c r="I317" s="43">
        <f t="shared" si="132"/>
        <v>0</v>
      </c>
      <c r="J317" s="43">
        <f t="shared" si="132"/>
        <v>0</v>
      </c>
      <c r="K317" s="43">
        <f t="shared" si="132"/>
        <v>0</v>
      </c>
      <c r="L317" s="43">
        <f t="shared" si="132"/>
        <v>0</v>
      </c>
      <c r="M317" s="43">
        <f t="shared" si="132"/>
        <v>360.6394449805996</v>
      </c>
      <c r="N317" s="43">
        <f t="shared" si="132"/>
        <v>360.6394449805996</v>
      </c>
    </row>
    <row r="318" spans="1:14" ht="12.75">
      <c r="A318" s="4" t="str">
        <f>A239</f>
        <v>SGS Slab Demolition</v>
      </c>
      <c r="B318" s="43">
        <f>IF(AND(B$311&gt;=$J239,B$311&lt;=$K239),$E239+$E240,0)</f>
        <v>65.56202369664904</v>
      </c>
      <c r="C318" s="43">
        <f aca="true" t="shared" si="133" ref="C318:N318">IF(AND(C$311&gt;=$J239,C$311&lt;=$K239),$E239+$E240,0)</f>
        <v>65.56202369664904</v>
      </c>
      <c r="D318" s="43">
        <f t="shared" si="133"/>
        <v>0</v>
      </c>
      <c r="E318" s="43">
        <f t="shared" si="133"/>
        <v>0</v>
      </c>
      <c r="F318" s="43">
        <f t="shared" si="133"/>
        <v>0</v>
      </c>
      <c r="G318" s="43">
        <f t="shared" si="133"/>
        <v>0</v>
      </c>
      <c r="H318" s="43">
        <f t="shared" si="133"/>
        <v>0</v>
      </c>
      <c r="I318" s="43">
        <f t="shared" si="133"/>
        <v>0</v>
      </c>
      <c r="J318" s="43">
        <f t="shared" si="133"/>
        <v>0</v>
      </c>
      <c r="K318" s="43">
        <f t="shared" si="133"/>
        <v>0</v>
      </c>
      <c r="L318" s="43">
        <f t="shared" si="133"/>
        <v>0</v>
      </c>
      <c r="M318" s="43">
        <f t="shared" si="133"/>
        <v>0</v>
      </c>
      <c r="N318" s="43">
        <f t="shared" si="133"/>
        <v>0</v>
      </c>
    </row>
    <row r="319" spans="1:14" ht="12.75">
      <c r="A319" s="4" t="str">
        <f>A241</f>
        <v>SGS Grading</v>
      </c>
      <c r="B319" s="43">
        <f>IF(AND(B$311&gt;=$J241,B$311&lt;=$K241),$E241+$E242,0)</f>
        <v>0</v>
      </c>
      <c r="C319" s="43">
        <f aca="true" t="shared" si="134" ref="C319:N319">IF(AND(C$311&gt;=$J241,C$311&lt;=$K241),$E241+$E242,0)</f>
        <v>0</v>
      </c>
      <c r="D319" s="43">
        <f t="shared" si="134"/>
        <v>0</v>
      </c>
      <c r="E319" s="43">
        <f t="shared" si="134"/>
        <v>0</v>
      </c>
      <c r="F319" s="43">
        <f t="shared" si="134"/>
        <v>0</v>
      </c>
      <c r="G319" s="43">
        <f t="shared" si="134"/>
        <v>40.53430649029982</v>
      </c>
      <c r="H319" s="43">
        <f t="shared" si="134"/>
        <v>40.53430649029982</v>
      </c>
      <c r="I319" s="43">
        <f t="shared" si="134"/>
        <v>0</v>
      </c>
      <c r="J319" s="43">
        <f t="shared" si="134"/>
        <v>0</v>
      </c>
      <c r="K319" s="43">
        <f t="shared" si="134"/>
        <v>0</v>
      </c>
      <c r="L319" s="43">
        <f t="shared" si="134"/>
        <v>0</v>
      </c>
      <c r="M319" s="43">
        <f t="shared" si="134"/>
        <v>0</v>
      </c>
      <c r="N319" s="43">
        <f t="shared" si="134"/>
        <v>0</v>
      </c>
    </row>
    <row r="320" spans="1:14" ht="12.75">
      <c r="A320" s="4" t="str">
        <f>A243</f>
        <v>SGS Foundations </v>
      </c>
      <c r="B320" s="43">
        <f>IF(AND(B$311&gt;=$J243,B$311&lt;=$K243),$E243+$E244,0)</f>
        <v>0</v>
      </c>
      <c r="C320" s="43">
        <f aca="true" t="shared" si="135" ref="C320:N320">IF(AND(C$311&gt;=$J243,C$311&lt;=$K243),$E243+$E244,0)</f>
        <v>0</v>
      </c>
      <c r="D320" s="43">
        <f t="shared" si="135"/>
        <v>0</v>
      </c>
      <c r="E320" s="43">
        <f t="shared" si="135"/>
        <v>0</v>
      </c>
      <c r="F320" s="43">
        <f t="shared" si="135"/>
        <v>0</v>
      </c>
      <c r="G320" s="43">
        <f t="shared" si="135"/>
        <v>0</v>
      </c>
      <c r="H320" s="43">
        <f t="shared" si="135"/>
        <v>0</v>
      </c>
      <c r="I320" s="43">
        <f t="shared" si="135"/>
        <v>27.00732671604938</v>
      </c>
      <c r="J320" s="43">
        <f t="shared" si="135"/>
        <v>27.00732671604938</v>
      </c>
      <c r="K320" s="43">
        <f t="shared" si="135"/>
        <v>27.00732671604938</v>
      </c>
      <c r="L320" s="43">
        <f t="shared" si="135"/>
        <v>27.00732671604938</v>
      </c>
      <c r="M320" s="43">
        <f t="shared" si="135"/>
        <v>0</v>
      </c>
      <c r="N320" s="43">
        <f t="shared" si="135"/>
        <v>0</v>
      </c>
    </row>
    <row r="321" spans="1:14" ht="12.75">
      <c r="A321" s="4" t="str">
        <f>A245</f>
        <v>SGS Paving</v>
      </c>
      <c r="B321" s="43">
        <f>IF(AND(B$311&gt;=$J245,B$311&lt;=$K245),$E245+$E246,0)</f>
        <v>0</v>
      </c>
      <c r="C321" s="43">
        <f aca="true" t="shared" si="136" ref="C321:N321">IF(AND(C$311&gt;=$J245,C$311&lt;=$K245),$E245+$E246,0)</f>
        <v>0</v>
      </c>
      <c r="D321" s="43">
        <f t="shared" si="136"/>
        <v>0</v>
      </c>
      <c r="E321" s="43">
        <f t="shared" si="136"/>
        <v>0</v>
      </c>
      <c r="F321" s="43">
        <f t="shared" si="136"/>
        <v>0</v>
      </c>
      <c r="G321" s="43">
        <f t="shared" si="136"/>
        <v>0</v>
      </c>
      <c r="H321" s="43">
        <f t="shared" si="136"/>
        <v>0</v>
      </c>
      <c r="I321" s="43">
        <f t="shared" si="136"/>
        <v>35.63674603174603</v>
      </c>
      <c r="J321" s="43">
        <f t="shared" si="136"/>
        <v>35.63674603174603</v>
      </c>
      <c r="K321" s="43">
        <f t="shared" si="136"/>
        <v>35.63674603174603</v>
      </c>
      <c r="L321" s="43">
        <f t="shared" si="136"/>
        <v>35.63674603174603</v>
      </c>
      <c r="M321" s="43">
        <f t="shared" si="136"/>
        <v>0</v>
      </c>
      <c r="N321" s="43">
        <f t="shared" si="136"/>
        <v>0</v>
      </c>
    </row>
    <row r="322" spans="1:14" ht="12.75">
      <c r="A322" s="4" t="str">
        <f>A247</f>
        <v>SGS Equipment Installation</v>
      </c>
      <c r="B322" s="43">
        <f>IF(AND(B$311&gt;=$J247,B$311&lt;=$K247),$E247+$E248,0)</f>
        <v>0</v>
      </c>
      <c r="C322" s="43">
        <f aca="true" t="shared" si="137" ref="C322:N322">IF(AND(C$311&gt;=$J247,C$311&lt;=$K247),$E247+$E248,0)</f>
        <v>0</v>
      </c>
      <c r="D322" s="43">
        <f t="shared" si="137"/>
        <v>0</v>
      </c>
      <c r="E322" s="43">
        <f t="shared" si="137"/>
        <v>0</v>
      </c>
      <c r="F322" s="43">
        <f t="shared" si="137"/>
        <v>0</v>
      </c>
      <c r="G322" s="43">
        <f t="shared" si="137"/>
        <v>0</v>
      </c>
      <c r="H322" s="43">
        <f t="shared" si="137"/>
        <v>0</v>
      </c>
      <c r="I322" s="43">
        <f t="shared" si="137"/>
        <v>0</v>
      </c>
      <c r="J322" s="43">
        <f t="shared" si="137"/>
        <v>0</v>
      </c>
      <c r="K322" s="43">
        <f t="shared" si="137"/>
        <v>0</v>
      </c>
      <c r="L322" s="43">
        <f t="shared" si="137"/>
        <v>0</v>
      </c>
      <c r="M322" s="43">
        <f t="shared" si="137"/>
        <v>129.9240615520282</v>
      </c>
      <c r="N322" s="43">
        <f t="shared" si="137"/>
        <v>129.9240615520282</v>
      </c>
    </row>
    <row r="323" spans="1:14" ht="12.75">
      <c r="A323" s="4" t="str">
        <f>A249</f>
        <v>VGS Demolition</v>
      </c>
      <c r="B323" s="43">
        <f>IF(AND(B$311&gt;=$J249,B$311&lt;=$K249),$E249+$E250,0)</f>
        <v>145.44726261305112</v>
      </c>
      <c r="C323" s="43">
        <f aca="true" t="shared" si="138" ref="C323:N323">IF(AND(C$311&gt;=$J249,C$311&lt;=$K249),$E249+$E250,0)</f>
        <v>145.44726261305112</v>
      </c>
      <c r="D323" s="43">
        <f t="shared" si="138"/>
        <v>0</v>
      </c>
      <c r="E323" s="43">
        <f t="shared" si="138"/>
        <v>0</v>
      </c>
      <c r="F323" s="43">
        <f t="shared" si="138"/>
        <v>0</v>
      </c>
      <c r="G323" s="43">
        <f t="shared" si="138"/>
        <v>0</v>
      </c>
      <c r="H323" s="43">
        <f t="shared" si="138"/>
        <v>0</v>
      </c>
      <c r="I323" s="43">
        <f t="shared" si="138"/>
        <v>0</v>
      </c>
      <c r="J323" s="43">
        <f t="shared" si="138"/>
        <v>0</v>
      </c>
      <c r="K323" s="43">
        <f t="shared" si="138"/>
        <v>0</v>
      </c>
      <c r="L323" s="43">
        <f t="shared" si="138"/>
        <v>0</v>
      </c>
      <c r="M323" s="43">
        <f t="shared" si="138"/>
        <v>0</v>
      </c>
      <c r="N323" s="43">
        <f t="shared" si="138"/>
        <v>0</v>
      </c>
    </row>
    <row r="324" spans="1:14" ht="12.75">
      <c r="A324" s="4" t="str">
        <f>A251</f>
        <v>VGS Grading</v>
      </c>
      <c r="B324" s="43">
        <f>IF(AND(B$311&gt;=$J251,B$311&lt;=$K251),$E251+$E252,0)</f>
        <v>0</v>
      </c>
      <c r="C324" s="43">
        <f aca="true" t="shared" si="139" ref="C324:N324">IF(AND(C$311&gt;=$J251,C$311&lt;=$K251),$E251+$E252,0)</f>
        <v>0</v>
      </c>
      <c r="D324" s="43">
        <f t="shared" si="139"/>
        <v>40.50527209876543</v>
      </c>
      <c r="E324" s="43">
        <f t="shared" si="139"/>
        <v>40.50527209876543</v>
      </c>
      <c r="F324" s="43">
        <f t="shared" si="139"/>
        <v>0</v>
      </c>
      <c r="G324" s="43">
        <f t="shared" si="139"/>
        <v>0</v>
      </c>
      <c r="H324" s="43">
        <f t="shared" si="139"/>
        <v>0</v>
      </c>
      <c r="I324" s="43">
        <f t="shared" si="139"/>
        <v>0</v>
      </c>
      <c r="J324" s="43">
        <f t="shared" si="139"/>
        <v>0</v>
      </c>
      <c r="K324" s="43">
        <f t="shared" si="139"/>
        <v>0</v>
      </c>
      <c r="L324" s="43">
        <f t="shared" si="139"/>
        <v>0</v>
      </c>
      <c r="M324" s="43">
        <f t="shared" si="139"/>
        <v>0</v>
      </c>
      <c r="N324" s="43">
        <f t="shared" si="139"/>
        <v>0</v>
      </c>
    </row>
    <row r="325" spans="1:14" ht="12.75">
      <c r="A325" s="4" t="str">
        <f>A253</f>
        <v>VGS Foundations </v>
      </c>
      <c r="B325" s="43">
        <f>IF(AND(B$311&gt;=$J253,B$311&lt;=$K253),$E253+$E254,0)</f>
        <v>0</v>
      </c>
      <c r="C325" s="43">
        <f aca="true" t="shared" si="140" ref="C325:N325">IF(AND(C$311&gt;=$J253,C$311&lt;=$K253),$E253+$E254,0)</f>
        <v>0</v>
      </c>
      <c r="D325" s="43">
        <f t="shared" si="140"/>
        <v>0</v>
      </c>
      <c r="E325" s="43">
        <f t="shared" si="140"/>
        <v>0</v>
      </c>
      <c r="F325" s="43">
        <f t="shared" si="140"/>
        <v>51.81151164726631</v>
      </c>
      <c r="G325" s="43">
        <f t="shared" si="140"/>
        <v>51.81151164726631</v>
      </c>
      <c r="H325" s="43">
        <f t="shared" si="140"/>
        <v>51.81151164726631</v>
      </c>
      <c r="I325" s="43">
        <f t="shared" si="140"/>
        <v>51.81151164726631</v>
      </c>
      <c r="J325" s="43">
        <f t="shared" si="140"/>
        <v>51.81151164726631</v>
      </c>
      <c r="K325" s="43">
        <f t="shared" si="140"/>
        <v>0</v>
      </c>
      <c r="L325" s="43">
        <f t="shared" si="140"/>
        <v>0</v>
      </c>
      <c r="M325" s="43">
        <f t="shared" si="140"/>
        <v>0</v>
      </c>
      <c r="N325" s="43">
        <f t="shared" si="140"/>
        <v>0</v>
      </c>
    </row>
    <row r="326" spans="1:14" ht="12.75">
      <c r="A326" s="4" t="str">
        <f>A255</f>
        <v>VGS Paving</v>
      </c>
      <c r="B326" s="43">
        <f>IF(AND(B$311&gt;=$J255,B$311&lt;=$K255),$E255+$E256,0)</f>
        <v>0</v>
      </c>
      <c r="C326" s="43">
        <f aca="true" t="shared" si="141" ref="C326:N326">IF(AND(C$311&gt;=$J255,C$311&lt;=$K255),$E255+$E256,0)</f>
        <v>0</v>
      </c>
      <c r="D326" s="43">
        <f t="shared" si="141"/>
        <v>0</v>
      </c>
      <c r="E326" s="43">
        <f t="shared" si="141"/>
        <v>0</v>
      </c>
      <c r="F326" s="43">
        <f t="shared" si="141"/>
        <v>0</v>
      </c>
      <c r="G326" s="43">
        <f t="shared" si="141"/>
        <v>0</v>
      </c>
      <c r="H326" s="43">
        <f t="shared" si="141"/>
        <v>0</v>
      </c>
      <c r="I326" s="43">
        <f t="shared" si="141"/>
        <v>37.35076719576719</v>
      </c>
      <c r="J326" s="43">
        <f t="shared" si="141"/>
        <v>37.35076719576719</v>
      </c>
      <c r="K326" s="43">
        <f t="shared" si="141"/>
        <v>37.35076719576719</v>
      </c>
      <c r="L326" s="43">
        <f t="shared" si="141"/>
        <v>0</v>
      </c>
      <c r="M326" s="43">
        <f t="shared" si="141"/>
        <v>0</v>
      </c>
      <c r="N326" s="43">
        <f t="shared" si="141"/>
        <v>0</v>
      </c>
    </row>
    <row r="327" spans="1:14" ht="12.75">
      <c r="A327" s="4" t="str">
        <f>A257</f>
        <v>VGS Equipment Installation</v>
      </c>
      <c r="B327" s="43">
        <f>IF(AND(B$311&gt;=$J257,B$311&lt;=$K257),$E257+$E258,0)</f>
        <v>0</v>
      </c>
      <c r="C327" s="43">
        <f aca="true" t="shared" si="142" ref="C327:N327">IF(AND(C$311&gt;=$J257,C$311&lt;=$K257),$E257+$E258,0)</f>
        <v>0</v>
      </c>
      <c r="D327" s="43">
        <f t="shared" si="142"/>
        <v>0</v>
      </c>
      <c r="E327" s="43">
        <f t="shared" si="142"/>
        <v>0</v>
      </c>
      <c r="F327" s="43">
        <f t="shared" si="142"/>
        <v>0</v>
      </c>
      <c r="G327" s="43">
        <f t="shared" si="142"/>
        <v>0</v>
      </c>
      <c r="H327" s="43">
        <f t="shared" si="142"/>
        <v>0</v>
      </c>
      <c r="I327" s="43">
        <f t="shared" si="142"/>
        <v>0</v>
      </c>
      <c r="J327" s="43">
        <f t="shared" si="142"/>
        <v>0</v>
      </c>
      <c r="K327" s="43">
        <f t="shared" si="142"/>
        <v>0</v>
      </c>
      <c r="L327" s="43">
        <f t="shared" si="142"/>
        <v>0</v>
      </c>
      <c r="M327" s="43">
        <f t="shared" si="142"/>
        <v>139.67166929100526</v>
      </c>
      <c r="N327" s="43">
        <f t="shared" si="142"/>
        <v>139.67166929100526</v>
      </c>
    </row>
    <row r="328" spans="1:14" ht="12.75">
      <c r="A328" s="15" t="s">
        <v>24</v>
      </c>
      <c r="B328" s="44">
        <f aca="true" t="shared" si="143" ref="B328:N328">SUM(B312:B327)</f>
        <v>459.51484877037035</v>
      </c>
      <c r="C328" s="44">
        <f t="shared" si="143"/>
        <v>459.51484877037035</v>
      </c>
      <c r="D328" s="44">
        <f t="shared" si="143"/>
        <v>369.8207592663139</v>
      </c>
      <c r="E328" s="44">
        <f t="shared" si="143"/>
        <v>369.8207592663139</v>
      </c>
      <c r="F328" s="44">
        <f t="shared" si="143"/>
        <v>381.1269988148148</v>
      </c>
      <c r="G328" s="44">
        <f t="shared" si="143"/>
        <v>496.77150540388004</v>
      </c>
      <c r="H328" s="44">
        <f t="shared" si="143"/>
        <v>496.77150540388004</v>
      </c>
      <c r="I328" s="44">
        <f t="shared" si="143"/>
        <v>404.25491120987647</v>
      </c>
      <c r="J328" s="44">
        <f t="shared" si="143"/>
        <v>404.25491120987647</v>
      </c>
      <c r="K328" s="44">
        <f t="shared" si="143"/>
        <v>352.44339956261024</v>
      </c>
      <c r="L328" s="44">
        <f t="shared" si="143"/>
        <v>315.092632366843</v>
      </c>
      <c r="M328" s="44">
        <f t="shared" si="143"/>
        <v>630.2351758236331</v>
      </c>
      <c r="N328" s="44">
        <f t="shared" si="143"/>
        <v>630.2351758236331</v>
      </c>
    </row>
    <row r="329" spans="1:14" ht="12.75">
      <c r="A329" s="39" t="s">
        <v>132</v>
      </c>
      <c r="B329" s="48"/>
      <c r="C329" s="49"/>
      <c r="D329" s="49"/>
      <c r="E329" s="49"/>
      <c r="F329" s="49"/>
      <c r="G329" s="49"/>
      <c r="H329" s="49"/>
      <c r="I329" s="49"/>
      <c r="J329" s="49"/>
      <c r="K329" s="49"/>
      <c r="L329" s="47"/>
      <c r="M329" s="47"/>
      <c r="N329" s="47"/>
    </row>
    <row r="330" spans="1:14" ht="12.75">
      <c r="A330" s="62" t="s">
        <v>276</v>
      </c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47"/>
      <c r="M330" s="47"/>
      <c r="N330" s="47"/>
    </row>
    <row r="331" spans="1:14" ht="12.75">
      <c r="A331" s="39"/>
      <c r="B331" s="48"/>
      <c r="C331" s="49"/>
      <c r="D331" s="49"/>
      <c r="E331" s="49"/>
      <c r="F331" s="49"/>
      <c r="G331" s="49"/>
      <c r="H331" s="49"/>
      <c r="I331" s="49"/>
      <c r="J331" s="49"/>
      <c r="K331" s="49"/>
      <c r="L331" s="47"/>
      <c r="M331" s="47"/>
      <c r="N331" s="47"/>
    </row>
    <row r="332" spans="1:14" ht="12.75">
      <c r="A332" s="39"/>
      <c r="B332" s="48"/>
      <c r="C332" s="49"/>
      <c r="D332" s="49"/>
      <c r="E332" s="49"/>
      <c r="F332" s="49"/>
      <c r="G332" s="49"/>
      <c r="H332" s="49"/>
      <c r="I332" s="49"/>
      <c r="J332" s="49"/>
      <c r="K332" s="49"/>
      <c r="L332" s="47"/>
      <c r="M332" s="47"/>
      <c r="N332" s="47"/>
    </row>
    <row r="333" spans="1:14" ht="12.75">
      <c r="A333" s="87" t="s">
        <v>245</v>
      </c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</row>
    <row r="334" spans="1:14" ht="15">
      <c r="A334" s="85" t="s">
        <v>246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</row>
    <row r="335" spans="1:14" ht="12.75">
      <c r="A335" s="37" t="s">
        <v>87</v>
      </c>
      <c r="B335" s="69">
        <v>1</v>
      </c>
      <c r="C335" s="69">
        <v>10</v>
      </c>
      <c r="D335" s="69">
        <v>11</v>
      </c>
      <c r="E335" s="69">
        <v>15</v>
      </c>
      <c r="F335" s="69">
        <v>16</v>
      </c>
      <c r="G335" s="69">
        <v>18</v>
      </c>
      <c r="H335" s="69">
        <v>20</v>
      </c>
      <c r="I335" s="69">
        <v>21</v>
      </c>
      <c r="J335" s="69">
        <v>22</v>
      </c>
      <c r="K335" s="69">
        <v>25</v>
      </c>
      <c r="L335" s="69">
        <v>28</v>
      </c>
      <c r="M335" s="69">
        <v>29</v>
      </c>
      <c r="N335" s="69">
        <v>150</v>
      </c>
    </row>
    <row r="336" spans="1:14" ht="12.75">
      <c r="A336" s="4" t="str">
        <f>A227</f>
        <v>HGS Tank Demolition</v>
      </c>
      <c r="B336" s="43">
        <f aca="true" t="shared" si="144" ref="B336:N336">IF(AND(B$335&gt;=$J227,B$335&lt;=$K227),$F227+$F228,0)</f>
        <v>19.3039088</v>
      </c>
      <c r="C336" s="43">
        <f t="shared" si="144"/>
        <v>19.3039088</v>
      </c>
      <c r="D336" s="43">
        <f t="shared" si="144"/>
        <v>0</v>
      </c>
      <c r="E336" s="43">
        <f t="shared" si="144"/>
        <v>0</v>
      </c>
      <c r="F336" s="43">
        <f t="shared" si="144"/>
        <v>0</v>
      </c>
      <c r="G336" s="43">
        <f t="shared" si="144"/>
        <v>0</v>
      </c>
      <c r="H336" s="43">
        <f t="shared" si="144"/>
        <v>0</v>
      </c>
      <c r="I336" s="43">
        <f t="shared" si="144"/>
        <v>0</v>
      </c>
      <c r="J336" s="43">
        <f t="shared" si="144"/>
        <v>0</v>
      </c>
      <c r="K336" s="43">
        <f t="shared" si="144"/>
        <v>0</v>
      </c>
      <c r="L336" s="43">
        <f t="shared" si="144"/>
        <v>0</v>
      </c>
      <c r="M336" s="43">
        <f t="shared" si="144"/>
        <v>0</v>
      </c>
      <c r="N336" s="43">
        <f t="shared" si="144"/>
        <v>0</v>
      </c>
    </row>
    <row r="337" spans="1:14" ht="12.75">
      <c r="A337" s="4" t="str">
        <f>A229</f>
        <v>HGS Backfill</v>
      </c>
      <c r="B337" s="43">
        <f aca="true" t="shared" si="145" ref="B337:N337">IF(AND(B$335&gt;=$J229,B$335&lt;=$K229),$F229+$F230,0)</f>
        <v>0</v>
      </c>
      <c r="C337" s="43">
        <f t="shared" si="145"/>
        <v>0</v>
      </c>
      <c r="D337" s="43">
        <f t="shared" si="145"/>
        <v>25.889248000000002</v>
      </c>
      <c r="E337" s="43">
        <f t="shared" si="145"/>
        <v>25.889248000000002</v>
      </c>
      <c r="F337" s="43">
        <f t="shared" si="145"/>
        <v>25.889248000000002</v>
      </c>
      <c r="G337" s="43">
        <f t="shared" si="145"/>
        <v>25.889248000000002</v>
      </c>
      <c r="H337" s="43">
        <f t="shared" si="145"/>
        <v>25.889248000000002</v>
      </c>
      <c r="I337" s="43">
        <f t="shared" si="145"/>
        <v>0</v>
      </c>
      <c r="J337" s="43">
        <f t="shared" si="145"/>
        <v>0</v>
      </c>
      <c r="K337" s="43">
        <f t="shared" si="145"/>
        <v>0</v>
      </c>
      <c r="L337" s="43">
        <f t="shared" si="145"/>
        <v>0</v>
      </c>
      <c r="M337" s="43">
        <f t="shared" si="145"/>
        <v>0</v>
      </c>
      <c r="N337" s="43">
        <f t="shared" si="145"/>
        <v>0</v>
      </c>
    </row>
    <row r="338" spans="1:14" ht="12.75">
      <c r="A338" s="4" t="str">
        <f>A231</f>
        <v>HGS Grading</v>
      </c>
      <c r="B338" s="43">
        <f aca="true" t="shared" si="146" ref="B338:N338">IF(AND(B$335&gt;=$J231,B$335&lt;=$K231),$F231+$F232,0)</f>
        <v>0</v>
      </c>
      <c r="C338" s="43">
        <f t="shared" si="146"/>
        <v>0</v>
      </c>
      <c r="D338" s="43">
        <f t="shared" si="146"/>
        <v>0</v>
      </c>
      <c r="E338" s="43">
        <f t="shared" si="146"/>
        <v>0</v>
      </c>
      <c r="F338" s="43">
        <f t="shared" si="146"/>
        <v>0</v>
      </c>
      <c r="G338" s="43">
        <f t="shared" si="146"/>
        <v>6.58236</v>
      </c>
      <c r="H338" s="43">
        <f t="shared" si="146"/>
        <v>6.58236</v>
      </c>
      <c r="I338" s="43">
        <f t="shared" si="146"/>
        <v>0</v>
      </c>
      <c r="J338" s="43">
        <f t="shared" si="146"/>
        <v>0</v>
      </c>
      <c r="K338" s="43">
        <f t="shared" si="146"/>
        <v>0</v>
      </c>
      <c r="L338" s="43">
        <f t="shared" si="146"/>
        <v>0</v>
      </c>
      <c r="M338" s="43">
        <f t="shared" si="146"/>
        <v>0</v>
      </c>
      <c r="N338" s="43">
        <f t="shared" si="146"/>
        <v>0</v>
      </c>
    </row>
    <row r="339" spans="1:14" ht="12.75">
      <c r="A339" s="4" t="str">
        <f>A233</f>
        <v>HGS Foundations </v>
      </c>
      <c r="B339" s="43">
        <f aca="true" t="shared" si="147" ref="B339:N339">IF(AND(B$335&gt;=$J233,B$335&lt;=$K233),$F233+$F234,0)</f>
        <v>0</v>
      </c>
      <c r="C339" s="43">
        <f t="shared" si="147"/>
        <v>0</v>
      </c>
      <c r="D339" s="43">
        <f t="shared" si="147"/>
        <v>0</v>
      </c>
      <c r="E339" s="43">
        <f t="shared" si="147"/>
        <v>0</v>
      </c>
      <c r="F339" s="43">
        <f t="shared" si="147"/>
        <v>0</v>
      </c>
      <c r="G339" s="43">
        <f t="shared" si="147"/>
        <v>0</v>
      </c>
      <c r="H339" s="43">
        <f t="shared" si="147"/>
        <v>0</v>
      </c>
      <c r="I339" s="43">
        <f t="shared" si="147"/>
        <v>10.182632</v>
      </c>
      <c r="J339" s="43">
        <f t="shared" si="147"/>
        <v>10.182632</v>
      </c>
      <c r="K339" s="43">
        <f t="shared" si="147"/>
        <v>10.182632</v>
      </c>
      <c r="L339" s="43">
        <f t="shared" si="147"/>
        <v>10.182632</v>
      </c>
      <c r="M339" s="43">
        <f t="shared" si="147"/>
        <v>0</v>
      </c>
      <c r="N339" s="43">
        <f t="shared" si="147"/>
        <v>0</v>
      </c>
    </row>
    <row r="340" spans="1:14" ht="12.75">
      <c r="A340" s="4" t="str">
        <f>A235</f>
        <v>HGS Paving</v>
      </c>
      <c r="B340" s="43">
        <f aca="true" t="shared" si="148" ref="B340:N340">IF(AND(B$335&gt;=$J235,B$335&lt;=$K235),$F235+$F236,0)</f>
        <v>0</v>
      </c>
      <c r="C340" s="43">
        <f t="shared" si="148"/>
        <v>0</v>
      </c>
      <c r="D340" s="43">
        <f t="shared" si="148"/>
        <v>0</v>
      </c>
      <c r="E340" s="43">
        <f t="shared" si="148"/>
        <v>0</v>
      </c>
      <c r="F340" s="43">
        <f t="shared" si="148"/>
        <v>0</v>
      </c>
      <c r="G340" s="43">
        <f t="shared" si="148"/>
        <v>0</v>
      </c>
      <c r="H340" s="43">
        <f t="shared" si="148"/>
        <v>0</v>
      </c>
      <c r="I340" s="43">
        <f t="shared" si="148"/>
        <v>5.477168</v>
      </c>
      <c r="J340" s="43">
        <f t="shared" si="148"/>
        <v>5.477168</v>
      </c>
      <c r="K340" s="43">
        <f t="shared" si="148"/>
        <v>5.477168</v>
      </c>
      <c r="L340" s="43">
        <f t="shared" si="148"/>
        <v>5.477168</v>
      </c>
      <c r="M340" s="43">
        <f t="shared" si="148"/>
        <v>0</v>
      </c>
      <c r="N340" s="43">
        <f t="shared" si="148"/>
        <v>0</v>
      </c>
    </row>
    <row r="341" spans="1:14" ht="12.75">
      <c r="A341" s="4" t="str">
        <f>A237</f>
        <v>HGS Equipment Installation</v>
      </c>
      <c r="B341" s="43">
        <f aca="true" t="shared" si="149" ref="B341:N341">IF(AND(B$335&gt;=$J237,B$335&lt;=$K237),$F237+$F238,0)</f>
        <v>0</v>
      </c>
      <c r="C341" s="43">
        <f t="shared" si="149"/>
        <v>0</v>
      </c>
      <c r="D341" s="43">
        <f t="shared" si="149"/>
        <v>0</v>
      </c>
      <c r="E341" s="43">
        <f t="shared" si="149"/>
        <v>0</v>
      </c>
      <c r="F341" s="43">
        <f t="shared" si="149"/>
        <v>0</v>
      </c>
      <c r="G341" s="43">
        <f t="shared" si="149"/>
        <v>0</v>
      </c>
      <c r="H341" s="43">
        <f t="shared" si="149"/>
        <v>0</v>
      </c>
      <c r="I341" s="43">
        <f t="shared" si="149"/>
        <v>0</v>
      </c>
      <c r="J341" s="43">
        <f t="shared" si="149"/>
        <v>0</v>
      </c>
      <c r="K341" s="43">
        <f t="shared" si="149"/>
        <v>0</v>
      </c>
      <c r="L341" s="43">
        <f t="shared" si="149"/>
        <v>0</v>
      </c>
      <c r="M341" s="43">
        <f t="shared" si="149"/>
        <v>25.894719999999996</v>
      </c>
      <c r="N341" s="43">
        <f t="shared" si="149"/>
        <v>25.894719999999996</v>
      </c>
    </row>
    <row r="342" spans="1:14" ht="12.75">
      <c r="A342" s="4" t="str">
        <f>A239</f>
        <v>SGS Slab Demolition</v>
      </c>
      <c r="B342" s="43">
        <f aca="true" t="shared" si="150" ref="B342:N342">IF(AND(B$335&gt;=$J239,B$335&lt;=$K239),$F239+$F240,0)</f>
        <v>4.695888</v>
      </c>
      <c r="C342" s="43">
        <f t="shared" si="150"/>
        <v>4.695888</v>
      </c>
      <c r="D342" s="43">
        <f t="shared" si="150"/>
        <v>0</v>
      </c>
      <c r="E342" s="43">
        <f t="shared" si="150"/>
        <v>0</v>
      </c>
      <c r="F342" s="43">
        <f t="shared" si="150"/>
        <v>0</v>
      </c>
      <c r="G342" s="43">
        <f t="shared" si="150"/>
        <v>0</v>
      </c>
      <c r="H342" s="43">
        <f t="shared" si="150"/>
        <v>0</v>
      </c>
      <c r="I342" s="43">
        <f t="shared" si="150"/>
        <v>0</v>
      </c>
      <c r="J342" s="43">
        <f t="shared" si="150"/>
        <v>0</v>
      </c>
      <c r="K342" s="43">
        <f t="shared" si="150"/>
        <v>0</v>
      </c>
      <c r="L342" s="43">
        <f t="shared" si="150"/>
        <v>0</v>
      </c>
      <c r="M342" s="43">
        <f t="shared" si="150"/>
        <v>0</v>
      </c>
      <c r="N342" s="43">
        <f t="shared" si="150"/>
        <v>0</v>
      </c>
    </row>
    <row r="343" spans="1:14" ht="12.75">
      <c r="A343" s="4" t="str">
        <f>A241</f>
        <v>SGS Grading</v>
      </c>
      <c r="B343" s="43">
        <f aca="true" t="shared" si="151" ref="B343:N343">IF(AND(B$335&gt;=$J241,B$335&lt;=$K241),$F241+$F242,0)</f>
        <v>0</v>
      </c>
      <c r="C343" s="43">
        <f t="shared" si="151"/>
        <v>0</v>
      </c>
      <c r="D343" s="43">
        <f t="shared" si="151"/>
        <v>0</v>
      </c>
      <c r="E343" s="43">
        <f t="shared" si="151"/>
        <v>0</v>
      </c>
      <c r="F343" s="43">
        <f t="shared" si="151"/>
        <v>0</v>
      </c>
      <c r="G343" s="43">
        <f t="shared" si="151"/>
        <v>3.698616</v>
      </c>
      <c r="H343" s="43">
        <f t="shared" si="151"/>
        <v>3.698616</v>
      </c>
      <c r="I343" s="43">
        <f t="shared" si="151"/>
        <v>0</v>
      </c>
      <c r="J343" s="43">
        <f t="shared" si="151"/>
        <v>0</v>
      </c>
      <c r="K343" s="43">
        <f t="shared" si="151"/>
        <v>0</v>
      </c>
      <c r="L343" s="43">
        <f t="shared" si="151"/>
        <v>0</v>
      </c>
      <c r="M343" s="43">
        <f t="shared" si="151"/>
        <v>0</v>
      </c>
      <c r="N343" s="43">
        <f t="shared" si="151"/>
        <v>0</v>
      </c>
    </row>
    <row r="344" spans="1:14" ht="12.75">
      <c r="A344" s="4" t="str">
        <f>A243</f>
        <v>SGS Foundations </v>
      </c>
      <c r="B344" s="43">
        <f aca="true" t="shared" si="152" ref="B344:N344">IF(AND(B$335&gt;=$J243,B$335&lt;=$K243),$F243+$F244,0)</f>
        <v>0</v>
      </c>
      <c r="C344" s="43">
        <f t="shared" si="152"/>
        <v>0</v>
      </c>
      <c r="D344" s="43">
        <f t="shared" si="152"/>
        <v>0</v>
      </c>
      <c r="E344" s="43">
        <f t="shared" si="152"/>
        <v>0</v>
      </c>
      <c r="F344" s="43">
        <f t="shared" si="152"/>
        <v>0</v>
      </c>
      <c r="G344" s="43">
        <f t="shared" si="152"/>
        <v>0</v>
      </c>
      <c r="H344" s="43">
        <f t="shared" si="152"/>
        <v>0</v>
      </c>
      <c r="I344" s="43">
        <f t="shared" si="152"/>
        <v>1.595012</v>
      </c>
      <c r="J344" s="43">
        <f t="shared" si="152"/>
        <v>1.595012</v>
      </c>
      <c r="K344" s="43">
        <f t="shared" si="152"/>
        <v>1.595012</v>
      </c>
      <c r="L344" s="43">
        <f t="shared" si="152"/>
        <v>1.595012</v>
      </c>
      <c r="M344" s="43">
        <f t="shared" si="152"/>
        <v>0</v>
      </c>
      <c r="N344" s="43">
        <f t="shared" si="152"/>
        <v>0</v>
      </c>
    </row>
    <row r="345" spans="1:14" ht="12.75">
      <c r="A345" s="4" t="str">
        <f>A245</f>
        <v>SGS Paving</v>
      </c>
      <c r="B345" s="43">
        <f aca="true" t="shared" si="153" ref="B345:N345">IF(AND(B$335&gt;=$J245,B$335&lt;=$K245),$F245+$F246,0)</f>
        <v>0</v>
      </c>
      <c r="C345" s="43">
        <f t="shared" si="153"/>
        <v>0</v>
      </c>
      <c r="D345" s="43">
        <f t="shared" si="153"/>
        <v>0</v>
      </c>
      <c r="E345" s="43">
        <f t="shared" si="153"/>
        <v>0</v>
      </c>
      <c r="F345" s="43">
        <f t="shared" si="153"/>
        <v>0</v>
      </c>
      <c r="G345" s="43">
        <f t="shared" si="153"/>
        <v>0</v>
      </c>
      <c r="H345" s="43">
        <f t="shared" si="153"/>
        <v>0</v>
      </c>
      <c r="I345" s="43">
        <f t="shared" si="153"/>
        <v>2.5934239999999997</v>
      </c>
      <c r="J345" s="43">
        <f t="shared" si="153"/>
        <v>2.5934239999999997</v>
      </c>
      <c r="K345" s="43">
        <f t="shared" si="153"/>
        <v>2.5934239999999997</v>
      </c>
      <c r="L345" s="43">
        <f t="shared" si="153"/>
        <v>2.5934239999999997</v>
      </c>
      <c r="M345" s="43">
        <f t="shared" si="153"/>
        <v>0</v>
      </c>
      <c r="N345" s="43">
        <f t="shared" si="153"/>
        <v>0</v>
      </c>
    </row>
    <row r="346" spans="1:14" ht="12.75">
      <c r="A346" s="4" t="str">
        <f>A247</f>
        <v>SGS Equipment Installation</v>
      </c>
      <c r="B346" s="43">
        <f aca="true" t="shared" si="154" ref="B346:N346">IF(AND(B$335&gt;=$J247,B$335&lt;=$K247),$F247+$F248,0)</f>
        <v>0</v>
      </c>
      <c r="C346" s="43">
        <f t="shared" si="154"/>
        <v>0</v>
      </c>
      <c r="D346" s="43">
        <f t="shared" si="154"/>
        <v>0</v>
      </c>
      <c r="E346" s="43">
        <f t="shared" si="154"/>
        <v>0</v>
      </c>
      <c r="F346" s="43">
        <f t="shared" si="154"/>
        <v>0</v>
      </c>
      <c r="G346" s="43">
        <f t="shared" si="154"/>
        <v>0</v>
      </c>
      <c r="H346" s="43">
        <f t="shared" si="154"/>
        <v>0</v>
      </c>
      <c r="I346" s="43">
        <f t="shared" si="154"/>
        <v>0</v>
      </c>
      <c r="J346" s="43">
        <f t="shared" si="154"/>
        <v>0</v>
      </c>
      <c r="K346" s="43">
        <f t="shared" si="154"/>
        <v>0</v>
      </c>
      <c r="L346" s="43">
        <f t="shared" si="154"/>
        <v>0</v>
      </c>
      <c r="M346" s="43">
        <f t="shared" si="154"/>
        <v>9.846864</v>
      </c>
      <c r="N346" s="43">
        <f t="shared" si="154"/>
        <v>9.846864</v>
      </c>
    </row>
    <row r="347" spans="1:14" ht="12.75">
      <c r="A347" s="4" t="str">
        <f>A249</f>
        <v>VGS Demolition</v>
      </c>
      <c r="B347" s="43">
        <f aca="true" t="shared" si="155" ref="B347:N347">IF(AND(B$335&gt;=$J249,B$335&lt;=$K249),$F249+$F250,0)</f>
        <v>11.984622399999997</v>
      </c>
      <c r="C347" s="43">
        <f t="shared" si="155"/>
        <v>11.984622399999997</v>
      </c>
      <c r="D347" s="43">
        <f t="shared" si="155"/>
        <v>0</v>
      </c>
      <c r="E347" s="43">
        <f t="shared" si="155"/>
        <v>0</v>
      </c>
      <c r="F347" s="43">
        <f t="shared" si="155"/>
        <v>0</v>
      </c>
      <c r="G347" s="43">
        <f t="shared" si="155"/>
        <v>0</v>
      </c>
      <c r="H347" s="43">
        <f t="shared" si="155"/>
        <v>0</v>
      </c>
      <c r="I347" s="43">
        <f t="shared" si="155"/>
        <v>0</v>
      </c>
      <c r="J347" s="43">
        <f t="shared" si="155"/>
        <v>0</v>
      </c>
      <c r="K347" s="43">
        <f t="shared" si="155"/>
        <v>0</v>
      </c>
      <c r="L347" s="43">
        <f t="shared" si="155"/>
        <v>0</v>
      </c>
      <c r="M347" s="43">
        <f t="shared" si="155"/>
        <v>0</v>
      </c>
      <c r="N347" s="43">
        <f t="shared" si="155"/>
        <v>0</v>
      </c>
    </row>
    <row r="348" spans="1:14" ht="12.75">
      <c r="A348" s="4" t="str">
        <f>A251</f>
        <v>VGS Grading</v>
      </c>
      <c r="B348" s="43">
        <f aca="true" t="shared" si="156" ref="B348:N348">IF(AND(B$335&gt;=$J251,B$335&lt;=$K251),$F251+$F252,0)</f>
        <v>0</v>
      </c>
      <c r="C348" s="43">
        <f t="shared" si="156"/>
        <v>0</v>
      </c>
      <c r="D348" s="43">
        <f t="shared" si="156"/>
        <v>3.698616</v>
      </c>
      <c r="E348" s="43">
        <f t="shared" si="156"/>
        <v>3.698616</v>
      </c>
      <c r="F348" s="43">
        <f t="shared" si="156"/>
        <v>0</v>
      </c>
      <c r="G348" s="43">
        <f t="shared" si="156"/>
        <v>0</v>
      </c>
      <c r="H348" s="43">
        <f t="shared" si="156"/>
        <v>0</v>
      </c>
      <c r="I348" s="43">
        <f t="shared" si="156"/>
        <v>0</v>
      </c>
      <c r="J348" s="43">
        <f t="shared" si="156"/>
        <v>0</v>
      </c>
      <c r="K348" s="43">
        <f t="shared" si="156"/>
        <v>0</v>
      </c>
      <c r="L348" s="43">
        <f t="shared" si="156"/>
        <v>0</v>
      </c>
      <c r="M348" s="43">
        <f t="shared" si="156"/>
        <v>0</v>
      </c>
      <c r="N348" s="43">
        <f t="shared" si="156"/>
        <v>0</v>
      </c>
    </row>
    <row r="349" spans="1:14" ht="12.75">
      <c r="A349" s="4" t="str">
        <f>A253</f>
        <v>VGS Foundations </v>
      </c>
      <c r="B349" s="43">
        <f aca="true" t="shared" si="157" ref="B349:N349">IF(AND(B$335&gt;=$J253,B$335&lt;=$K253),$F253+$F254,0)</f>
        <v>0</v>
      </c>
      <c r="C349" s="43">
        <f t="shared" si="157"/>
        <v>0</v>
      </c>
      <c r="D349" s="43">
        <f t="shared" si="157"/>
        <v>0</v>
      </c>
      <c r="E349" s="43">
        <f t="shared" si="157"/>
        <v>0</v>
      </c>
      <c r="F349" s="43">
        <f t="shared" si="157"/>
        <v>2.2287760000000003</v>
      </c>
      <c r="G349" s="43">
        <f t="shared" si="157"/>
        <v>2.2287760000000003</v>
      </c>
      <c r="H349" s="43">
        <f t="shared" si="157"/>
        <v>2.2287760000000003</v>
      </c>
      <c r="I349" s="43">
        <f t="shared" si="157"/>
        <v>2.2287760000000003</v>
      </c>
      <c r="J349" s="43">
        <f t="shared" si="157"/>
        <v>2.2287760000000003</v>
      </c>
      <c r="K349" s="43">
        <f t="shared" si="157"/>
        <v>0</v>
      </c>
      <c r="L349" s="43">
        <f t="shared" si="157"/>
        <v>0</v>
      </c>
      <c r="M349" s="43">
        <f t="shared" si="157"/>
        <v>0</v>
      </c>
      <c r="N349" s="43">
        <f t="shared" si="157"/>
        <v>0</v>
      </c>
    </row>
    <row r="350" spans="1:14" ht="12.75">
      <c r="A350" s="4" t="str">
        <f>A255</f>
        <v>VGS Paving</v>
      </c>
      <c r="B350" s="43">
        <f aca="true" t="shared" si="158" ref="B350:N350">IF(AND(B$335&gt;=$J255,B$335&lt;=$K255),$F255+$F256,0)</f>
        <v>0</v>
      </c>
      <c r="C350" s="43">
        <f t="shared" si="158"/>
        <v>0</v>
      </c>
      <c r="D350" s="43">
        <f t="shared" si="158"/>
        <v>0</v>
      </c>
      <c r="E350" s="43">
        <f t="shared" si="158"/>
        <v>0</v>
      </c>
      <c r="F350" s="43">
        <f t="shared" si="158"/>
        <v>0</v>
      </c>
      <c r="G350" s="43">
        <f t="shared" si="158"/>
        <v>0</v>
      </c>
      <c r="H350" s="43">
        <f t="shared" si="158"/>
        <v>0</v>
      </c>
      <c r="I350" s="43">
        <f t="shared" si="158"/>
        <v>2.5934239999999997</v>
      </c>
      <c r="J350" s="43">
        <f t="shared" si="158"/>
        <v>2.5934239999999997</v>
      </c>
      <c r="K350" s="43">
        <f t="shared" si="158"/>
        <v>2.5934239999999997</v>
      </c>
      <c r="L350" s="43">
        <f t="shared" si="158"/>
        <v>0</v>
      </c>
      <c r="M350" s="43">
        <f t="shared" si="158"/>
        <v>0</v>
      </c>
      <c r="N350" s="43">
        <f t="shared" si="158"/>
        <v>0</v>
      </c>
    </row>
    <row r="351" spans="1:14" ht="12.75">
      <c r="A351" s="4" t="str">
        <f>A257</f>
        <v>VGS Equipment Installation</v>
      </c>
      <c r="B351" s="43">
        <f aca="true" t="shared" si="159" ref="B351:N351">IF(AND(B$335&gt;=$J257,B$335&lt;=$K257),$F257+$F258,0)</f>
        <v>0</v>
      </c>
      <c r="C351" s="43">
        <f t="shared" si="159"/>
        <v>0</v>
      </c>
      <c r="D351" s="43">
        <f t="shared" si="159"/>
        <v>0</v>
      </c>
      <c r="E351" s="43">
        <f t="shared" si="159"/>
        <v>0</v>
      </c>
      <c r="F351" s="43">
        <f t="shared" si="159"/>
        <v>0</v>
      </c>
      <c r="G351" s="43">
        <f t="shared" si="159"/>
        <v>0</v>
      </c>
      <c r="H351" s="43">
        <f t="shared" si="159"/>
        <v>0</v>
      </c>
      <c r="I351" s="43">
        <f t="shared" si="159"/>
        <v>0</v>
      </c>
      <c r="J351" s="43">
        <f t="shared" si="159"/>
        <v>0</v>
      </c>
      <c r="K351" s="43">
        <f t="shared" si="159"/>
        <v>0</v>
      </c>
      <c r="L351" s="43">
        <f t="shared" si="159"/>
        <v>0</v>
      </c>
      <c r="M351" s="43">
        <f t="shared" si="159"/>
        <v>10.449848000000001</v>
      </c>
      <c r="N351" s="43">
        <f t="shared" si="159"/>
        <v>10.449848000000001</v>
      </c>
    </row>
    <row r="352" spans="1:14" ht="12.75">
      <c r="A352" s="15" t="s">
        <v>24</v>
      </c>
      <c r="B352" s="44">
        <f aca="true" t="shared" si="160" ref="B352:N352">SUM(B336:B351)</f>
        <v>35.9844192</v>
      </c>
      <c r="C352" s="44">
        <f t="shared" si="160"/>
        <v>35.9844192</v>
      </c>
      <c r="D352" s="44">
        <f t="shared" si="160"/>
        <v>29.587864000000003</v>
      </c>
      <c r="E352" s="44">
        <f t="shared" si="160"/>
        <v>29.587864000000003</v>
      </c>
      <c r="F352" s="44">
        <f t="shared" si="160"/>
        <v>28.118024000000002</v>
      </c>
      <c r="G352" s="44">
        <f t="shared" si="160"/>
        <v>38.39900000000001</v>
      </c>
      <c r="H352" s="44">
        <f t="shared" si="160"/>
        <v>38.39900000000001</v>
      </c>
      <c r="I352" s="44">
        <f t="shared" si="160"/>
        <v>24.670436</v>
      </c>
      <c r="J352" s="44">
        <f t="shared" si="160"/>
        <v>24.670436</v>
      </c>
      <c r="K352" s="44">
        <f t="shared" si="160"/>
        <v>22.44166</v>
      </c>
      <c r="L352" s="44">
        <f t="shared" si="160"/>
        <v>19.848236</v>
      </c>
      <c r="M352" s="44">
        <f t="shared" si="160"/>
        <v>46.191432</v>
      </c>
      <c r="N352" s="44">
        <f t="shared" si="160"/>
        <v>46.191432</v>
      </c>
    </row>
    <row r="353" spans="1:14" ht="12.75">
      <c r="A353" s="39" t="s">
        <v>132</v>
      </c>
      <c r="B353" s="48"/>
      <c r="C353" s="49"/>
      <c r="D353" s="49"/>
      <c r="E353" s="49"/>
      <c r="F353" s="49"/>
      <c r="G353" s="49"/>
      <c r="H353" s="49"/>
      <c r="I353" s="49"/>
      <c r="J353" s="49"/>
      <c r="K353" s="49"/>
      <c r="L353" s="47"/>
      <c r="M353" s="47"/>
      <c r="N353" s="47"/>
    </row>
    <row r="354" spans="1:14" ht="12.75">
      <c r="A354" s="62" t="s">
        <v>276</v>
      </c>
      <c r="B354" s="48"/>
      <c r="C354" s="49"/>
      <c r="D354" s="49"/>
      <c r="E354" s="49"/>
      <c r="F354" s="49"/>
      <c r="G354" s="49"/>
      <c r="H354" s="49"/>
      <c r="I354" s="49"/>
      <c r="J354" s="49"/>
      <c r="K354" s="49"/>
      <c r="L354" s="47"/>
      <c r="M354" s="47"/>
      <c r="N354" s="47"/>
    </row>
    <row r="355" spans="1:11" ht="12.75">
      <c r="A355" s="29"/>
      <c r="B355" s="48"/>
      <c r="C355" s="49"/>
      <c r="D355" s="49"/>
      <c r="E355" s="49"/>
      <c r="F355" s="49"/>
      <c r="G355" s="49"/>
      <c r="H355" s="49"/>
      <c r="I355" s="49"/>
      <c r="J355" s="49"/>
      <c r="K355" s="49"/>
    </row>
    <row r="356" spans="1:11" ht="12.75">
      <c r="A356" s="29"/>
      <c r="B356" s="48"/>
      <c r="C356" s="49"/>
      <c r="D356" s="49"/>
      <c r="E356" s="49"/>
      <c r="F356" s="49"/>
      <c r="G356" s="49"/>
      <c r="H356" s="49"/>
      <c r="I356" s="49"/>
      <c r="J356" s="49"/>
      <c r="K356" s="49"/>
    </row>
    <row r="357" spans="1:14" ht="12.75">
      <c r="A357" s="86" t="s">
        <v>247</v>
      </c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</row>
    <row r="358" spans="1:14" ht="15">
      <c r="A358" s="85" t="s">
        <v>248</v>
      </c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</row>
    <row r="359" spans="1:14" ht="12.75">
      <c r="A359" s="37" t="s">
        <v>87</v>
      </c>
      <c r="B359" s="69">
        <v>1</v>
      </c>
      <c r="C359" s="69">
        <v>10</v>
      </c>
      <c r="D359" s="69">
        <v>11</v>
      </c>
      <c r="E359" s="69">
        <v>15</v>
      </c>
      <c r="F359" s="69">
        <v>16</v>
      </c>
      <c r="G359" s="69">
        <v>18</v>
      </c>
      <c r="H359" s="69">
        <v>20</v>
      </c>
      <c r="I359" s="69">
        <v>21</v>
      </c>
      <c r="J359" s="69">
        <v>22</v>
      </c>
      <c r="K359" s="69">
        <v>25</v>
      </c>
      <c r="L359" s="69">
        <v>28</v>
      </c>
      <c r="M359" s="69">
        <v>29</v>
      </c>
      <c r="N359" s="69">
        <v>150</v>
      </c>
    </row>
    <row r="360" spans="1:14" ht="12.75">
      <c r="A360" s="4" t="str">
        <f>A227</f>
        <v>HGS Tank Demolition</v>
      </c>
      <c r="B360" s="43">
        <f aca="true" t="shared" si="161" ref="B360:N360">IF(AND(B$359&gt;=$J227,B$359&lt;=$K227),$I227+$I228,0)</f>
        <v>97.78695268200377</v>
      </c>
      <c r="C360" s="43">
        <f t="shared" si="161"/>
        <v>97.78695268200377</v>
      </c>
      <c r="D360" s="43">
        <f t="shared" si="161"/>
        <v>0</v>
      </c>
      <c r="E360" s="43">
        <f t="shared" si="161"/>
        <v>0</v>
      </c>
      <c r="F360" s="43">
        <f t="shared" si="161"/>
        <v>0</v>
      </c>
      <c r="G360" s="43">
        <f t="shared" si="161"/>
        <v>0</v>
      </c>
      <c r="H360" s="43">
        <f t="shared" si="161"/>
        <v>0</v>
      </c>
      <c r="I360" s="43">
        <f t="shared" si="161"/>
        <v>0</v>
      </c>
      <c r="J360" s="43">
        <f t="shared" si="161"/>
        <v>0</v>
      </c>
      <c r="K360" s="43">
        <f t="shared" si="161"/>
        <v>0</v>
      </c>
      <c r="L360" s="43">
        <f t="shared" si="161"/>
        <v>0</v>
      </c>
      <c r="M360" s="43">
        <f t="shared" si="161"/>
        <v>0</v>
      </c>
      <c r="N360" s="43">
        <f t="shared" si="161"/>
        <v>0</v>
      </c>
    </row>
    <row r="361" spans="1:14" ht="12.75">
      <c r="A361" s="4" t="str">
        <f>A229</f>
        <v>HGS Backfill</v>
      </c>
      <c r="B361" s="43">
        <f aca="true" t="shared" si="162" ref="B361:N361">IF(AND(B$359&gt;=$J229,B$359&lt;=$K229),$I229+$I230,0)</f>
        <v>0</v>
      </c>
      <c r="C361" s="43">
        <f t="shared" si="162"/>
        <v>0</v>
      </c>
      <c r="D361" s="43">
        <f t="shared" si="162"/>
        <v>227.97289616407107</v>
      </c>
      <c r="E361" s="43">
        <f t="shared" si="162"/>
        <v>227.97289616407107</v>
      </c>
      <c r="F361" s="43">
        <f t="shared" si="162"/>
        <v>227.97289616407107</v>
      </c>
      <c r="G361" s="43">
        <f t="shared" si="162"/>
        <v>227.97289616407107</v>
      </c>
      <c r="H361" s="43">
        <f t="shared" si="162"/>
        <v>227.97289616407107</v>
      </c>
      <c r="I361" s="43">
        <f t="shared" si="162"/>
        <v>0</v>
      </c>
      <c r="J361" s="43">
        <f t="shared" si="162"/>
        <v>0</v>
      </c>
      <c r="K361" s="43">
        <f t="shared" si="162"/>
        <v>0</v>
      </c>
      <c r="L361" s="43">
        <f t="shared" si="162"/>
        <v>0</v>
      </c>
      <c r="M361" s="43">
        <f t="shared" si="162"/>
        <v>0</v>
      </c>
      <c r="N361" s="43">
        <f t="shared" si="162"/>
        <v>0</v>
      </c>
    </row>
    <row r="362" spans="1:14" ht="12.75">
      <c r="A362" s="4" t="str">
        <f>A231</f>
        <v>HGS Grading</v>
      </c>
      <c r="B362" s="43">
        <f aca="true" t="shared" si="163" ref="B362:N362">IF(AND(B$359&gt;=$J231,B$359&lt;=$K231),$I231+$I232,0)</f>
        <v>0</v>
      </c>
      <c r="C362" s="43">
        <f t="shared" si="163"/>
        <v>0</v>
      </c>
      <c r="D362" s="43">
        <f t="shared" si="163"/>
        <v>0</v>
      </c>
      <c r="E362" s="43">
        <f t="shared" si="163"/>
        <v>0</v>
      </c>
      <c r="F362" s="43">
        <f t="shared" si="163"/>
        <v>0</v>
      </c>
      <c r="G362" s="43">
        <f t="shared" si="163"/>
        <v>6.686364355303537</v>
      </c>
      <c r="H362" s="43">
        <f t="shared" si="163"/>
        <v>6.686364355303537</v>
      </c>
      <c r="I362" s="43">
        <f t="shared" si="163"/>
        <v>0</v>
      </c>
      <c r="J362" s="43">
        <f t="shared" si="163"/>
        <v>0</v>
      </c>
      <c r="K362" s="43">
        <f t="shared" si="163"/>
        <v>0</v>
      </c>
      <c r="L362" s="43">
        <f t="shared" si="163"/>
        <v>0</v>
      </c>
      <c r="M362" s="43">
        <f t="shared" si="163"/>
        <v>0</v>
      </c>
      <c r="N362" s="43">
        <f t="shared" si="163"/>
        <v>0</v>
      </c>
    </row>
    <row r="363" spans="1:14" ht="12.75">
      <c r="A363" s="4" t="str">
        <f>A233</f>
        <v>HGS Foundations </v>
      </c>
      <c r="B363" s="43">
        <f aca="true" t="shared" si="164" ref="B363:N363">IF(AND(B$359&gt;=$J233,B$359&lt;=$K233),$I233+$I234,0)</f>
        <v>0</v>
      </c>
      <c r="C363" s="43">
        <f t="shared" si="164"/>
        <v>0</v>
      </c>
      <c r="D363" s="43">
        <f t="shared" si="164"/>
        <v>0</v>
      </c>
      <c r="E363" s="43">
        <f t="shared" si="164"/>
        <v>0</v>
      </c>
      <c r="F363" s="43">
        <f t="shared" si="164"/>
        <v>0</v>
      </c>
      <c r="G363" s="43">
        <f t="shared" si="164"/>
        <v>0</v>
      </c>
      <c r="H363" s="43">
        <f t="shared" si="164"/>
        <v>0</v>
      </c>
      <c r="I363" s="43">
        <f t="shared" si="164"/>
        <v>132.3023784801454</v>
      </c>
      <c r="J363" s="43">
        <f t="shared" si="164"/>
        <v>132.3023784801454</v>
      </c>
      <c r="K363" s="43">
        <f t="shared" si="164"/>
        <v>132.3023784801454</v>
      </c>
      <c r="L363" s="43">
        <f t="shared" si="164"/>
        <v>132.3023784801454</v>
      </c>
      <c r="M363" s="43">
        <f t="shared" si="164"/>
        <v>0</v>
      </c>
      <c r="N363" s="43">
        <f t="shared" si="164"/>
        <v>0</v>
      </c>
    </row>
    <row r="364" spans="1:14" ht="12.75">
      <c r="A364" s="4" t="str">
        <f>A235</f>
        <v>HGS Paving</v>
      </c>
      <c r="B364" s="43">
        <f aca="true" t="shared" si="165" ref="B364:N364">IF(AND(B$359&gt;=$J235,B$359&lt;=$K235),$I235+$I236,0)</f>
        <v>0</v>
      </c>
      <c r="C364" s="43">
        <f t="shared" si="165"/>
        <v>0</v>
      </c>
      <c r="D364" s="43">
        <f t="shared" si="165"/>
        <v>0</v>
      </c>
      <c r="E364" s="43">
        <f t="shared" si="165"/>
        <v>0</v>
      </c>
      <c r="F364" s="43">
        <f t="shared" si="165"/>
        <v>0</v>
      </c>
      <c r="G364" s="43">
        <f t="shared" si="165"/>
        <v>0</v>
      </c>
      <c r="H364" s="43">
        <f t="shared" si="165"/>
        <v>0</v>
      </c>
      <c r="I364" s="43">
        <f t="shared" si="165"/>
        <v>58.43200475041253</v>
      </c>
      <c r="J364" s="43">
        <f t="shared" si="165"/>
        <v>58.43200475041253</v>
      </c>
      <c r="K364" s="43">
        <f t="shared" si="165"/>
        <v>58.43200475041253</v>
      </c>
      <c r="L364" s="43">
        <f t="shared" si="165"/>
        <v>58.43200475041253</v>
      </c>
      <c r="M364" s="43">
        <f t="shared" si="165"/>
        <v>0</v>
      </c>
      <c r="N364" s="43">
        <f t="shared" si="165"/>
        <v>0</v>
      </c>
    </row>
    <row r="365" spans="1:14" ht="12.75">
      <c r="A365" s="4" t="str">
        <f>A237</f>
        <v>HGS Equipment Installation</v>
      </c>
      <c r="B365" s="43">
        <f aca="true" t="shared" si="166" ref="B365:N365">IF(AND(B$359&gt;=$J237,B$359&lt;=$K237),$I237+$I238,0)</f>
        <v>0</v>
      </c>
      <c r="C365" s="43">
        <f t="shared" si="166"/>
        <v>0</v>
      </c>
      <c r="D365" s="43">
        <f t="shared" si="166"/>
        <v>0</v>
      </c>
      <c r="E365" s="43">
        <f t="shared" si="166"/>
        <v>0</v>
      </c>
      <c r="F365" s="43">
        <f t="shared" si="166"/>
        <v>0</v>
      </c>
      <c r="G365" s="43">
        <f t="shared" si="166"/>
        <v>0</v>
      </c>
      <c r="H365" s="43">
        <f t="shared" si="166"/>
        <v>0</v>
      </c>
      <c r="I365" s="43">
        <f t="shared" si="166"/>
        <v>0</v>
      </c>
      <c r="J365" s="43">
        <f t="shared" si="166"/>
        <v>0</v>
      </c>
      <c r="K365" s="43">
        <f t="shared" si="166"/>
        <v>0</v>
      </c>
      <c r="L365" s="43">
        <f t="shared" si="166"/>
        <v>0</v>
      </c>
      <c r="M365" s="43">
        <f t="shared" si="166"/>
        <v>78.01596415620983</v>
      </c>
      <c r="N365" s="43">
        <f t="shared" si="166"/>
        <v>78.01596415620983</v>
      </c>
    </row>
    <row r="366" spans="1:14" ht="12.75">
      <c r="A366" s="4" t="str">
        <f>A239</f>
        <v>SGS Slab Demolition</v>
      </c>
      <c r="B366" s="43">
        <f aca="true" t="shared" si="167" ref="B366:N366">IF(AND(B$359&gt;=$J239,B$359&lt;=$K239),$I239+$I240,0)</f>
        <v>51.00451039386885</v>
      </c>
      <c r="C366" s="43">
        <f t="shared" si="167"/>
        <v>51.00451039386885</v>
      </c>
      <c r="D366" s="43">
        <f t="shared" si="167"/>
        <v>0</v>
      </c>
      <c r="E366" s="43">
        <f t="shared" si="167"/>
        <v>0</v>
      </c>
      <c r="F366" s="43">
        <f t="shared" si="167"/>
        <v>0</v>
      </c>
      <c r="G366" s="43">
        <f t="shared" si="167"/>
        <v>0</v>
      </c>
      <c r="H366" s="43">
        <f t="shared" si="167"/>
        <v>0</v>
      </c>
      <c r="I366" s="43">
        <f t="shared" si="167"/>
        <v>0</v>
      </c>
      <c r="J366" s="43">
        <f t="shared" si="167"/>
        <v>0</v>
      </c>
      <c r="K366" s="43">
        <f t="shared" si="167"/>
        <v>0</v>
      </c>
      <c r="L366" s="43">
        <f t="shared" si="167"/>
        <v>0</v>
      </c>
      <c r="M366" s="43">
        <f t="shared" si="167"/>
        <v>0</v>
      </c>
      <c r="N366" s="43">
        <f t="shared" si="167"/>
        <v>0</v>
      </c>
    </row>
    <row r="367" spans="1:14" ht="12.75">
      <c r="A367" s="4" t="str">
        <f>A241</f>
        <v>SGS Grading</v>
      </c>
      <c r="B367" s="43">
        <f aca="true" t="shared" si="168" ref="B367:N367">IF(AND(B$359&gt;=$J241,B$359&lt;=$K241),$I241+$I242,0)</f>
        <v>0</v>
      </c>
      <c r="C367" s="43">
        <f t="shared" si="168"/>
        <v>0</v>
      </c>
      <c r="D367" s="43">
        <f t="shared" si="168"/>
        <v>0</v>
      </c>
      <c r="E367" s="43">
        <f t="shared" si="168"/>
        <v>0</v>
      </c>
      <c r="F367" s="43">
        <f t="shared" si="168"/>
        <v>0</v>
      </c>
      <c r="G367" s="43">
        <f t="shared" si="168"/>
        <v>5.304704652500198</v>
      </c>
      <c r="H367" s="43">
        <f t="shared" si="168"/>
        <v>5.304704652500198</v>
      </c>
      <c r="I367" s="43">
        <f t="shared" si="168"/>
        <v>0</v>
      </c>
      <c r="J367" s="43">
        <f t="shared" si="168"/>
        <v>0</v>
      </c>
      <c r="K367" s="43">
        <f t="shared" si="168"/>
        <v>0</v>
      </c>
      <c r="L367" s="43">
        <f t="shared" si="168"/>
        <v>0</v>
      </c>
      <c r="M367" s="43">
        <f t="shared" si="168"/>
        <v>0</v>
      </c>
      <c r="N367" s="43">
        <f t="shared" si="168"/>
        <v>0</v>
      </c>
    </row>
    <row r="368" spans="1:14" ht="12.75">
      <c r="A368" s="4" t="str">
        <f>A243</f>
        <v>SGS Foundations </v>
      </c>
      <c r="B368" s="43">
        <f aca="true" t="shared" si="169" ref="B368:N368">IF(AND(B$359&gt;=$J243,B$359&lt;=$K243),$I243+$I244,0)</f>
        <v>0</v>
      </c>
      <c r="C368" s="43">
        <f t="shared" si="169"/>
        <v>0</v>
      </c>
      <c r="D368" s="43">
        <f t="shared" si="169"/>
        <v>0</v>
      </c>
      <c r="E368" s="43">
        <f t="shared" si="169"/>
        <v>0</v>
      </c>
      <c r="F368" s="43">
        <f t="shared" si="169"/>
        <v>0</v>
      </c>
      <c r="G368" s="43">
        <f t="shared" si="169"/>
        <v>0</v>
      </c>
      <c r="H368" s="43">
        <f t="shared" si="169"/>
        <v>0</v>
      </c>
      <c r="I368" s="43">
        <f t="shared" si="169"/>
        <v>25.480378363426937</v>
      </c>
      <c r="J368" s="43">
        <f t="shared" si="169"/>
        <v>25.480378363426937</v>
      </c>
      <c r="K368" s="43">
        <f t="shared" si="169"/>
        <v>25.480378363426937</v>
      </c>
      <c r="L368" s="43">
        <f t="shared" si="169"/>
        <v>25.480378363426937</v>
      </c>
      <c r="M368" s="43">
        <f t="shared" si="169"/>
        <v>0</v>
      </c>
      <c r="N368" s="43">
        <f t="shared" si="169"/>
        <v>0</v>
      </c>
    </row>
    <row r="369" spans="1:14" ht="12.75">
      <c r="A369" s="4" t="str">
        <f>A245</f>
        <v>SGS Paving</v>
      </c>
      <c r="B369" s="43">
        <f aca="true" t="shared" si="170" ref="B369:N369">IF(AND(B$359&gt;=$J245,B$359&lt;=$K245),$I245+$I246,0)</f>
        <v>0</v>
      </c>
      <c r="C369" s="43">
        <f t="shared" si="170"/>
        <v>0</v>
      </c>
      <c r="D369" s="43">
        <f t="shared" si="170"/>
        <v>0</v>
      </c>
      <c r="E369" s="43">
        <f t="shared" si="170"/>
        <v>0</v>
      </c>
      <c r="F369" s="43">
        <f t="shared" si="170"/>
        <v>0</v>
      </c>
      <c r="G369" s="43">
        <f t="shared" si="170"/>
        <v>0</v>
      </c>
      <c r="H369" s="43">
        <f t="shared" si="170"/>
        <v>0</v>
      </c>
      <c r="I369" s="43">
        <f t="shared" si="170"/>
        <v>18.290973203778908</v>
      </c>
      <c r="J369" s="43">
        <f t="shared" si="170"/>
        <v>18.290973203778908</v>
      </c>
      <c r="K369" s="43">
        <f t="shared" si="170"/>
        <v>18.290973203778908</v>
      </c>
      <c r="L369" s="43">
        <f t="shared" si="170"/>
        <v>18.290973203778908</v>
      </c>
      <c r="M369" s="43">
        <f t="shared" si="170"/>
        <v>0</v>
      </c>
      <c r="N369" s="43">
        <f t="shared" si="170"/>
        <v>0</v>
      </c>
    </row>
    <row r="370" spans="1:14" ht="12.75">
      <c r="A370" s="4" t="str">
        <f>A247</f>
        <v>SGS Equipment Installation</v>
      </c>
      <c r="B370" s="43">
        <f aca="true" t="shared" si="171" ref="B370:N370">IF(AND(B$359&gt;=$J247,B$359&lt;=$K247),$I247+$I248,0)</f>
        <v>0</v>
      </c>
      <c r="C370" s="43">
        <f t="shared" si="171"/>
        <v>0</v>
      </c>
      <c r="D370" s="43">
        <f t="shared" si="171"/>
        <v>0</v>
      </c>
      <c r="E370" s="43">
        <f t="shared" si="171"/>
        <v>0</v>
      </c>
      <c r="F370" s="43">
        <f t="shared" si="171"/>
        <v>0</v>
      </c>
      <c r="G370" s="43">
        <f t="shared" si="171"/>
        <v>0</v>
      </c>
      <c r="H370" s="43">
        <f t="shared" si="171"/>
        <v>0</v>
      </c>
      <c r="I370" s="43">
        <f t="shared" si="171"/>
        <v>0</v>
      </c>
      <c r="J370" s="43">
        <f t="shared" si="171"/>
        <v>0</v>
      </c>
      <c r="K370" s="43">
        <f t="shared" si="171"/>
        <v>0</v>
      </c>
      <c r="L370" s="43">
        <f t="shared" si="171"/>
        <v>0</v>
      </c>
      <c r="M370" s="43">
        <f t="shared" si="171"/>
        <v>43.8100109282929</v>
      </c>
      <c r="N370" s="43">
        <f t="shared" si="171"/>
        <v>43.8100109282929</v>
      </c>
    </row>
    <row r="371" spans="1:14" ht="12.75">
      <c r="A371" s="4" t="str">
        <f>A249</f>
        <v>VGS Demolition</v>
      </c>
      <c r="B371" s="43">
        <f aca="true" t="shared" si="172" ref="B371:N371">IF(AND(B$359&gt;=$J249,B$359&lt;=$K249),$I249+$I250,0)</f>
        <v>39.52213153074709</v>
      </c>
      <c r="C371" s="43">
        <f t="shared" si="172"/>
        <v>39.52213153074709</v>
      </c>
      <c r="D371" s="43">
        <f t="shared" si="172"/>
        <v>0</v>
      </c>
      <c r="E371" s="43">
        <f t="shared" si="172"/>
        <v>0</v>
      </c>
      <c r="F371" s="43">
        <f t="shared" si="172"/>
        <v>0</v>
      </c>
      <c r="G371" s="43">
        <f t="shared" si="172"/>
        <v>0</v>
      </c>
      <c r="H371" s="43">
        <f t="shared" si="172"/>
        <v>0</v>
      </c>
      <c r="I371" s="43">
        <f t="shared" si="172"/>
        <v>0</v>
      </c>
      <c r="J371" s="43">
        <f t="shared" si="172"/>
        <v>0</v>
      </c>
      <c r="K371" s="43">
        <f t="shared" si="172"/>
        <v>0</v>
      </c>
      <c r="L371" s="43">
        <f t="shared" si="172"/>
        <v>0</v>
      </c>
      <c r="M371" s="43">
        <f t="shared" si="172"/>
        <v>0</v>
      </c>
      <c r="N371" s="43">
        <f t="shared" si="172"/>
        <v>0</v>
      </c>
    </row>
    <row r="372" spans="1:14" ht="12.75">
      <c r="A372" s="4" t="str">
        <f>A251</f>
        <v>VGS Grading</v>
      </c>
      <c r="B372" s="43">
        <f aca="true" t="shared" si="173" ref="B372:N372">IF(AND(B$359&gt;=$J251,B$359&lt;=$K251),$I251+$I252,0)</f>
        <v>0</v>
      </c>
      <c r="C372" s="43">
        <f t="shared" si="173"/>
        <v>0</v>
      </c>
      <c r="D372" s="43">
        <f t="shared" si="173"/>
        <v>4.523556355303537</v>
      </c>
      <c r="E372" s="43">
        <f t="shared" si="173"/>
        <v>4.523556355303537</v>
      </c>
      <c r="F372" s="43">
        <f t="shared" si="173"/>
        <v>0</v>
      </c>
      <c r="G372" s="43">
        <f t="shared" si="173"/>
        <v>0</v>
      </c>
      <c r="H372" s="43">
        <f t="shared" si="173"/>
        <v>0</v>
      </c>
      <c r="I372" s="43">
        <f t="shared" si="173"/>
        <v>0</v>
      </c>
      <c r="J372" s="43">
        <f t="shared" si="173"/>
        <v>0</v>
      </c>
      <c r="K372" s="43">
        <f t="shared" si="173"/>
        <v>0</v>
      </c>
      <c r="L372" s="43">
        <f t="shared" si="173"/>
        <v>0</v>
      </c>
      <c r="M372" s="43">
        <f t="shared" si="173"/>
        <v>0</v>
      </c>
      <c r="N372" s="43">
        <f t="shared" si="173"/>
        <v>0</v>
      </c>
    </row>
    <row r="373" spans="1:14" ht="12.75">
      <c r="A373" s="4" t="str">
        <f>A253</f>
        <v>VGS Foundations </v>
      </c>
      <c r="B373" s="43">
        <f aca="true" t="shared" si="174" ref="B373:N373">IF(AND(B$359&gt;=$J253,B$359&lt;=$K253),$I253+$I254,0)</f>
        <v>0</v>
      </c>
      <c r="C373" s="43">
        <f t="shared" si="174"/>
        <v>0</v>
      </c>
      <c r="D373" s="43">
        <f t="shared" si="174"/>
        <v>0</v>
      </c>
      <c r="E373" s="43">
        <f t="shared" si="174"/>
        <v>0</v>
      </c>
      <c r="F373" s="43">
        <f t="shared" si="174"/>
        <v>71.6738579165405</v>
      </c>
      <c r="G373" s="43">
        <f t="shared" si="174"/>
        <v>71.6738579165405</v>
      </c>
      <c r="H373" s="43">
        <f t="shared" si="174"/>
        <v>71.6738579165405</v>
      </c>
      <c r="I373" s="43">
        <f t="shared" si="174"/>
        <v>71.6738579165405</v>
      </c>
      <c r="J373" s="43">
        <f t="shared" si="174"/>
        <v>71.6738579165405</v>
      </c>
      <c r="K373" s="43">
        <f t="shared" si="174"/>
        <v>0</v>
      </c>
      <c r="L373" s="43">
        <f t="shared" si="174"/>
        <v>0</v>
      </c>
      <c r="M373" s="43">
        <f t="shared" si="174"/>
        <v>0</v>
      </c>
      <c r="N373" s="43">
        <f t="shared" si="174"/>
        <v>0</v>
      </c>
    </row>
    <row r="374" spans="1:14" ht="12.75">
      <c r="A374" s="4" t="str">
        <f>A255</f>
        <v>VGS Paving</v>
      </c>
      <c r="B374" s="43">
        <f aca="true" t="shared" si="175" ref="B374:N374">IF(AND(B$359&gt;=$J255,B$359&lt;=$K255),$I255+$I256,0)</f>
        <v>0</v>
      </c>
      <c r="C374" s="43">
        <f t="shared" si="175"/>
        <v>0</v>
      </c>
      <c r="D374" s="43">
        <f t="shared" si="175"/>
        <v>0</v>
      </c>
      <c r="E374" s="43">
        <f t="shared" si="175"/>
        <v>0</v>
      </c>
      <c r="F374" s="43">
        <f t="shared" si="175"/>
        <v>0</v>
      </c>
      <c r="G374" s="43">
        <f t="shared" si="175"/>
        <v>0</v>
      </c>
      <c r="H374" s="43">
        <f t="shared" si="175"/>
        <v>0</v>
      </c>
      <c r="I374" s="43">
        <f t="shared" si="175"/>
        <v>23.57305388360019</v>
      </c>
      <c r="J374" s="43">
        <f t="shared" si="175"/>
        <v>23.57305388360019</v>
      </c>
      <c r="K374" s="43">
        <f t="shared" si="175"/>
        <v>23.57305388360019</v>
      </c>
      <c r="L374" s="43">
        <f t="shared" si="175"/>
        <v>0</v>
      </c>
      <c r="M374" s="43">
        <f t="shared" si="175"/>
        <v>0</v>
      </c>
      <c r="N374" s="43">
        <f t="shared" si="175"/>
        <v>0</v>
      </c>
    </row>
    <row r="375" spans="1:14" ht="12.75">
      <c r="A375" s="4" t="str">
        <f>A257</f>
        <v>VGS Equipment Installation</v>
      </c>
      <c r="B375" s="43">
        <f aca="true" t="shared" si="176" ref="B375:N375">IF(AND(B$359&gt;=$J257,B$359&lt;=$K257),$I257+$I258,0)</f>
        <v>0</v>
      </c>
      <c r="C375" s="43">
        <f t="shared" si="176"/>
        <v>0</v>
      </c>
      <c r="D375" s="43">
        <f t="shared" si="176"/>
        <v>0</v>
      </c>
      <c r="E375" s="43">
        <f t="shared" si="176"/>
        <v>0</v>
      </c>
      <c r="F375" s="43">
        <f t="shared" si="176"/>
        <v>0</v>
      </c>
      <c r="G375" s="43">
        <f t="shared" si="176"/>
        <v>0</v>
      </c>
      <c r="H375" s="43">
        <f t="shared" si="176"/>
        <v>0</v>
      </c>
      <c r="I375" s="43">
        <f t="shared" si="176"/>
        <v>0</v>
      </c>
      <c r="J375" s="43">
        <f t="shared" si="176"/>
        <v>0</v>
      </c>
      <c r="K375" s="43">
        <f t="shared" si="176"/>
        <v>0</v>
      </c>
      <c r="L375" s="43">
        <f t="shared" si="176"/>
        <v>0</v>
      </c>
      <c r="M375" s="43">
        <f t="shared" si="176"/>
        <v>42.70426631643057</v>
      </c>
      <c r="N375" s="43">
        <f t="shared" si="176"/>
        <v>42.70426631643057</v>
      </c>
    </row>
    <row r="376" spans="1:14" ht="12.75">
      <c r="A376" s="15" t="s">
        <v>24</v>
      </c>
      <c r="B376" s="44">
        <f aca="true" t="shared" si="177" ref="B376:N376">SUM(B360:B375)</f>
        <v>188.31359460661972</v>
      </c>
      <c r="C376" s="44">
        <f t="shared" si="177"/>
        <v>188.31359460661972</v>
      </c>
      <c r="D376" s="44">
        <f t="shared" si="177"/>
        <v>232.4964525193746</v>
      </c>
      <c r="E376" s="44">
        <f t="shared" si="177"/>
        <v>232.4964525193746</v>
      </c>
      <c r="F376" s="44">
        <f t="shared" si="177"/>
        <v>299.6467540806116</v>
      </c>
      <c r="G376" s="44">
        <f t="shared" si="177"/>
        <v>311.6378230884153</v>
      </c>
      <c r="H376" s="44">
        <f t="shared" si="177"/>
        <v>311.6378230884153</v>
      </c>
      <c r="I376" s="44">
        <f t="shared" si="177"/>
        <v>329.75264659790446</v>
      </c>
      <c r="J376" s="44">
        <f t="shared" si="177"/>
        <v>329.75264659790446</v>
      </c>
      <c r="K376" s="44">
        <f t="shared" si="177"/>
        <v>258.07878868136396</v>
      </c>
      <c r="L376" s="44">
        <f t="shared" si="177"/>
        <v>234.50573479776378</v>
      </c>
      <c r="M376" s="44">
        <f t="shared" si="177"/>
        <v>164.5302414009333</v>
      </c>
      <c r="N376" s="44">
        <f t="shared" si="177"/>
        <v>164.5302414009333</v>
      </c>
    </row>
    <row r="377" spans="1:14" ht="12.75">
      <c r="A377" s="39" t="s">
        <v>132</v>
      </c>
      <c r="B377" s="48"/>
      <c r="C377" s="49"/>
      <c r="D377" s="49"/>
      <c r="E377" s="49"/>
      <c r="F377" s="49"/>
      <c r="G377" s="49"/>
      <c r="H377" s="49"/>
      <c r="I377" s="49"/>
      <c r="J377" s="49"/>
      <c r="K377" s="49"/>
      <c r="L377" s="47"/>
      <c r="M377" s="47"/>
      <c r="N377" s="47"/>
    </row>
    <row r="378" spans="1:11" ht="12.75">
      <c r="A378" s="62" t="s">
        <v>276</v>
      </c>
      <c r="B378" s="48"/>
      <c r="C378" s="49"/>
      <c r="D378" s="49"/>
      <c r="E378" s="49"/>
      <c r="F378" s="49"/>
      <c r="G378" s="49"/>
      <c r="H378" s="49"/>
      <c r="I378" s="49"/>
      <c r="J378" s="49"/>
      <c r="K378" s="49"/>
    </row>
    <row r="379" spans="1:11" ht="12.75">
      <c r="A379" s="29"/>
      <c r="B379" s="48"/>
      <c r="C379" s="49"/>
      <c r="D379" s="49"/>
      <c r="E379" s="49"/>
      <c r="F379" s="49"/>
      <c r="G379" s="49"/>
      <c r="H379" s="49"/>
      <c r="I379" s="49"/>
      <c r="J379" s="49"/>
      <c r="K379" s="49"/>
    </row>
  </sheetData>
  <sheetProtection/>
  <mergeCells count="28">
    <mergeCell ref="A358:N358"/>
    <mergeCell ref="A357:N357"/>
    <mergeCell ref="A310:N310"/>
    <mergeCell ref="A309:N309"/>
    <mergeCell ref="A334:N334"/>
    <mergeCell ref="A333:N333"/>
    <mergeCell ref="A286:N286"/>
    <mergeCell ref="A285:N285"/>
    <mergeCell ref="A180:H180"/>
    <mergeCell ref="A179:H179"/>
    <mergeCell ref="A225:K225"/>
    <mergeCell ref="A224:K224"/>
    <mergeCell ref="A83:N83"/>
    <mergeCell ref="A108:N108"/>
    <mergeCell ref="A107:N107"/>
    <mergeCell ref="A262:N262"/>
    <mergeCell ref="A261:N261"/>
    <mergeCell ref="A132:N132"/>
    <mergeCell ref="A131:N131"/>
    <mergeCell ref="A156:N156"/>
    <mergeCell ref="A155:N155"/>
    <mergeCell ref="A84:N84"/>
    <mergeCell ref="A60:N60"/>
    <mergeCell ref="A59:N59"/>
    <mergeCell ref="A2:H2"/>
    <mergeCell ref="A1:H1"/>
    <mergeCell ref="A23:K23"/>
    <mergeCell ref="A22:K22"/>
  </mergeCells>
  <printOptions horizontalCentered="1"/>
  <pageMargins left="0.75" right="0.75" top="1" bottom="1" header="0.5" footer="0.5"/>
  <pageSetup fitToHeight="100" orientation="landscape" scale="76" r:id="rId1"/>
  <headerFooter alignWithMargins="0">
    <oddFooter>&amp;R&amp;D</oddFooter>
  </headerFooter>
  <rowBreaks count="9" manualBreakCount="9">
    <brk id="21" max="255" man="1"/>
    <brk id="58" max="255" man="1"/>
    <brk id="106" max="255" man="1"/>
    <brk id="154" max="255" man="1"/>
    <brk id="178" max="255" man="1"/>
    <brk id="223" max="255" man="1"/>
    <brk id="260" max="255" man="1"/>
    <brk id="308" max="255" man="1"/>
    <brk id="3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1"/>
  <dimension ref="A1:N116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7.57421875" style="0" bestFit="1" customWidth="1"/>
    <col min="2" max="2" width="8.7109375" style="0" customWidth="1"/>
    <col min="3" max="3" width="10.140625" style="0" customWidth="1"/>
    <col min="4" max="4" width="9.8515625" style="0" customWidth="1"/>
    <col min="6" max="6" width="10.003906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214</v>
      </c>
    </row>
    <row r="2" ht="12.75" hidden="1">
      <c r="A2" s="52">
        <v>15</v>
      </c>
    </row>
    <row r="3" spans="1:12" ht="12.75">
      <c r="A3" s="87" t="str">
        <f>"Table "&amp;A$2&amp;"-A"</f>
        <v>Table 15-A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SGS Foundations 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>
        <v>1</v>
      </c>
      <c r="C15" s="2">
        <v>16</v>
      </c>
      <c r="D15" s="2">
        <f>B15*C15</f>
        <v>16</v>
      </c>
      <c r="E15" s="2" t="s">
        <v>84</v>
      </c>
      <c r="F15" s="2" t="str">
        <f>IF(E15&lt;&gt;"N/A",B15*E15,"N/A")</f>
        <v>N/A</v>
      </c>
      <c r="G15" s="42">
        <f>$D15*VLOOKUP($A15,'Const. Equip. Emission Factors'!$A$5:$N$25,10,FALSE)</f>
        <v>14.136</v>
      </c>
      <c r="H15" s="42">
        <f>$D15*VLOOKUP($A15,'Const. Equip. Emission Factors'!$A$5:$N$25,11,FALSE)</f>
        <v>0.62</v>
      </c>
      <c r="I15" s="42">
        <f>$D15*VLOOKUP($A15,'Const. Equip. Emission Factors'!$A$5:$N$25,12,FALSE)</f>
        <v>0.2728</v>
      </c>
      <c r="J15" s="42">
        <f>$D15*VLOOKUP($A15,'Const. Equip. Emission Factors'!$A$5:$N$25,13,FALSE)</f>
        <v>0.0124</v>
      </c>
      <c r="K15" s="42">
        <f>$D15*VLOOKUP($A15,'Const. Equip. Emission Factors'!$A$5:$N$25,14,FALSE)</f>
        <v>0.00124</v>
      </c>
      <c r="L15" s="43">
        <f>VLOOKUP(A15,'Const. Equip. Emission Factors'!$A$5:$P$23,16,FALSE)*D15</f>
        <v>2.9759999999999995</v>
      </c>
    </row>
    <row r="16" spans="1:12" ht="12.75">
      <c r="A16" s="4" t="s">
        <v>289</v>
      </c>
      <c r="B16" s="2">
        <v>1</v>
      </c>
      <c r="C16" s="2">
        <v>16</v>
      </c>
      <c r="D16" s="2">
        <f>B16*C16</f>
        <v>16</v>
      </c>
      <c r="E16" s="2" t="s">
        <v>84</v>
      </c>
      <c r="F16" s="2" t="str">
        <f>IF(E16&lt;&gt;"N/A",B16*E16,"N/A")</f>
        <v>N/A</v>
      </c>
      <c r="G16" s="42">
        <f>$D16*VLOOKUP($A16,'Const. Equip. Emission Factors'!$A$5:$N$25,10,FALSE)</f>
        <v>6.5472</v>
      </c>
      <c r="H16" s="42">
        <f>$D16*VLOOKUP($A16,'Const. Equip. Emission Factors'!$A$5:$N$25,11,FALSE)</f>
        <v>0.98208</v>
      </c>
      <c r="I16" s="42">
        <f>$D16*VLOOKUP($A16,'Const. Equip. Emission Factors'!$A$5:$N$25,12,FALSE)</f>
        <v>7.85664</v>
      </c>
      <c r="J16" s="42">
        <f>$D16*VLOOKUP($A16,'Const. Equip. Emission Factors'!$A$5:$N$25,13,FALSE)</f>
        <v>0.6547200000000001</v>
      </c>
      <c r="K16" s="42">
        <f>$D16*VLOOKUP($A16,'Const. Equip. Emission Factors'!$A$5:$N$25,14,FALSE)</f>
        <v>0.49104</v>
      </c>
      <c r="L16" s="43">
        <f>VLOOKUP(A16,'Const. Equip. Emission Factors'!$A$5:$P$23,16,FALSE)*D16</f>
        <v>16.368000000000002</v>
      </c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42"/>
      <c r="H22" s="42"/>
      <c r="I22" s="42"/>
      <c r="J22" s="42"/>
      <c r="K22" s="42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30.8016</v>
      </c>
      <c r="H23" s="46">
        <f t="shared" si="0"/>
        <v>3.11984</v>
      </c>
      <c r="I23" s="46">
        <f t="shared" si="0"/>
        <v>20.27152</v>
      </c>
      <c r="J23" s="46">
        <f t="shared" si="0"/>
        <v>1.67896</v>
      </c>
      <c r="K23" s="46">
        <f t="shared" si="0"/>
        <v>1.25116</v>
      </c>
      <c r="L23" s="46">
        <f t="shared" si="0"/>
        <v>44.64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15-B</v>
      </c>
      <c r="B26" s="87"/>
      <c r="C26" s="87"/>
      <c r="D26" s="87"/>
    </row>
    <row r="27" spans="1:4" ht="12.75">
      <c r="A27" s="85" t="str">
        <f>A$1&amp;" Fugitive Dust Emissions (Pre-Mitigation)"</f>
        <v>SGS Foundations 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SUM(F6:F22)-F8+E54+E55+E56+E57</f>
        <v>8</v>
      </c>
      <c r="C31" s="2" t="s">
        <v>46</v>
      </c>
      <c r="D31" s="43">
        <f>B31*'Fug. Dust Emission Factors'!C50</f>
        <v>2.430216629344041</v>
      </c>
    </row>
    <row r="32" spans="1:4" ht="12.75">
      <c r="A32" s="4" t="s">
        <v>110</v>
      </c>
      <c r="B32" s="14">
        <f>E53</f>
        <v>10</v>
      </c>
      <c r="C32" s="2" t="s">
        <v>46</v>
      </c>
      <c r="D32" s="43">
        <f>B32*'Fug. Dust Emission Factors'!C65</f>
        <v>2.998254450547911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148</v>
      </c>
      <c r="B34" s="2">
        <f>B60</f>
        <v>0</v>
      </c>
      <c r="C34" s="2" t="s">
        <v>166</v>
      </c>
      <c r="D34" s="43">
        <f>B34*'Fug. Dust Emission Factors'!C129</f>
        <v>0</v>
      </c>
    </row>
    <row r="35" spans="1:4" ht="12.75">
      <c r="A35" s="15" t="s">
        <v>24</v>
      </c>
      <c r="B35" s="4"/>
      <c r="C35" s="4"/>
      <c r="D35" s="44">
        <f>SUM(D28:D34)</f>
        <v>5.428471079891953</v>
      </c>
    </row>
    <row r="36" ht="12.75">
      <c r="A36" s="39" t="s">
        <v>132</v>
      </c>
    </row>
    <row r="37" ht="12.75">
      <c r="A37" s="39"/>
    </row>
    <row r="38" spans="1:6" ht="12.75">
      <c r="A38" s="87" t="str">
        <f>"Table "&amp;A$2&amp;"-C"</f>
        <v>Table 15-C</v>
      </c>
      <c r="B38" s="87"/>
      <c r="C38" s="87"/>
      <c r="D38" s="87"/>
      <c r="E38" s="87"/>
      <c r="F38" s="87"/>
    </row>
    <row r="39" spans="1:6" ht="12.75">
      <c r="A39" s="85" t="str">
        <f>A$1&amp;" Asphaltic Paving Emissions (Pre-Mitigation)"</f>
        <v>SGS Foundations  Asphaltic Paving Emissions (Pre-Mitigation)</v>
      </c>
      <c r="B39" s="85"/>
      <c r="C39" s="85"/>
      <c r="D39" s="85"/>
      <c r="E39" s="85"/>
      <c r="F39" s="85"/>
    </row>
    <row r="40" spans="1:6" ht="12.75">
      <c r="A40" s="4" t="s">
        <v>88</v>
      </c>
      <c r="B40" s="2">
        <v>0</v>
      </c>
      <c r="C40" s="33"/>
      <c r="D40" s="31"/>
      <c r="E40" s="31"/>
      <c r="F40" s="32"/>
    </row>
    <row r="41" spans="1:6" ht="12.75">
      <c r="A41" s="4" t="s">
        <v>89</v>
      </c>
      <c r="B41" s="2">
        <v>2.62</v>
      </c>
      <c r="C41" s="33" t="s">
        <v>90</v>
      </c>
      <c r="D41" s="31"/>
      <c r="E41" s="31"/>
      <c r="F41" s="32"/>
    </row>
    <row r="42" spans="1:6" ht="12.75">
      <c r="A42" s="15" t="s">
        <v>92</v>
      </c>
      <c r="B42" s="44">
        <f>B41*B40</f>
        <v>0</v>
      </c>
      <c r="C42" s="33"/>
      <c r="D42" s="31"/>
      <c r="E42" s="31"/>
      <c r="F42" s="32"/>
    </row>
    <row r="44" spans="1:7" ht="12.75">
      <c r="A44" s="87" t="str">
        <f>"Table "&amp;A$2&amp;"-D"</f>
        <v>Table 15-D</v>
      </c>
      <c r="B44" s="87"/>
      <c r="C44" s="87"/>
      <c r="D44" s="87"/>
      <c r="E44" s="87"/>
      <c r="F44" s="87"/>
      <c r="G44" s="87"/>
    </row>
    <row r="45" spans="1:7" ht="12.75">
      <c r="A45" s="85" t="str">
        <f>A$1&amp;" Architectural Coating Emissions (Pre-Mitigation)"</f>
        <v>SGS Foundations  Architectural Coating Emissions (Pre-Mitigation)</v>
      </c>
      <c r="B45" s="85"/>
      <c r="C45" s="85"/>
      <c r="D45" s="85"/>
      <c r="E45" s="85"/>
      <c r="F45" s="85"/>
      <c r="G45" s="85"/>
    </row>
    <row r="46" spans="1:7" ht="12.75">
      <c r="A46" s="4" t="s">
        <v>91</v>
      </c>
      <c r="B46" s="2">
        <v>0</v>
      </c>
      <c r="C46" s="33"/>
      <c r="D46" s="31"/>
      <c r="E46" s="31"/>
      <c r="F46" s="31"/>
      <c r="G46" s="32"/>
    </row>
    <row r="47" spans="1:7" ht="12.75">
      <c r="A47" s="4" t="s">
        <v>93</v>
      </c>
      <c r="B47" s="2">
        <v>3.5</v>
      </c>
      <c r="C47" s="33" t="s">
        <v>277</v>
      </c>
      <c r="D47" s="31"/>
      <c r="E47" s="31"/>
      <c r="F47" s="31"/>
      <c r="G47" s="32"/>
    </row>
    <row r="48" spans="1:7" ht="12.75">
      <c r="A48" s="15" t="s">
        <v>92</v>
      </c>
      <c r="B48" s="44">
        <f>B47*B46</f>
        <v>0</v>
      </c>
      <c r="C48" s="33"/>
      <c r="D48" s="31"/>
      <c r="E48" s="31"/>
      <c r="F48" s="31"/>
      <c r="G48" s="32"/>
    </row>
    <row r="50" spans="1:12" ht="12.75">
      <c r="A50" s="87" t="str">
        <f>"Table "&amp;A$2&amp;"-E"</f>
        <v>Table 15-E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85" t="str">
        <f>A$1&amp;" Motor Vehicle Emissions (Pre-Mitigation)"</f>
        <v>SGS Foundations  Motor Vehicle Emissions (Pre-Mitigation)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42">
      <c r="A52" s="9" t="s">
        <v>0</v>
      </c>
      <c r="B52" s="9" t="s">
        <v>202</v>
      </c>
      <c r="C52" s="9" t="s">
        <v>203</v>
      </c>
      <c r="D52" s="9" t="s">
        <v>204</v>
      </c>
      <c r="E52" s="9" t="s">
        <v>198</v>
      </c>
      <c r="F52" s="9" t="s">
        <v>205</v>
      </c>
      <c r="G52" s="9" t="s">
        <v>193</v>
      </c>
      <c r="H52" s="9" t="s">
        <v>206</v>
      </c>
      <c r="I52" s="9" t="s">
        <v>207</v>
      </c>
      <c r="J52" s="9" t="s">
        <v>208</v>
      </c>
      <c r="K52" s="9" t="s">
        <v>209</v>
      </c>
      <c r="L52" s="3" t="s">
        <v>210</v>
      </c>
    </row>
    <row r="53" spans="1:12" ht="12.75">
      <c r="A53" s="4" t="s">
        <v>104</v>
      </c>
      <c r="B53" s="2">
        <v>1</v>
      </c>
      <c r="C53" s="2">
        <v>10</v>
      </c>
      <c r="D53" s="2">
        <v>1</v>
      </c>
      <c r="E53" s="14">
        <f>B53*C53</f>
        <v>10</v>
      </c>
      <c r="F53" s="14">
        <f>B53*D53</f>
        <v>1</v>
      </c>
      <c r="G53" s="42">
        <f>(E53*VLOOKUP(A53,'Motor Vehicle Emission Factors'!$A$6:$T$42,7,FALSE)+F53*VLOOKUP(A53,'Motor Vehicle Emission Factors'!$A$6:$T$42,8,FALSE))/453.6</f>
        <v>0.20886243386243386</v>
      </c>
      <c r="H53" s="42">
        <f>(E53*VLOOKUP(A53,'Motor Vehicle Emission Factors'!$A$6:$T$42,9,FALSE)+F53*VLOOKUP(A53,'Motor Vehicle Emission Factors'!$A$6:$T$42,10,FALSE)+F53*VLOOKUP(A53,'Motor Vehicle Emission Factors'!$A$6:$T$42,11,FALSE)+B53*12*VLOOKUP(A53,'Motor Vehicle Emission Factors'!$A$6:$T$42,12,FALSE)+E53*VLOOKUP(A53,'Motor Vehicle Emission Factors'!$A$6:$T$42,13,FALSE)+B53*12*VLOOKUP(A53,'Motor Vehicle Emission Factors'!$A$6:$T$42,14,FALSE))/453.6</f>
        <v>0.042614638447971774</v>
      </c>
      <c r="I53" s="42">
        <f>(E53*VLOOKUP(A53,'Motor Vehicle Emission Factors'!$A$6:$T$42,15,FALSE)+F53*VLOOKUP(A53,'Motor Vehicle Emission Factors'!$A$6:$T$42,16,FALSE))/453.6</f>
        <v>0.03584656084656085</v>
      </c>
      <c r="J53" s="42">
        <f>E53*VLOOKUP(A53,'Motor Vehicle Emission Factors'!$A$6:$T$42,17,FALSE)/453.6</f>
        <v>0</v>
      </c>
      <c r="K53" s="42">
        <f>E53*(VLOOKUP(A53,'Motor Vehicle Emission Factors'!$A$6:$T$42,18,FALSE)+VLOOKUP(A53,'Motor Vehicle Emission Factors'!$A$6:$T$42,19,FALSE)+VLOOKUP(A53,'Motor Vehicle Emission Factors'!$A$6:$T$42,20,FALSE))/453.6</f>
        <v>0.0002204585537918871</v>
      </c>
      <c r="L53" s="42">
        <f>J53+K53</f>
        <v>0.0002204585537918871</v>
      </c>
    </row>
    <row r="54" spans="1:12" ht="12.75">
      <c r="A54" s="4" t="s">
        <v>52</v>
      </c>
      <c r="B54" s="2"/>
      <c r="C54" s="2"/>
      <c r="D54" s="2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4" t="s">
        <v>130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118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116</v>
      </c>
      <c r="B57" s="2">
        <v>8</v>
      </c>
      <c r="C57" s="2">
        <v>1</v>
      </c>
      <c r="D57" s="2">
        <v>8</v>
      </c>
      <c r="E57" s="14">
        <f>B57*C57</f>
        <v>8</v>
      </c>
      <c r="F57" s="14">
        <f>B57*D57</f>
        <v>64</v>
      </c>
      <c r="G57" s="42">
        <f>(E57*VLOOKUP(A57,'Motor Vehicle Emission Factors'!$A$6:$T$42,7,FALSE)+F57*VLOOKUP(A57,'Motor Vehicle Emission Factors'!$A$6:$T$42,8,FALSE))/453.6</f>
        <v>0.5925925925925926</v>
      </c>
      <c r="H57" s="42">
        <f>(E57*VLOOKUP(A57,'Motor Vehicle Emission Factors'!$A$6:$T$42,9,FALSE)+F57*VLOOKUP(A57,'Motor Vehicle Emission Factors'!$A$6:$T$42,10,FALSE)+F57*VLOOKUP(A57,'Motor Vehicle Emission Factors'!$A$6:$T$42,11,FALSE)+B57*12*VLOOKUP(A57,'Motor Vehicle Emission Factors'!$A$6:$T$42,12,FALSE)+E57*VLOOKUP(A57,'Motor Vehicle Emission Factors'!$A$6:$T$42,13,FALSE)+B57*12*VLOOKUP(A57,'Motor Vehicle Emission Factors'!$A$6:$T$42,14,FALSE))/453.6</f>
        <v>0.06155202821869488</v>
      </c>
      <c r="I57" s="42">
        <f>(E57*VLOOKUP(A57,'Motor Vehicle Emission Factors'!$A$6:$T$42,15,FALSE)+F57*VLOOKUP(A57,'Motor Vehicle Emission Factors'!$A$6:$T$42,16,FALSE))/453.6</f>
        <v>0.2783068783068783</v>
      </c>
      <c r="J57" s="42">
        <f>E57*VLOOKUP(A57,'Motor Vehicle Emission Factors'!$A$6:$T$42,17,FALSE)/453.6</f>
        <v>0.010405643738977071</v>
      </c>
      <c r="K57" s="42">
        <f>E57*(VLOOKUP(A57,'Motor Vehicle Emission Factors'!$A$6:$T$42,18,FALSE)+VLOOKUP(A57,'Motor Vehicle Emission Factors'!$A$6:$T$42,19,FALSE)+VLOOKUP(A57,'Motor Vehicle Emission Factors'!$A$6:$T$42,20,FALSE))/453.6</f>
        <v>0.00017636684303350968</v>
      </c>
      <c r="L57" s="42">
        <f>J57+K57</f>
        <v>0.010582010582010581</v>
      </c>
    </row>
    <row r="58" spans="1:12" ht="12.75">
      <c r="A58" s="4" t="s">
        <v>105</v>
      </c>
      <c r="B58" s="2">
        <v>13</v>
      </c>
      <c r="C58" s="2">
        <v>40</v>
      </c>
      <c r="D58" s="2">
        <v>2</v>
      </c>
      <c r="E58" s="14">
        <f>B58*C58</f>
        <v>520</v>
      </c>
      <c r="F58" s="14">
        <f>B58*D58</f>
        <v>26</v>
      </c>
      <c r="G58" s="42">
        <f>(E58*VLOOKUP(A58,'Motor Vehicle Emission Factors'!$A$6:$T$42,7,FALSE)+F58*VLOOKUP(A58,'Motor Vehicle Emission Factors'!$A$6:$T$42,8,FALSE))/453.6</f>
        <v>6.291358024691358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0.8225308641975309</v>
      </c>
      <c r="I58" s="42">
        <f>(E58*VLOOKUP(A58,'Motor Vehicle Emission Factors'!$A$6:$T$42,15,FALSE)+F58*VLOOKUP(A58,'Motor Vehicle Emission Factors'!$A$6:$T$42,16,FALSE))/453.6</f>
        <v>0.9096560846560846</v>
      </c>
      <c r="J58" s="42">
        <f>E58*VLOOKUP(A58,'Motor Vehicle Emission Factors'!$A$6:$T$42,17,FALSE)/453.6</f>
        <v>0</v>
      </c>
      <c r="K58" s="42">
        <f>E58*(VLOOKUP(A58,'Motor Vehicle Emission Factors'!$A$6:$T$42,18,FALSE)+VLOOKUP(A58,'Motor Vehicle Emission Factors'!$A$6:$T$42,19,FALSE)+VLOOKUP(A58,'Motor Vehicle Emission Factors'!$A$6:$T$42,20,FALSE))/453.6</f>
        <v>0.6449199056815766</v>
      </c>
      <c r="L58" s="42">
        <f>J58+K58</f>
        <v>0.6449199056815766</v>
      </c>
    </row>
    <row r="59" spans="1:12" ht="12.75">
      <c r="A59" s="4" t="s">
        <v>129</v>
      </c>
      <c r="B59" s="2">
        <v>8</v>
      </c>
      <c r="C59" s="2">
        <v>40</v>
      </c>
      <c r="D59" s="2">
        <v>2</v>
      </c>
      <c r="E59" s="14">
        <f>B59*C59</f>
        <v>320</v>
      </c>
      <c r="F59" s="14">
        <f>B59*D59</f>
        <v>16</v>
      </c>
      <c r="G59" s="42">
        <f>(E59*VLOOKUP(A59,'Motor Vehicle Emission Factors'!$A$6:$T$42,7,FALSE)+F59*VLOOKUP(A59,'Motor Vehicle Emission Factors'!$A$6:$T$42,8,FALSE))/453.6</f>
        <v>7.040564373897707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1.0652557319223985</v>
      </c>
      <c r="I59" s="42">
        <f>(E59*VLOOKUP(A59,'Motor Vehicle Emission Factors'!$A$6:$T$42,15,FALSE)+F59*VLOOKUP(A59,'Motor Vehicle Emission Factors'!$A$6:$T$42,16,FALSE))/453.6</f>
        <v>6.525573192239858</v>
      </c>
      <c r="J59" s="42">
        <f>E59*VLOOKUP(A59,'Motor Vehicle Emission Factors'!$A$6:$T$42,17,FALSE)/453.6</f>
        <v>0.4162257495590828</v>
      </c>
      <c r="K59" s="42">
        <f>E59*(VLOOKUP(A59,'Motor Vehicle Emission Factors'!$A$6:$T$42,18,FALSE)+VLOOKUP(A59,'Motor Vehicle Emission Factors'!$A$6:$T$42,19,FALSE)+VLOOKUP(A59,'Motor Vehicle Emission Factors'!$A$6:$T$42,20,FALSE))/453.6</f>
        <v>18.67071500107704</v>
      </c>
      <c r="L59" s="42">
        <f>J59+K59</f>
        <v>19.08694075063612</v>
      </c>
    </row>
    <row r="60" spans="1:12" ht="12.75">
      <c r="A60" s="4" t="s">
        <v>128</v>
      </c>
      <c r="B60" s="2"/>
      <c r="C60" s="2"/>
      <c r="D60" s="2"/>
      <c r="E60" s="14"/>
      <c r="F60" s="14"/>
      <c r="G60" s="14"/>
      <c r="H60" s="14"/>
      <c r="I60" s="14"/>
      <c r="J60" s="14"/>
      <c r="K60" s="14"/>
      <c r="L60" s="14"/>
    </row>
    <row r="61" spans="1:14" ht="12.75">
      <c r="A61" s="15" t="s">
        <v>24</v>
      </c>
      <c r="B61" s="4"/>
      <c r="C61" s="4"/>
      <c r="D61" s="4"/>
      <c r="E61" s="4"/>
      <c r="F61" s="4"/>
      <c r="G61" s="46">
        <f aca="true" t="shared" si="1" ref="G61:L61">SUM(G53:G60)</f>
        <v>14.133377425044092</v>
      </c>
      <c r="H61" s="46">
        <f t="shared" si="1"/>
        <v>1.9919532627865961</v>
      </c>
      <c r="I61" s="46">
        <f t="shared" si="1"/>
        <v>7.749382716049382</v>
      </c>
      <c r="J61" s="46">
        <f t="shared" si="1"/>
        <v>0.4266313932980599</v>
      </c>
      <c r="K61" s="46">
        <f t="shared" si="1"/>
        <v>19.31603173215544</v>
      </c>
      <c r="L61" s="46">
        <f t="shared" si="1"/>
        <v>19.7426631254535</v>
      </c>
      <c r="M61" s="71">
        <f>E53+E58</f>
        <v>530</v>
      </c>
      <c r="N61" s="71">
        <f>SUM(E53:E60)-M61</f>
        <v>328</v>
      </c>
    </row>
    <row r="62" ht="12.75">
      <c r="A62" s="13" t="s">
        <v>25</v>
      </c>
    </row>
    <row r="63" ht="12.75">
      <c r="A63" s="39" t="s">
        <v>132</v>
      </c>
    </row>
    <row r="65" spans="1:8" ht="12.75">
      <c r="A65" s="87" t="str">
        <f>"Table "&amp;A$2&amp;"-F"</f>
        <v>Table 15-F</v>
      </c>
      <c r="B65" s="87"/>
      <c r="C65" s="87"/>
      <c r="D65" s="87"/>
      <c r="E65" s="87"/>
      <c r="F65" s="87"/>
      <c r="G65" s="87"/>
      <c r="H65" s="87"/>
    </row>
    <row r="66" spans="1:8" ht="12.75">
      <c r="A66" s="85" t="str">
        <f>+A$1&amp;" Emissions Summary (Pre-mitigation)"</f>
        <v>SGS Foundations  Emissions Summary (Pre-mitigation)</v>
      </c>
      <c r="B66" s="85"/>
      <c r="C66" s="85"/>
      <c r="D66" s="85"/>
      <c r="E66" s="85"/>
      <c r="F66" s="85"/>
      <c r="G66" s="85"/>
      <c r="H66" s="85"/>
    </row>
    <row r="67" spans="1:8" ht="42">
      <c r="A67" s="2" t="s">
        <v>131</v>
      </c>
      <c r="B67" s="3" t="s">
        <v>193</v>
      </c>
      <c r="C67" s="3" t="s">
        <v>194</v>
      </c>
      <c r="D67" s="3" t="s">
        <v>199</v>
      </c>
      <c r="E67" s="3" t="s">
        <v>200</v>
      </c>
      <c r="F67" s="9" t="s">
        <v>208</v>
      </c>
      <c r="G67" s="9" t="s">
        <v>209</v>
      </c>
      <c r="H67" s="9" t="s">
        <v>210</v>
      </c>
    </row>
    <row r="68" spans="1:8" ht="12.75">
      <c r="A68" s="51" t="s">
        <v>94</v>
      </c>
      <c r="B68" s="43">
        <f>G23</f>
        <v>30.8016</v>
      </c>
      <c r="C68" s="43">
        <f>H23</f>
        <v>3.11984</v>
      </c>
      <c r="D68" s="43">
        <f>I23</f>
        <v>20.27152</v>
      </c>
      <c r="E68" s="43">
        <f>J23</f>
        <v>1.67896</v>
      </c>
      <c r="F68" s="43">
        <f>K23</f>
        <v>1.25116</v>
      </c>
      <c r="G68" s="43"/>
      <c r="H68" s="43">
        <f aca="true" t="shared" si="2" ref="H68:H76">F68+G68</f>
        <v>1.25116</v>
      </c>
    </row>
    <row r="69" spans="1:8" ht="12.75">
      <c r="A69" s="51" t="s">
        <v>127</v>
      </c>
      <c r="B69" s="43">
        <f>SUM(G53:G57)</f>
        <v>0.8014550264550264</v>
      </c>
      <c r="C69" s="43">
        <f>SUM(H53:H57)</f>
        <v>0.10416666666666666</v>
      </c>
      <c r="D69" s="43">
        <f>SUM(I53:I57)</f>
        <v>0.31415343915343913</v>
      </c>
      <c r="E69" s="43">
        <v>0</v>
      </c>
      <c r="F69" s="43">
        <f>SUM(J53:J57)</f>
        <v>0.010405643738977071</v>
      </c>
      <c r="G69" s="43"/>
      <c r="H69" s="43">
        <f t="shared" si="2"/>
        <v>0.010405643738977071</v>
      </c>
    </row>
    <row r="70" spans="1:8" ht="12.75">
      <c r="A70" s="51" t="s">
        <v>95</v>
      </c>
      <c r="B70" s="43"/>
      <c r="C70" s="43"/>
      <c r="D70" s="43"/>
      <c r="E70" s="43"/>
      <c r="F70" s="43"/>
      <c r="G70" s="43">
        <f>D35-D34</f>
        <v>5.428471079891953</v>
      </c>
      <c r="H70" s="43">
        <f t="shared" si="2"/>
        <v>5.428471079891953</v>
      </c>
    </row>
    <row r="71" spans="1:8" ht="12.75">
      <c r="A71" s="51" t="s">
        <v>96</v>
      </c>
      <c r="B71" s="43"/>
      <c r="C71" s="43">
        <f>B42</f>
        <v>0</v>
      </c>
      <c r="D71" s="43"/>
      <c r="E71" s="43"/>
      <c r="F71" s="43"/>
      <c r="G71" s="43"/>
      <c r="H71" s="43">
        <f t="shared" si="2"/>
        <v>0</v>
      </c>
    </row>
    <row r="72" spans="1:8" ht="12.75">
      <c r="A72" s="51" t="s">
        <v>97</v>
      </c>
      <c r="B72" s="43"/>
      <c r="C72" s="43">
        <f>B48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15" t="s">
        <v>98</v>
      </c>
      <c r="B73" s="44">
        <f aca="true" t="shared" si="3" ref="B73:G73">SUM(B68:B72)</f>
        <v>31.603055026455028</v>
      </c>
      <c r="C73" s="44">
        <f t="shared" si="3"/>
        <v>3.2240066666666665</v>
      </c>
      <c r="D73" s="44">
        <f t="shared" si="3"/>
        <v>20.58567343915344</v>
      </c>
      <c r="E73" s="44">
        <f t="shared" si="3"/>
        <v>1.67896</v>
      </c>
      <c r="F73" s="44">
        <f t="shared" si="3"/>
        <v>1.261565643738977</v>
      </c>
      <c r="G73" s="44">
        <f t="shared" si="3"/>
        <v>5.428471079891953</v>
      </c>
      <c r="H73" s="44">
        <f t="shared" si="2"/>
        <v>6.6900367236309295</v>
      </c>
    </row>
    <row r="74" spans="1:8" ht="12.75">
      <c r="A74" s="51" t="s">
        <v>167</v>
      </c>
      <c r="B74" s="45"/>
      <c r="C74" s="45"/>
      <c r="D74" s="45"/>
      <c r="E74" s="45"/>
      <c r="F74" s="45"/>
      <c r="G74" s="45">
        <f>D34</f>
        <v>0</v>
      </c>
      <c r="H74" s="45">
        <f t="shared" si="2"/>
        <v>0</v>
      </c>
    </row>
    <row r="75" spans="1:8" ht="12.75">
      <c r="A75" s="51" t="s">
        <v>99</v>
      </c>
      <c r="B75" s="45">
        <f>SUM(G58:G60)</f>
        <v>13.331922398589064</v>
      </c>
      <c r="C75" s="45">
        <f>SUM(H58:H60)</f>
        <v>1.8877865961199294</v>
      </c>
      <c r="D75" s="45">
        <f>SUM(I58:I60)</f>
        <v>7.435229276895943</v>
      </c>
      <c r="E75" s="45">
        <v>0</v>
      </c>
      <c r="F75" s="45">
        <f>SUM(J58:J60)</f>
        <v>0.4162257495590828</v>
      </c>
      <c r="G75" s="45">
        <f>SUM(K58:K60)</f>
        <v>19.315634906758614</v>
      </c>
      <c r="H75" s="45">
        <f t="shared" si="2"/>
        <v>19.731860656317696</v>
      </c>
    </row>
    <row r="76" spans="1:8" ht="12.75">
      <c r="A76" s="15" t="s">
        <v>168</v>
      </c>
      <c r="B76" s="44">
        <f aca="true" t="shared" si="4" ref="B76:G76">SUM(B74:B75)</f>
        <v>13.331922398589064</v>
      </c>
      <c r="C76" s="44">
        <f t="shared" si="4"/>
        <v>1.8877865961199294</v>
      </c>
      <c r="D76" s="44">
        <f t="shared" si="4"/>
        <v>7.435229276895943</v>
      </c>
      <c r="E76" s="44">
        <f t="shared" si="4"/>
        <v>0</v>
      </c>
      <c r="F76" s="44">
        <f t="shared" si="4"/>
        <v>0.4162257495590828</v>
      </c>
      <c r="G76" s="44">
        <f t="shared" si="4"/>
        <v>19.315634906758614</v>
      </c>
      <c r="H76" s="44">
        <f t="shared" si="2"/>
        <v>19.731860656317696</v>
      </c>
    </row>
    <row r="77" spans="1:8" ht="12.75">
      <c r="A77" s="15" t="s">
        <v>24</v>
      </c>
      <c r="B77" s="44">
        <f aca="true" t="shared" si="5" ref="B77:H77">B73+B76</f>
        <v>44.934977425044096</v>
      </c>
      <c r="C77" s="44">
        <f t="shared" si="5"/>
        <v>5.111793262786596</v>
      </c>
      <c r="D77" s="44">
        <f t="shared" si="5"/>
        <v>28.02090271604938</v>
      </c>
      <c r="E77" s="44">
        <f t="shared" si="5"/>
        <v>1.67896</v>
      </c>
      <c r="F77" s="44">
        <f t="shared" si="5"/>
        <v>1.67779139329806</v>
      </c>
      <c r="G77" s="44">
        <f t="shared" si="5"/>
        <v>24.744105986650567</v>
      </c>
      <c r="H77" s="44">
        <f t="shared" si="5"/>
        <v>26.421897379948625</v>
      </c>
    </row>
    <row r="78" ht="12.75">
      <c r="A78" s="39" t="s">
        <v>132</v>
      </c>
    </row>
    <row r="79" ht="12.75">
      <c r="A79" s="39"/>
    </row>
    <row r="81" spans="1:8" ht="12.75">
      <c r="A81" s="87" t="str">
        <f>"Table "&amp;A$2&amp;"-G"</f>
        <v>Table 15-G</v>
      </c>
      <c r="B81" s="87"/>
      <c r="C81" s="87"/>
      <c r="D81" s="87"/>
      <c r="E81" s="87"/>
      <c r="F81" s="87"/>
      <c r="G81" s="87"/>
      <c r="H81" s="87"/>
    </row>
    <row r="82" spans="1:8" ht="12.75">
      <c r="A82" s="87" t="str">
        <f>A$1&amp;" Emissions Summary (Mitigated)"</f>
        <v>SGS Foundations  Emissions Summary (Mitigated)</v>
      </c>
      <c r="B82" s="87"/>
      <c r="C82" s="87"/>
      <c r="D82" s="87"/>
      <c r="E82" s="87"/>
      <c r="F82" s="87"/>
      <c r="G82" s="87"/>
      <c r="H82" s="87"/>
    </row>
    <row r="83" spans="1:8" ht="42">
      <c r="A83" s="2" t="s">
        <v>131</v>
      </c>
      <c r="B83" s="3" t="s">
        <v>193</v>
      </c>
      <c r="C83" s="3" t="s">
        <v>194</v>
      </c>
      <c r="D83" s="3" t="s">
        <v>199</v>
      </c>
      <c r="E83" s="3" t="s">
        <v>200</v>
      </c>
      <c r="F83" s="3" t="s">
        <v>208</v>
      </c>
      <c r="G83" s="3" t="s">
        <v>209</v>
      </c>
      <c r="H83" s="3" t="s">
        <v>210</v>
      </c>
    </row>
    <row r="84" spans="1:8" ht="12.75">
      <c r="A84" s="15" t="s">
        <v>94</v>
      </c>
      <c r="B84" s="43">
        <f>B68</f>
        <v>30.8016</v>
      </c>
      <c r="C84" s="43">
        <f>C68</f>
        <v>3.11984</v>
      </c>
      <c r="D84" s="43">
        <f>D68</f>
        <v>20.27152</v>
      </c>
      <c r="E84" s="43">
        <f>E68</f>
        <v>1.67896</v>
      </c>
      <c r="F84" s="43">
        <f>F68</f>
        <v>1.25116</v>
      </c>
      <c r="G84" s="43"/>
      <c r="H84" s="43">
        <f>F84+G84</f>
        <v>1.25116</v>
      </c>
    </row>
    <row r="85" spans="1:8" ht="12.75">
      <c r="A85" s="4" t="s">
        <v>123</v>
      </c>
      <c r="B85" s="40">
        <v>0</v>
      </c>
      <c r="C85" s="40">
        <v>0.05</v>
      </c>
      <c r="D85" s="40">
        <v>0.05</v>
      </c>
      <c r="E85" s="40">
        <v>0.05</v>
      </c>
      <c r="F85" s="40">
        <v>0.05</v>
      </c>
      <c r="G85" s="40"/>
      <c r="H85" s="43"/>
    </row>
    <row r="86" spans="1:8" ht="12.75">
      <c r="A86" s="4" t="s">
        <v>124</v>
      </c>
      <c r="B86" s="43">
        <f>-B85*B84</f>
        <v>0</v>
      </c>
      <c r="C86" s="43">
        <f>-C85*C84</f>
        <v>-0.15599200000000002</v>
      </c>
      <c r="D86" s="43">
        <f>-D85*D84</f>
        <v>-1.013576</v>
      </c>
      <c r="E86" s="43">
        <f>-E85*E84</f>
        <v>-0.08394800000000001</v>
      </c>
      <c r="F86" s="43">
        <f>-F85*F84</f>
        <v>-0.062558</v>
      </c>
      <c r="G86" s="43"/>
      <c r="H86" s="43">
        <f>F86+G86</f>
        <v>-0.062558</v>
      </c>
    </row>
    <row r="87" spans="1:8" ht="12.75">
      <c r="A87" s="15" t="s">
        <v>125</v>
      </c>
      <c r="B87" s="44">
        <f>B84+B86</f>
        <v>30.8016</v>
      </c>
      <c r="C87" s="44">
        <f>C84+C86</f>
        <v>2.963848</v>
      </c>
      <c r="D87" s="44">
        <f>D84+D86</f>
        <v>19.257944</v>
      </c>
      <c r="E87" s="44">
        <f>E84+E86</f>
        <v>1.595012</v>
      </c>
      <c r="F87" s="44">
        <f>F84+F86</f>
        <v>1.188602</v>
      </c>
      <c r="G87" s="44"/>
      <c r="H87" s="44">
        <f>F87+G87</f>
        <v>1.188602</v>
      </c>
    </row>
    <row r="88" spans="1:8" ht="12.75">
      <c r="A88" s="15" t="s">
        <v>127</v>
      </c>
      <c r="B88" s="45">
        <f>B69</f>
        <v>0.8014550264550264</v>
      </c>
      <c r="C88" s="45">
        <f>C69</f>
        <v>0.10416666666666666</v>
      </c>
      <c r="D88" s="45">
        <f>D69</f>
        <v>0.31415343915343913</v>
      </c>
      <c r="E88" s="45">
        <f>E69</f>
        <v>0</v>
      </c>
      <c r="F88" s="45">
        <f>F69</f>
        <v>0.010405643738977071</v>
      </c>
      <c r="G88" s="45"/>
      <c r="H88" s="43">
        <f>F88+G88</f>
        <v>0.010405643738977071</v>
      </c>
    </row>
    <row r="89" spans="1:8" ht="12.75">
      <c r="A89" s="4" t="s">
        <v>123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/>
      <c r="H89" s="44"/>
    </row>
    <row r="90" spans="1:8" ht="12.75">
      <c r="A90" s="4" t="s">
        <v>124</v>
      </c>
      <c r="B90" s="43">
        <f>-B89*B88</f>
        <v>0</v>
      </c>
      <c r="C90" s="43">
        <f>-C89*C88</f>
        <v>0</v>
      </c>
      <c r="D90" s="43">
        <f>-D89*D88</f>
        <v>0</v>
      </c>
      <c r="E90" s="43">
        <f>-E89*E88</f>
        <v>0</v>
      </c>
      <c r="F90" s="43">
        <f>-F89*F88</f>
        <v>0</v>
      </c>
      <c r="G90" s="43"/>
      <c r="H90" s="43">
        <f>F90+G90</f>
        <v>0</v>
      </c>
    </row>
    <row r="91" spans="1:8" ht="12.75">
      <c r="A91" s="15" t="s">
        <v>125</v>
      </c>
      <c r="B91" s="44">
        <f>B88+B90</f>
        <v>0.8014550264550264</v>
      </c>
      <c r="C91" s="44">
        <f>C88+C90</f>
        <v>0.10416666666666666</v>
      </c>
      <c r="D91" s="44">
        <f>D88+D90</f>
        <v>0.31415343915343913</v>
      </c>
      <c r="E91" s="44">
        <f>E88+E90</f>
        <v>0</v>
      </c>
      <c r="F91" s="44">
        <f>F88+F90</f>
        <v>0.010405643738977071</v>
      </c>
      <c r="G91" s="44"/>
      <c r="H91" s="44">
        <f>F91+G91</f>
        <v>0.010405643738977071</v>
      </c>
    </row>
    <row r="92" spans="1:8" ht="12.75">
      <c r="A92" s="15" t="s">
        <v>95</v>
      </c>
      <c r="B92" s="43"/>
      <c r="C92" s="43"/>
      <c r="D92" s="43"/>
      <c r="E92" s="43"/>
      <c r="F92" s="43"/>
      <c r="G92" s="43">
        <f>G70</f>
        <v>5.428471079891953</v>
      </c>
      <c r="H92" s="43">
        <f>F92+G92</f>
        <v>5.428471079891953</v>
      </c>
    </row>
    <row r="93" spans="1:8" ht="12.75">
      <c r="A93" s="4" t="s">
        <v>123</v>
      </c>
      <c r="B93" s="40"/>
      <c r="C93" s="40"/>
      <c r="D93" s="40"/>
      <c r="E93" s="40"/>
      <c r="F93" s="40"/>
      <c r="G93" s="40">
        <v>0.16</v>
      </c>
      <c r="H93" s="43"/>
    </row>
    <row r="94" spans="1:8" ht="12.75">
      <c r="A94" s="4" t="s">
        <v>124</v>
      </c>
      <c r="B94" s="43"/>
      <c r="C94" s="43"/>
      <c r="D94" s="43"/>
      <c r="E94" s="43"/>
      <c r="F94" s="43"/>
      <c r="G94" s="43">
        <f>-G93*G92</f>
        <v>-0.8685553727827124</v>
      </c>
      <c r="H94" s="43">
        <f>F94+G94</f>
        <v>-0.8685553727827124</v>
      </c>
    </row>
    <row r="95" spans="1:8" ht="12.75">
      <c r="A95" s="15" t="s">
        <v>125</v>
      </c>
      <c r="B95" s="44"/>
      <c r="C95" s="44"/>
      <c r="D95" s="44"/>
      <c r="E95" s="44"/>
      <c r="F95" s="44"/>
      <c r="G95" s="44">
        <f>G92+G94</f>
        <v>4.559915707109241</v>
      </c>
      <c r="H95" s="44">
        <f>F95+G95</f>
        <v>4.559915707109241</v>
      </c>
    </row>
    <row r="96" spans="1:8" ht="12.75">
      <c r="A96" s="15" t="s">
        <v>96</v>
      </c>
      <c r="B96" s="43"/>
      <c r="C96" s="43">
        <f>C71</f>
        <v>0</v>
      </c>
      <c r="D96" s="43"/>
      <c r="E96" s="43"/>
      <c r="F96" s="43"/>
      <c r="G96" s="43"/>
      <c r="H96" s="43"/>
    </row>
    <row r="97" spans="1:8" ht="12.75">
      <c r="A97" s="4" t="s">
        <v>123</v>
      </c>
      <c r="B97" s="40"/>
      <c r="C97" s="40">
        <v>0</v>
      </c>
      <c r="D97" s="40"/>
      <c r="E97" s="40"/>
      <c r="F97" s="40"/>
      <c r="G97" s="40"/>
      <c r="H97" s="43"/>
    </row>
    <row r="98" spans="1:8" ht="12.75">
      <c r="A98" s="4" t="s">
        <v>124</v>
      </c>
      <c r="B98" s="43"/>
      <c r="C98" s="43">
        <f>-C97*C96</f>
        <v>0</v>
      </c>
      <c r="D98" s="43"/>
      <c r="E98" s="43"/>
      <c r="F98" s="43"/>
      <c r="G98" s="43"/>
      <c r="H98" s="43"/>
    </row>
    <row r="99" spans="1:8" ht="12.75">
      <c r="A99" s="15" t="s">
        <v>125</v>
      </c>
      <c r="B99" s="44"/>
      <c r="C99" s="44">
        <f>C96+C98</f>
        <v>0</v>
      </c>
      <c r="D99" s="44"/>
      <c r="E99" s="44"/>
      <c r="F99" s="44"/>
      <c r="G99" s="44"/>
      <c r="H99" s="44"/>
    </row>
    <row r="100" spans="1:8" ht="12.75">
      <c r="A100" s="15" t="s">
        <v>97</v>
      </c>
      <c r="B100" s="43"/>
      <c r="C100" s="43">
        <f>C72</f>
        <v>0</v>
      </c>
      <c r="D100" s="43"/>
      <c r="E100" s="43"/>
      <c r="F100" s="43"/>
      <c r="G100" s="43"/>
      <c r="H100" s="43"/>
    </row>
    <row r="101" spans="1:8" ht="12.75">
      <c r="A101" s="4" t="s">
        <v>123</v>
      </c>
      <c r="B101" s="40"/>
      <c r="C101" s="40">
        <v>0</v>
      </c>
      <c r="D101" s="40"/>
      <c r="E101" s="40"/>
      <c r="F101" s="40"/>
      <c r="G101" s="40"/>
      <c r="H101" s="43"/>
    </row>
    <row r="102" spans="1:8" ht="12.75">
      <c r="A102" s="4" t="s">
        <v>124</v>
      </c>
      <c r="B102" s="43"/>
      <c r="C102" s="43">
        <f>-C101*C100</f>
        <v>0</v>
      </c>
      <c r="D102" s="43"/>
      <c r="E102" s="43"/>
      <c r="F102" s="43"/>
      <c r="G102" s="43"/>
      <c r="H102" s="43"/>
    </row>
    <row r="103" spans="1:8" ht="12.75">
      <c r="A103" s="15" t="s">
        <v>125</v>
      </c>
      <c r="B103" s="44"/>
      <c r="C103" s="44">
        <f>C100+C102</f>
        <v>0</v>
      </c>
      <c r="D103" s="44"/>
      <c r="E103" s="44"/>
      <c r="F103" s="44"/>
      <c r="G103" s="44"/>
      <c r="H103" s="44"/>
    </row>
    <row r="104" spans="1:8" ht="12.75">
      <c r="A104" s="15" t="s">
        <v>98</v>
      </c>
      <c r="B104" s="44">
        <f aca="true" t="shared" si="6" ref="B104:G104">B87+B91+B95+B99+B103</f>
        <v>31.603055026455028</v>
      </c>
      <c r="C104" s="44">
        <f t="shared" si="6"/>
        <v>3.0680146666666666</v>
      </c>
      <c r="D104" s="44">
        <f t="shared" si="6"/>
        <v>19.57209743915344</v>
      </c>
      <c r="E104" s="44">
        <f t="shared" si="6"/>
        <v>1.595012</v>
      </c>
      <c r="F104" s="44">
        <f t="shared" si="6"/>
        <v>1.199007643738977</v>
      </c>
      <c r="G104" s="44">
        <f t="shared" si="6"/>
        <v>4.559915707109241</v>
      </c>
      <c r="H104" s="44">
        <f>H87+H95+H99+H103</f>
        <v>5.74851770710924</v>
      </c>
    </row>
    <row r="105" spans="1:8" ht="15">
      <c r="A105" s="15" t="s">
        <v>227</v>
      </c>
      <c r="B105" s="44"/>
      <c r="C105" s="44"/>
      <c r="D105" s="44"/>
      <c r="E105" s="44"/>
      <c r="F105" s="44"/>
      <c r="G105" s="44">
        <f>G74*2</f>
        <v>0</v>
      </c>
      <c r="H105" s="44">
        <f>F105+G105</f>
        <v>0</v>
      </c>
    </row>
    <row r="106" spans="1:8" ht="12.75">
      <c r="A106" s="4" t="s">
        <v>123</v>
      </c>
      <c r="B106" s="44"/>
      <c r="C106" s="44"/>
      <c r="D106" s="44"/>
      <c r="E106" s="44"/>
      <c r="F106" s="44"/>
      <c r="G106" s="61">
        <v>0.9</v>
      </c>
      <c r="H106" s="44"/>
    </row>
    <row r="107" spans="1:8" ht="12.75">
      <c r="A107" s="4" t="s">
        <v>124</v>
      </c>
      <c r="B107" s="44"/>
      <c r="C107" s="44"/>
      <c r="D107" s="44"/>
      <c r="E107" s="44"/>
      <c r="F107" s="44"/>
      <c r="G107" s="43">
        <f>-G106*G105</f>
        <v>0</v>
      </c>
      <c r="H107" s="43">
        <f>F107+G107</f>
        <v>0</v>
      </c>
    </row>
    <row r="108" spans="1:8" ht="12.75">
      <c r="A108" s="15" t="s">
        <v>125</v>
      </c>
      <c r="B108" s="44"/>
      <c r="C108" s="44"/>
      <c r="D108" s="44"/>
      <c r="E108" s="44"/>
      <c r="F108" s="44"/>
      <c r="G108" s="44">
        <f>G105+G107</f>
        <v>0</v>
      </c>
      <c r="H108" s="44">
        <f>F108+G108</f>
        <v>0</v>
      </c>
    </row>
    <row r="109" spans="1:8" ht="12.75">
      <c r="A109" s="15" t="s">
        <v>99</v>
      </c>
      <c r="B109" s="44">
        <f aca="true" t="shared" si="7" ref="B109:H109">B75</f>
        <v>13.331922398589064</v>
      </c>
      <c r="C109" s="44">
        <f t="shared" si="7"/>
        <v>1.8877865961199294</v>
      </c>
      <c r="D109" s="44">
        <f t="shared" si="7"/>
        <v>7.435229276895943</v>
      </c>
      <c r="E109" s="44">
        <f t="shared" si="7"/>
        <v>0</v>
      </c>
      <c r="F109" s="44">
        <f t="shared" si="7"/>
        <v>0.4162257495590828</v>
      </c>
      <c r="G109" s="44">
        <f t="shared" si="7"/>
        <v>19.315634906758614</v>
      </c>
      <c r="H109" s="44">
        <f t="shared" si="7"/>
        <v>19.731860656317696</v>
      </c>
    </row>
    <row r="110" spans="1:8" ht="12.75">
      <c r="A110" s="4" t="s">
        <v>123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3"/>
    </row>
    <row r="111" spans="1:8" ht="12.75">
      <c r="A111" s="4" t="s">
        <v>124</v>
      </c>
      <c r="B111" s="43">
        <f aca="true" t="shared" si="8" ref="B111:G111">-B110*B109</f>
        <v>0</v>
      </c>
      <c r="C111" s="43">
        <f t="shared" si="8"/>
        <v>0</v>
      </c>
      <c r="D111" s="43">
        <f t="shared" si="8"/>
        <v>0</v>
      </c>
      <c r="E111" s="43">
        <f t="shared" si="8"/>
        <v>0</v>
      </c>
      <c r="F111" s="43">
        <f t="shared" si="8"/>
        <v>0</v>
      </c>
      <c r="G111" s="43">
        <f t="shared" si="8"/>
        <v>0</v>
      </c>
      <c r="H111" s="43">
        <f>F111+G111</f>
        <v>0</v>
      </c>
    </row>
    <row r="112" spans="1:8" ht="12.75">
      <c r="A112" s="15" t="s">
        <v>125</v>
      </c>
      <c r="B112" s="44">
        <f aca="true" t="shared" si="9" ref="B112:G112">B109+B111</f>
        <v>13.331922398589064</v>
      </c>
      <c r="C112" s="44">
        <f t="shared" si="9"/>
        <v>1.8877865961199294</v>
      </c>
      <c r="D112" s="44">
        <f t="shared" si="9"/>
        <v>7.435229276895943</v>
      </c>
      <c r="E112" s="44">
        <f t="shared" si="9"/>
        <v>0</v>
      </c>
      <c r="F112" s="44">
        <f t="shared" si="9"/>
        <v>0.4162257495590828</v>
      </c>
      <c r="G112" s="44">
        <f t="shared" si="9"/>
        <v>19.315634906758614</v>
      </c>
      <c r="H112" s="44">
        <f>F112+G112</f>
        <v>19.731860656317696</v>
      </c>
    </row>
    <row r="113" spans="1:8" ht="12.75">
      <c r="A113" s="15" t="s">
        <v>168</v>
      </c>
      <c r="B113" s="44">
        <f aca="true" t="shared" si="10" ref="B113:H113">B112+B108</f>
        <v>13.331922398589064</v>
      </c>
      <c r="C113" s="44">
        <f t="shared" si="10"/>
        <v>1.8877865961199294</v>
      </c>
      <c r="D113" s="44">
        <f t="shared" si="10"/>
        <v>7.435229276895943</v>
      </c>
      <c r="E113" s="44">
        <f t="shared" si="10"/>
        <v>0</v>
      </c>
      <c r="F113" s="44">
        <f t="shared" si="10"/>
        <v>0.4162257495590828</v>
      </c>
      <c r="G113" s="44">
        <f t="shared" si="10"/>
        <v>19.315634906758614</v>
      </c>
      <c r="H113" s="44">
        <f t="shared" si="10"/>
        <v>19.731860656317696</v>
      </c>
    </row>
    <row r="114" spans="1:8" ht="12.75">
      <c r="A114" s="15" t="s">
        <v>24</v>
      </c>
      <c r="B114" s="44">
        <f aca="true" t="shared" si="11" ref="B114:H114">B104+B113</f>
        <v>44.934977425044096</v>
      </c>
      <c r="C114" s="44">
        <f t="shared" si="11"/>
        <v>4.955801262786596</v>
      </c>
      <c r="D114" s="44">
        <f t="shared" si="11"/>
        <v>27.00732671604938</v>
      </c>
      <c r="E114" s="44">
        <f t="shared" si="11"/>
        <v>1.595012</v>
      </c>
      <c r="F114" s="44">
        <f t="shared" si="11"/>
        <v>1.6152333932980598</v>
      </c>
      <c r="G114" s="44">
        <f t="shared" si="11"/>
        <v>23.875550613867855</v>
      </c>
      <c r="H114" s="44">
        <f t="shared" si="11"/>
        <v>25.480378363426937</v>
      </c>
    </row>
    <row r="115" ht="12.75">
      <c r="A115" s="39" t="s">
        <v>132</v>
      </c>
    </row>
    <row r="116" ht="12.75">
      <c r="A116" s="13" t="s">
        <v>228</v>
      </c>
    </row>
  </sheetData>
  <sheetProtection/>
  <mergeCells count="14">
    <mergeCell ref="A45:G45"/>
    <mergeCell ref="A26:D26"/>
    <mergeCell ref="A27:D27"/>
    <mergeCell ref="A81:H81"/>
    <mergeCell ref="A82:H82"/>
    <mergeCell ref="A50:L50"/>
    <mergeCell ref="A51:L51"/>
    <mergeCell ref="A65:H65"/>
    <mergeCell ref="A66:H66"/>
    <mergeCell ref="A3:L3"/>
    <mergeCell ref="A4:L4"/>
    <mergeCell ref="A38:F38"/>
    <mergeCell ref="A39:F39"/>
    <mergeCell ref="A44:G44"/>
  </mergeCells>
  <printOptions horizontalCentered="1"/>
  <pageMargins left="0.75" right="0.75" top="1" bottom="1" header="0.5" footer="0.5"/>
  <pageSetup fitToHeight="20" horizontalDpi="300" verticalDpi="300" orientation="landscape" scale="79" r:id="rId1"/>
  <headerFooter alignWithMargins="0">
    <oddFooter>&amp;CPage &amp;P of &amp;N&amp;R&amp;D</oddFooter>
  </headerFooter>
  <rowBreaks count="2" manualBreakCount="2">
    <brk id="37" max="255" man="1"/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1"/>
  <dimension ref="A1:N116"/>
  <sheetViews>
    <sheetView zoomScalePageLayoutView="0" workbookViewId="0" topLeftCell="A3">
      <selection activeCell="A3" sqref="A3:L3"/>
    </sheetView>
  </sheetViews>
  <sheetFormatPr defaultColWidth="9.140625" defaultRowHeight="12.75"/>
  <cols>
    <col min="1" max="1" width="37.57421875" style="0" bestFit="1" customWidth="1"/>
    <col min="2" max="2" width="8.57421875" style="0" customWidth="1"/>
    <col min="3" max="3" width="10.7109375" style="0" customWidth="1"/>
    <col min="4" max="4" width="9.7109375" style="0" customWidth="1"/>
    <col min="6" max="6" width="9.5742187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215</v>
      </c>
    </row>
    <row r="2" ht="12.75" hidden="1">
      <c r="A2" s="52">
        <v>16</v>
      </c>
    </row>
    <row r="3" spans="1:12" ht="12.75">
      <c r="A3" s="87" t="str">
        <f>"Table "&amp;A$2&amp;"-A"</f>
        <v>Table 16-A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SGS Equipment Installation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169</v>
      </c>
      <c r="B14" s="2">
        <v>2</v>
      </c>
      <c r="C14" s="2">
        <v>16</v>
      </c>
      <c r="D14" s="2">
        <f>B14*C14</f>
        <v>32</v>
      </c>
      <c r="E14" s="2">
        <v>4</v>
      </c>
      <c r="F14" s="2">
        <f>B14*E14</f>
        <v>8</v>
      </c>
      <c r="G14" s="42">
        <f>$D14*VLOOKUP($A14,'Const. Equip. Emission Factors'!$A$5:$N$25,10,FALSE)</f>
        <v>16.4008</v>
      </c>
      <c r="H14" s="42">
        <f>$D14*VLOOKUP($A14,'Const. Equip. Emission Factors'!$A$5:$N$25,11,FALSE)</f>
        <v>3.7848</v>
      </c>
      <c r="I14" s="42">
        <f>$D14*VLOOKUP($A14,'Const. Equip. Emission Factors'!$A$5:$N$25,12,FALSE)</f>
        <v>39.1096</v>
      </c>
      <c r="J14" s="42">
        <f>$D14*VLOOKUP($A14,'Const. Equip. Emission Factors'!$A$5:$N$25,13,FALSE)</f>
        <v>2.5232</v>
      </c>
      <c r="K14" s="42">
        <f>$D14*VLOOKUP($A14,'Const. Equip. Emission Factors'!$A$5:$N$25,14,FALSE)</f>
        <v>1.8924</v>
      </c>
      <c r="L14" s="43">
        <f>VLOOKUP(A14,'Const. Equip. Emission Factors'!$A$5:$P$23,16,FALSE)*D14</f>
        <v>63.08000000000001</v>
      </c>
    </row>
    <row r="15" spans="1:12" ht="12.75">
      <c r="A15" s="4" t="s">
        <v>283</v>
      </c>
      <c r="B15" s="2"/>
      <c r="C15" s="2"/>
      <c r="D15" s="2"/>
      <c r="E15" s="2"/>
      <c r="F15" s="2"/>
      <c r="G15" s="42"/>
      <c r="H15" s="42"/>
      <c r="I15" s="42"/>
      <c r="J15" s="42"/>
      <c r="K15" s="42"/>
      <c r="L15" s="43"/>
    </row>
    <row r="16" spans="1:12" ht="12.75">
      <c r="A16" s="4" t="s">
        <v>284</v>
      </c>
      <c r="B16" s="2"/>
      <c r="C16" s="2"/>
      <c r="D16" s="2"/>
      <c r="E16" s="2"/>
      <c r="F16" s="2"/>
      <c r="G16" s="42"/>
      <c r="H16" s="42"/>
      <c r="I16" s="42"/>
      <c r="J16" s="42"/>
      <c r="K16" s="42"/>
      <c r="L16" s="43"/>
    </row>
    <row r="17" spans="1:12" ht="12.75">
      <c r="A17" s="4" t="s">
        <v>289</v>
      </c>
      <c r="B17" s="2"/>
      <c r="C17" s="2"/>
      <c r="D17" s="2"/>
      <c r="E17" s="2"/>
      <c r="F17" s="2"/>
      <c r="G17" s="42"/>
      <c r="H17" s="42"/>
      <c r="I17" s="42"/>
      <c r="J17" s="42"/>
      <c r="K17" s="42"/>
      <c r="L17" s="43"/>
    </row>
    <row r="18" spans="1:12" ht="12.75">
      <c r="A18" s="4" t="s">
        <v>285</v>
      </c>
      <c r="B18" s="2">
        <v>5</v>
      </c>
      <c r="C18" s="2">
        <v>12</v>
      </c>
      <c r="D18" s="2">
        <f>B18*C18</f>
        <v>60</v>
      </c>
      <c r="E18" s="2" t="s">
        <v>84</v>
      </c>
      <c r="F18" s="2" t="str">
        <f>IF(E18&lt;&gt;"N/A",B18*E18,"N/A")</f>
        <v>N/A</v>
      </c>
      <c r="G18" s="42">
        <f>$D18*VLOOKUP($A18,'Const. Equip. Emission Factors'!$A$5:$N$25,10,FALSE)</f>
        <v>10.1184</v>
      </c>
      <c r="H18" s="42">
        <f>$D18*VLOOKUP($A18,'Const. Equip. Emission Factors'!$A$5:$N$25,11,FALSE)</f>
        <v>1.51776</v>
      </c>
      <c r="I18" s="42">
        <f>$D18*VLOOKUP($A18,'Const. Equip. Emission Factors'!$A$5:$N$25,12,FALSE)</f>
        <v>12.14208</v>
      </c>
      <c r="J18" s="42">
        <f>$D18*VLOOKUP($A18,'Const. Equip. Emission Factors'!$A$5:$N$25,13,FALSE)</f>
        <v>1.01184</v>
      </c>
      <c r="K18" s="42">
        <f>$D18*VLOOKUP($A18,'Const. Equip. Emission Factors'!$A$5:$N$25,14,FALSE)</f>
        <v>0.75888</v>
      </c>
      <c r="L18" s="43">
        <f>VLOOKUP(A18,'Const. Equip. Emission Factors'!$A$5:$P$23,16,FALSE)*D18</f>
        <v>25.296000000000003</v>
      </c>
    </row>
    <row r="19" spans="1:12" ht="12.75">
      <c r="A19" s="4" t="s">
        <v>364</v>
      </c>
      <c r="B19" s="2">
        <v>2</v>
      </c>
      <c r="C19" s="2">
        <v>16</v>
      </c>
      <c r="D19" s="2">
        <f>B19*C19</f>
        <v>32</v>
      </c>
      <c r="E19" s="2" t="s">
        <v>84</v>
      </c>
      <c r="F19" s="2" t="str">
        <f>IF(E19&lt;&gt;"N/A",B19*E19,"N/A")</f>
        <v>N/A</v>
      </c>
      <c r="G19" s="42">
        <f>$D19*VLOOKUP($A19,'Const. Equip. Emission Factors'!$A$5:$N$25,10,FALSE)</f>
        <v>6.251519999999999</v>
      </c>
      <c r="H19" s="42">
        <f>$D19*VLOOKUP($A19,'Const. Equip. Emission Factors'!$A$5:$N$25,11,FALSE)</f>
        <v>1.13664</v>
      </c>
      <c r="I19" s="42">
        <f>$D19*VLOOKUP($A19,'Const. Equip. Emission Factors'!$A$5:$N$25,12,FALSE)</f>
        <v>10.229759999999999</v>
      </c>
      <c r="J19" s="42">
        <f>$D19*VLOOKUP($A19,'Const. Equip. Emission Factors'!$A$5:$N$25,13,FALSE)</f>
        <v>1.13664</v>
      </c>
      <c r="K19" s="42">
        <f>$D19*VLOOKUP($A19,'Const. Equip. Emission Factors'!$A$5:$N$25,14,FALSE)</f>
        <v>0.56832</v>
      </c>
      <c r="L19" s="43">
        <f>VLOOKUP(A19,'Const. Equip. Emission Factors'!$A$5:$P$23,16,FALSE)*D19</f>
        <v>28.416000000000004</v>
      </c>
    </row>
    <row r="20" spans="1:12" ht="12.75">
      <c r="A20" s="4" t="s">
        <v>286</v>
      </c>
      <c r="B20" s="2">
        <v>6</v>
      </c>
      <c r="C20" s="2">
        <v>16</v>
      </c>
      <c r="D20" s="2">
        <f>B20*C20</f>
        <v>96</v>
      </c>
      <c r="E20" s="2" t="s">
        <v>84</v>
      </c>
      <c r="F20" s="2" t="str">
        <f>IF(E20&lt;&gt;"N/A",B20*E20,"N/A")</f>
        <v>N/A</v>
      </c>
      <c r="G20" s="42">
        <f>$D20*VLOOKUP($A20,'Const. Equip. Emission Factors'!$A$5:$N$25,10,FALSE)</f>
        <v>16.631999999999998</v>
      </c>
      <c r="H20" s="42">
        <f>$D20*VLOOKUP($A20,'Const. Equip. Emission Factors'!$A$5:$N$25,11,FALSE)</f>
        <v>3.024</v>
      </c>
      <c r="I20" s="42">
        <f>$D20*VLOOKUP($A20,'Const. Equip. Emission Factors'!$A$5:$N$25,12,FALSE)</f>
        <v>27.215999999999998</v>
      </c>
      <c r="J20" s="42">
        <f>$D20*VLOOKUP($A20,'Const. Equip. Emission Factors'!$A$5:$N$25,13,FALSE)</f>
        <v>3.024</v>
      </c>
      <c r="K20" s="42">
        <f>$D20*VLOOKUP($A20,'Const. Equip. Emission Factors'!$A$5:$N$25,14,FALSE)</f>
        <v>1.512</v>
      </c>
      <c r="L20" s="43">
        <f>VLOOKUP(A20,'Const. Equip. Emission Factors'!$A$5:$P$23,16,FALSE)*D20</f>
        <v>75.6</v>
      </c>
    </row>
    <row r="21" spans="1:12" ht="12.75">
      <c r="A21" s="4" t="s">
        <v>287</v>
      </c>
      <c r="B21" s="2"/>
      <c r="C21" s="2"/>
      <c r="D21" s="2"/>
      <c r="E21" s="2"/>
      <c r="F21" s="2"/>
      <c r="G21" s="42"/>
      <c r="H21" s="42"/>
      <c r="I21" s="42"/>
      <c r="J21" s="42"/>
      <c r="K21" s="42"/>
      <c r="L21" s="43"/>
    </row>
    <row r="22" spans="1:12" ht="12.75">
      <c r="A22" s="4" t="s">
        <v>288</v>
      </c>
      <c r="B22" s="2"/>
      <c r="C22" s="2"/>
      <c r="D22" s="2"/>
      <c r="E22" s="2"/>
      <c r="F22" s="2"/>
      <c r="G22" s="42"/>
      <c r="H22" s="42"/>
      <c r="I22" s="42"/>
      <c r="J22" s="42"/>
      <c r="K22" s="42"/>
      <c r="L22" s="43"/>
    </row>
    <row r="23" spans="1:12" ht="12.75">
      <c r="A23" s="4" t="s">
        <v>27</v>
      </c>
      <c r="B23" s="2">
        <v>1</v>
      </c>
      <c r="C23" s="2">
        <v>16</v>
      </c>
      <c r="D23" s="2">
        <f>B23*C23</f>
        <v>16</v>
      </c>
      <c r="E23" s="2" t="s">
        <v>84</v>
      </c>
      <c r="F23" s="2" t="s">
        <v>84</v>
      </c>
      <c r="G23" s="42">
        <f>$D23*VLOOKUP($A23,'Const. Equip. Emission Factors'!$A$5:$N$25,10,FALSE)</f>
        <v>12.012479999999998</v>
      </c>
      <c r="H23" s="42">
        <f>$D23*VLOOKUP($A23,'Const. Equip. Emission Factors'!$A$5:$N$25,11,FALSE)</f>
        <v>4.00416</v>
      </c>
      <c r="I23" s="42">
        <f>$D23*VLOOKUP($A23,'Const. Equip. Emission Factors'!$A$5:$N$25,12,FALSE)</f>
        <v>30.698559999999997</v>
      </c>
      <c r="J23" s="42">
        <f>$D23*VLOOKUP($A23,'Const. Equip. Emission Factors'!$A$5:$N$25,13,FALSE)</f>
        <v>2.6694400000000003</v>
      </c>
      <c r="K23" s="42">
        <f>$D23*VLOOKUP($A23,'Const. Equip. Emission Factors'!$A$5:$N$25,14,FALSE)</f>
        <v>2.00208</v>
      </c>
      <c r="L23" s="43">
        <f>VLOOKUP(A23,'Const. Equip. Emission Factors'!$A$5:$P$23,16,FALSE)*D23</f>
        <v>66.736</v>
      </c>
    </row>
    <row r="24" spans="1:14" ht="12.75">
      <c r="A24" s="15" t="s">
        <v>24</v>
      </c>
      <c r="B24" s="18"/>
      <c r="C24" s="18"/>
      <c r="D24" s="18"/>
      <c r="E24" s="18"/>
      <c r="F24" s="18"/>
      <c r="G24" s="46">
        <f aca="true" t="shared" si="0" ref="G24:L24">SUM(G6:G23)</f>
        <v>61.41519999999999</v>
      </c>
      <c r="H24" s="46">
        <f t="shared" si="0"/>
        <v>13.46736</v>
      </c>
      <c r="I24" s="46">
        <f t="shared" si="0"/>
        <v>119.396</v>
      </c>
      <c r="J24" s="46">
        <f t="shared" si="0"/>
        <v>10.365120000000001</v>
      </c>
      <c r="K24" s="46">
        <f t="shared" si="0"/>
        <v>6.73368</v>
      </c>
      <c r="L24" s="46">
        <f t="shared" si="0"/>
        <v>259.12800000000004</v>
      </c>
      <c r="M24" s="71"/>
      <c r="N24" s="71"/>
    </row>
    <row r="26" spans="1:4" ht="12.75">
      <c r="A26" s="87" t="str">
        <f>"Table "&amp;A$2&amp;"-B"</f>
        <v>Table 16-B</v>
      </c>
      <c r="B26" s="87"/>
      <c r="C26" s="87"/>
      <c r="D26" s="87"/>
    </row>
    <row r="27" spans="1:4" ht="12.75">
      <c r="A27" s="85" t="str">
        <f>A$1&amp;" Fugitive Dust Emissions (Pre-Mitigation)"</f>
        <v>SGS Equipment Installation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SUM(F6:F23)-F8+E55+E56+E57+E58</f>
        <v>19</v>
      </c>
      <c r="C31" s="2" t="s">
        <v>46</v>
      </c>
      <c r="D31" s="43">
        <f>B31*'Fug. Dust Emission Factors'!C50</f>
        <v>5.771764494692097</v>
      </c>
    </row>
    <row r="32" spans="1:4" ht="12.75">
      <c r="A32" s="4" t="s">
        <v>110</v>
      </c>
      <c r="B32" s="14">
        <f>E54</f>
        <v>5</v>
      </c>
      <c r="C32" s="2" t="s">
        <v>46</v>
      </c>
      <c r="D32" s="43">
        <f>B32*'Fug. Dust Emission Factors'!C65</f>
        <v>1.4991272252739556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2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1</v>
      </c>
      <c r="C35" s="2" t="s">
        <v>166</v>
      </c>
      <c r="D35" s="43">
        <f>B35*'Fug. Dust Emission Factors'!C129</f>
        <v>0.5</v>
      </c>
    </row>
    <row r="36" spans="1:4" ht="12.75">
      <c r="A36" s="15" t="s">
        <v>24</v>
      </c>
      <c r="B36" s="4"/>
      <c r="C36" s="4"/>
      <c r="D36" s="44">
        <f>SUM(D29:D35)</f>
        <v>7.770891719966053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16-C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SGS Equipment Installation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16-D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SGS Equipment Installation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100</v>
      </c>
      <c r="B47" s="2">
        <v>10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35</v>
      </c>
      <c r="C49" s="33"/>
      <c r="D49" s="31"/>
      <c r="E49" s="31"/>
      <c r="F49" s="31"/>
      <c r="G49" s="32"/>
    </row>
    <row r="50" ht="12.75">
      <c r="A50" s="39" t="s">
        <v>278</v>
      </c>
    </row>
    <row r="51" spans="1:12" ht="12.75">
      <c r="A51" s="87" t="str">
        <f>"Table "&amp;A$2&amp;"-E"</f>
        <v>Table 16-E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SGS Equipment Installation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5</v>
      </c>
      <c r="C54" s="2">
        <v>1</v>
      </c>
      <c r="D54" s="2">
        <v>4</v>
      </c>
      <c r="E54" s="14">
        <f>B54*C54</f>
        <v>5</v>
      </c>
      <c r="F54" s="14">
        <f>B54*D54</f>
        <v>20</v>
      </c>
      <c r="G54" s="42">
        <f>(E54*VLOOKUP(A54,'Motor Vehicle Emission Factors'!$A$6:$T$42,7,FALSE)+F54*VLOOKUP(A54,'Motor Vehicle Emission Factors'!$A$6:$T$42,8,FALSE))/453.6</f>
        <v>1.8386243386243388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0.30609567901234563</v>
      </c>
      <c r="I54" s="42">
        <f>(E54*VLOOKUP(A54,'Motor Vehicle Emission Factors'!$A$6:$T$42,15,FALSE)+F54*VLOOKUP(A54,'Motor Vehicle Emission Factors'!$A$6:$T$42,16,FALSE))/453.6</f>
        <v>0.14517195767195767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0.00011022927689594356</v>
      </c>
      <c r="L54" s="42">
        <f>J54+K54</f>
        <v>0.00011022927689594356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>
        <v>1</v>
      </c>
      <c r="C57" s="2">
        <v>1</v>
      </c>
      <c r="D57" s="2">
        <v>2</v>
      </c>
      <c r="E57" s="14">
        <f>B57*C57</f>
        <v>1</v>
      </c>
      <c r="F57" s="14">
        <f>B57*D57</f>
        <v>2</v>
      </c>
      <c r="G57" s="42">
        <f>(E57*VLOOKUP(A57,'Motor Vehicle Emission Factors'!$A$6:$T$42,7,FALSE)+F57*VLOOKUP(A57,'Motor Vehicle Emission Factors'!$A$6:$T$42,8,FALSE))/453.6</f>
        <v>0.07407407407407407</v>
      </c>
      <c r="H57" s="42">
        <f>(E57*VLOOKUP(A57,'Motor Vehicle Emission Factors'!$A$6:$T$42,9,FALSE)+F57*VLOOKUP(A57,'Motor Vehicle Emission Factors'!$A$6:$T$42,10,FALSE)+F57*VLOOKUP(A57,'Motor Vehicle Emission Factors'!$A$6:$T$42,11,FALSE)+B57*12*VLOOKUP(A57,'Motor Vehicle Emission Factors'!$A$6:$T$42,12,FALSE)+E57*VLOOKUP(A57,'Motor Vehicle Emission Factors'!$A$6:$T$42,13,FALSE)+B57*12*VLOOKUP(A57,'Motor Vehicle Emission Factors'!$A$6:$T$42,14,FALSE))/453.6</f>
        <v>0.00769400352733686</v>
      </c>
      <c r="I57" s="42">
        <f>(E57*VLOOKUP(A57,'Motor Vehicle Emission Factors'!$A$6:$T$42,15,FALSE)+F57*VLOOKUP(A57,'Motor Vehicle Emission Factors'!$A$6:$T$42,16,FALSE))/453.6</f>
        <v>0.034788359788359785</v>
      </c>
      <c r="J57" s="42">
        <f>E57*VLOOKUP(A57,'Motor Vehicle Emission Factors'!$A$6:$T$42,17,FALSE)/453.6</f>
        <v>0.001300705467372134</v>
      </c>
      <c r="K57" s="42">
        <f>E57*(VLOOKUP(A57,'Motor Vehicle Emission Factors'!$A$6:$T$42,18,FALSE)+VLOOKUP(A57,'Motor Vehicle Emission Factors'!$A$6:$T$42,19,FALSE)+VLOOKUP(A57,'Motor Vehicle Emission Factors'!$A$6:$T$42,20,FALSE))/453.6</f>
        <v>2.204585537918871E-05</v>
      </c>
      <c r="L57" s="42">
        <f>J57+K57</f>
        <v>0.0013227513227513227</v>
      </c>
    </row>
    <row r="58" spans="1:12" ht="12.75">
      <c r="A58" s="4" t="s">
        <v>116</v>
      </c>
      <c r="B58" s="2">
        <v>10</v>
      </c>
      <c r="C58" s="2">
        <v>1</v>
      </c>
      <c r="D58" s="2">
        <v>2</v>
      </c>
      <c r="E58" s="14">
        <f>B58*C58</f>
        <v>10</v>
      </c>
      <c r="F58" s="14">
        <f>B58*D58</f>
        <v>20</v>
      </c>
      <c r="G58" s="42">
        <f>(E58*VLOOKUP(A58,'Motor Vehicle Emission Factors'!$A$6:$T$42,7,FALSE)+F58*VLOOKUP(A58,'Motor Vehicle Emission Factors'!$A$6:$T$42,8,FALSE))/453.6</f>
        <v>0.7407407407407407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0.07694003527336861</v>
      </c>
      <c r="I58" s="42">
        <f>(E58*VLOOKUP(A58,'Motor Vehicle Emission Factors'!$A$6:$T$42,15,FALSE)+F58*VLOOKUP(A58,'Motor Vehicle Emission Factors'!$A$6:$T$42,16,FALSE))/453.6</f>
        <v>0.34788359788359785</v>
      </c>
      <c r="J58" s="42">
        <f>E58*VLOOKUP(A58,'Motor Vehicle Emission Factors'!$A$6:$T$42,17,FALSE)/453.6</f>
        <v>0.013007054673721338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0.0002204585537918871</v>
      </c>
      <c r="L58" s="42">
        <f>J58+K58</f>
        <v>0.013227513227513225</v>
      </c>
    </row>
    <row r="59" spans="1:12" ht="12.75">
      <c r="A59" s="4" t="s">
        <v>105</v>
      </c>
      <c r="B59" s="2">
        <v>100</v>
      </c>
      <c r="C59" s="2">
        <v>40</v>
      </c>
      <c r="D59" s="2">
        <v>2</v>
      </c>
      <c r="E59" s="14">
        <f>B59*C59</f>
        <v>4000</v>
      </c>
      <c r="F59" s="14">
        <f>B59*D59</f>
        <v>200</v>
      </c>
      <c r="G59" s="42">
        <f>(E59*VLOOKUP(A59,'Motor Vehicle Emission Factors'!$A$6:$T$42,7,FALSE)+F59*VLOOKUP(A59,'Motor Vehicle Emission Factors'!$A$6:$T$42,8,FALSE))/453.6</f>
        <v>48.395061728395056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6.327160493827161</v>
      </c>
      <c r="I59" s="42">
        <f>(E59*VLOOKUP(A59,'Motor Vehicle Emission Factors'!$A$6:$T$42,15,FALSE)+F59*VLOOKUP(A59,'Motor Vehicle Emission Factors'!$A$6:$T$42,16,FALSE))/453.6</f>
        <v>6.997354497354497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4.960922351396743</v>
      </c>
      <c r="L59" s="42">
        <f>J59+K59</f>
        <v>4.960922351396743</v>
      </c>
    </row>
    <row r="60" spans="1:12" ht="12.75">
      <c r="A60" s="4" t="s">
        <v>129</v>
      </c>
      <c r="B60" s="2">
        <v>10</v>
      </c>
      <c r="C60" s="2">
        <v>40</v>
      </c>
      <c r="D60" s="2">
        <v>2</v>
      </c>
      <c r="E60" s="14">
        <f>B60*C60</f>
        <v>400</v>
      </c>
      <c r="F60" s="14">
        <f>B60*D60</f>
        <v>20</v>
      </c>
      <c r="G60" s="42">
        <f>(E60*VLOOKUP(A60,'Motor Vehicle Emission Factors'!$A$6:$T$42,7,FALSE)+F60*VLOOKUP(A60,'Motor Vehicle Emission Factors'!$A$6:$T$42,8,FALSE))/453.6</f>
        <v>8.800705467372133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1.3315696649029982</v>
      </c>
      <c r="I60" s="42">
        <f>(E60*VLOOKUP(A60,'Motor Vehicle Emission Factors'!$A$6:$T$42,15,FALSE)+F60*VLOOKUP(A60,'Motor Vehicle Emission Factors'!$A$6:$T$42,16,FALSE))/453.6</f>
        <v>8.156966490299823</v>
      </c>
      <c r="J60" s="42">
        <f>E60*VLOOKUP(A60,'Motor Vehicle Emission Factors'!$A$6:$T$42,17,FALSE)/453.6</f>
        <v>0.5202821869488536</v>
      </c>
      <c r="K60" s="42">
        <f>E60*(VLOOKUP(A60,'Motor Vehicle Emission Factors'!$A$6:$T$42,18,FALSE)+VLOOKUP(A60,'Motor Vehicle Emission Factors'!$A$6:$T$42,19,FALSE)+VLOOKUP(A60,'Motor Vehicle Emission Factors'!$A$6:$T$42,20,FALSE))/453.6</f>
        <v>23.3383937513463</v>
      </c>
      <c r="L60" s="42">
        <f>J60+K60</f>
        <v>23.858675938295153</v>
      </c>
    </row>
    <row r="61" spans="1:12" ht="12.75">
      <c r="A61" s="4" t="s">
        <v>128</v>
      </c>
      <c r="B61" s="2">
        <v>1</v>
      </c>
      <c r="C61" s="2">
        <v>40</v>
      </c>
      <c r="D61" s="2">
        <v>2</v>
      </c>
      <c r="E61" s="14">
        <f>B61*C61</f>
        <v>40</v>
      </c>
      <c r="F61" s="14">
        <f>B61*D61</f>
        <v>2</v>
      </c>
      <c r="G61" s="42">
        <f>(E61*VLOOKUP(A61,'Motor Vehicle Emission Factors'!$A$6:$T$42,7,FALSE)+F61*VLOOKUP(A61,'Motor Vehicle Emission Factors'!$A$6:$T$42,8,FALSE))/453.6</f>
        <v>0.8800705467372134</v>
      </c>
      <c r="H61" s="42">
        <f>(E61*VLOOKUP(A61,'Motor Vehicle Emission Factors'!$A$6:$T$42,9,FALSE)+F61*VLOOKUP(A61,'Motor Vehicle Emission Factors'!$A$6:$T$42,10,FALSE)+F61*VLOOKUP(A61,'Motor Vehicle Emission Factors'!$A$6:$T$42,11,FALSE)+B61*12*VLOOKUP(A61,'Motor Vehicle Emission Factors'!$A$6:$T$42,12,FALSE)+E61*VLOOKUP(A61,'Motor Vehicle Emission Factors'!$A$6:$T$42,13,FALSE)+B61*12*VLOOKUP(A61,'Motor Vehicle Emission Factors'!$A$6:$T$42,14,FALSE))/453.6</f>
        <v>0.13315696649029982</v>
      </c>
      <c r="I61" s="42">
        <f>(E61*VLOOKUP(A61,'Motor Vehicle Emission Factors'!$A$6:$T$42,15,FALSE)+F61*VLOOKUP(A61,'Motor Vehicle Emission Factors'!$A$6:$T$42,16,FALSE))/453.6</f>
        <v>0.8156966490299823</v>
      </c>
      <c r="J61" s="42">
        <f>E61*VLOOKUP(A61,'Motor Vehicle Emission Factors'!$A$6:$T$42,17,FALSE)/453.6</f>
        <v>0.05202821869488535</v>
      </c>
      <c r="K61" s="42">
        <f>E61*(VLOOKUP(A61,'Motor Vehicle Emission Factors'!$A$6:$T$42,18,FALSE)+VLOOKUP(A61,'Motor Vehicle Emission Factors'!$A$6:$T$42,19,FALSE)+VLOOKUP(A61,'Motor Vehicle Emission Factors'!$A$6:$T$42,20,FALSE))/453.6</f>
        <v>2.33383937513463</v>
      </c>
      <c r="L61" s="42">
        <f>J61+K61</f>
        <v>2.385867593829515</v>
      </c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60.729276895943556</v>
      </c>
      <c r="H62" s="46">
        <f t="shared" si="1"/>
        <v>8.18261684303351</v>
      </c>
      <c r="I62" s="46">
        <f t="shared" si="1"/>
        <v>16.497861552028215</v>
      </c>
      <c r="J62" s="46">
        <f t="shared" si="1"/>
        <v>0.5866181657848325</v>
      </c>
      <c r="K62" s="46">
        <f t="shared" si="1"/>
        <v>30.63350821156374</v>
      </c>
      <c r="L62" s="46">
        <f t="shared" si="1"/>
        <v>31.220126377348574</v>
      </c>
      <c r="M62" s="71">
        <f>E54+E59</f>
        <v>4005</v>
      </c>
      <c r="N62" s="71">
        <f>SUM(E54:E61)-M62</f>
        <v>451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16-F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SGS Equipment Installation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G24</f>
        <v>61.41519999999999</v>
      </c>
      <c r="C69" s="43">
        <f>H24</f>
        <v>13.46736</v>
      </c>
      <c r="D69" s="43">
        <f>I24</f>
        <v>119.396</v>
      </c>
      <c r="E69" s="43">
        <f>J24</f>
        <v>10.365120000000001</v>
      </c>
      <c r="F69" s="43">
        <f>K24</f>
        <v>6.73368</v>
      </c>
      <c r="G69" s="43"/>
      <c r="H69" s="43">
        <f aca="true" t="shared" si="2" ref="H69:H77">F69+G69</f>
        <v>6.73368</v>
      </c>
    </row>
    <row r="70" spans="1:8" ht="12.75">
      <c r="A70" s="51" t="s">
        <v>127</v>
      </c>
      <c r="B70" s="43">
        <f>SUM(G54:G58)</f>
        <v>2.6534391534391535</v>
      </c>
      <c r="C70" s="43">
        <f>SUM(H54:H58)</f>
        <v>0.3907297178130511</v>
      </c>
      <c r="D70" s="43">
        <f>SUM(I54:I58)</f>
        <v>0.5278439153439153</v>
      </c>
      <c r="E70" s="43">
        <v>0</v>
      </c>
      <c r="F70" s="43">
        <f>SUM(J54:J58)</f>
        <v>0.014307760141093471</v>
      </c>
      <c r="G70" s="43"/>
      <c r="H70" s="43">
        <f t="shared" si="2"/>
        <v>0.014307760141093471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7.270891719966053</v>
      </c>
      <c r="H71" s="43">
        <f t="shared" si="2"/>
        <v>7.270891719966053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35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64.06863915343915</v>
      </c>
      <c r="C74" s="44">
        <f t="shared" si="3"/>
        <v>48.85808971781305</v>
      </c>
      <c r="D74" s="44">
        <f t="shared" si="3"/>
        <v>119.92384391534392</v>
      </c>
      <c r="E74" s="44">
        <f t="shared" si="3"/>
        <v>10.365120000000001</v>
      </c>
      <c r="F74" s="44">
        <f t="shared" si="3"/>
        <v>6.747987760141093</v>
      </c>
      <c r="G74" s="44">
        <f t="shared" si="3"/>
        <v>7.270891719966053</v>
      </c>
      <c r="H74" s="44">
        <f t="shared" si="2"/>
        <v>14.018879480107145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0.5</v>
      </c>
      <c r="H75" s="45">
        <f t="shared" si="2"/>
        <v>0.5</v>
      </c>
    </row>
    <row r="76" spans="1:8" ht="12.75">
      <c r="A76" s="51" t="s">
        <v>99</v>
      </c>
      <c r="B76" s="45">
        <f>SUM(G59:G61)</f>
        <v>58.075837742504405</v>
      </c>
      <c r="C76" s="45">
        <f>SUM(H59:H61)</f>
        <v>7.791887125220459</v>
      </c>
      <c r="D76" s="45">
        <f>SUM(I59:I61)</f>
        <v>15.970017636684302</v>
      </c>
      <c r="E76" s="45">
        <v>0</v>
      </c>
      <c r="F76" s="45">
        <f>SUM(J59:J61)</f>
        <v>0.572310405643739</v>
      </c>
      <c r="G76" s="45">
        <f>SUM(K59:K61)</f>
        <v>30.633155477877672</v>
      </c>
      <c r="H76" s="45">
        <f t="shared" si="2"/>
        <v>31.205465883521413</v>
      </c>
    </row>
    <row r="77" spans="1:8" ht="12.75">
      <c r="A77" s="15" t="s">
        <v>168</v>
      </c>
      <c r="B77" s="44">
        <f aca="true" t="shared" si="4" ref="B77:G77">SUM(B75:B76)</f>
        <v>58.075837742504405</v>
      </c>
      <c r="C77" s="44">
        <f t="shared" si="4"/>
        <v>7.791887125220459</v>
      </c>
      <c r="D77" s="44">
        <f t="shared" si="4"/>
        <v>15.970017636684302</v>
      </c>
      <c r="E77" s="44">
        <f t="shared" si="4"/>
        <v>0</v>
      </c>
      <c r="F77" s="44">
        <f t="shared" si="4"/>
        <v>0.572310405643739</v>
      </c>
      <c r="G77" s="44">
        <f t="shared" si="4"/>
        <v>31.133155477877672</v>
      </c>
      <c r="H77" s="44">
        <f t="shared" si="2"/>
        <v>31.705465883521413</v>
      </c>
    </row>
    <row r="78" spans="1:8" ht="12.75">
      <c r="A78" s="15" t="s">
        <v>24</v>
      </c>
      <c r="B78" s="44">
        <f aca="true" t="shared" si="5" ref="B78:H78">B74+B77</f>
        <v>122.14447689594355</v>
      </c>
      <c r="C78" s="44">
        <f t="shared" si="5"/>
        <v>56.649976843033514</v>
      </c>
      <c r="D78" s="44">
        <f t="shared" si="5"/>
        <v>135.89386155202823</v>
      </c>
      <c r="E78" s="44">
        <f t="shared" si="5"/>
        <v>10.365120000000001</v>
      </c>
      <c r="F78" s="44">
        <f t="shared" si="5"/>
        <v>7.320298165784832</v>
      </c>
      <c r="G78" s="44">
        <f t="shared" si="5"/>
        <v>38.404047197843724</v>
      </c>
      <c r="H78" s="44">
        <f t="shared" si="5"/>
        <v>45.72434536362856</v>
      </c>
    </row>
    <row r="79" ht="12.75">
      <c r="A79" s="39" t="s">
        <v>132</v>
      </c>
    </row>
    <row r="80" ht="12.75">
      <c r="A80" s="39"/>
    </row>
    <row r="81" spans="1:8" ht="12.75">
      <c r="A81" s="87" t="str">
        <f>"Table "&amp;A$2&amp;"-G"</f>
        <v>Table 16-G</v>
      </c>
      <c r="B81" s="87"/>
      <c r="C81" s="87"/>
      <c r="D81" s="87"/>
      <c r="E81" s="87"/>
      <c r="F81" s="87"/>
      <c r="G81" s="87"/>
      <c r="H81" s="87"/>
    </row>
    <row r="82" spans="1:8" ht="12.75">
      <c r="A82" s="87" t="str">
        <f>A$1&amp;" Emissions Summary (Mitigated)"</f>
        <v>SGS Equipment Installation Emissions Summary (Mitigated)</v>
      </c>
      <c r="B82" s="87"/>
      <c r="C82" s="87"/>
      <c r="D82" s="87"/>
      <c r="E82" s="87"/>
      <c r="F82" s="87"/>
      <c r="G82" s="87"/>
      <c r="H82" s="87"/>
    </row>
    <row r="83" spans="1:8" ht="42">
      <c r="A83" s="2" t="s">
        <v>131</v>
      </c>
      <c r="B83" s="3" t="s">
        <v>193</v>
      </c>
      <c r="C83" s="3" t="s">
        <v>194</v>
      </c>
      <c r="D83" s="3" t="s">
        <v>199</v>
      </c>
      <c r="E83" s="3" t="s">
        <v>200</v>
      </c>
      <c r="F83" s="3" t="s">
        <v>208</v>
      </c>
      <c r="G83" s="3" t="s">
        <v>209</v>
      </c>
      <c r="H83" s="3" t="s">
        <v>210</v>
      </c>
    </row>
    <row r="84" spans="1:8" ht="12.75">
      <c r="A84" s="15" t="s">
        <v>94</v>
      </c>
      <c r="B84" s="43">
        <f>B69</f>
        <v>61.41519999999999</v>
      </c>
      <c r="C84" s="43">
        <f>C69</f>
        <v>13.46736</v>
      </c>
      <c r="D84" s="43">
        <f>D69</f>
        <v>119.396</v>
      </c>
      <c r="E84" s="43">
        <f>E69</f>
        <v>10.365120000000001</v>
      </c>
      <c r="F84" s="43">
        <f>F69</f>
        <v>6.73368</v>
      </c>
      <c r="G84" s="43"/>
      <c r="H84" s="43">
        <f>F84+G84</f>
        <v>6.73368</v>
      </c>
    </row>
    <row r="85" spans="1:8" ht="12.75">
      <c r="A85" s="4" t="s">
        <v>123</v>
      </c>
      <c r="B85" s="40">
        <v>0</v>
      </c>
      <c r="C85" s="40">
        <v>0.05</v>
      </c>
      <c r="D85" s="40">
        <v>0.05</v>
      </c>
      <c r="E85" s="40">
        <v>0.05</v>
      </c>
      <c r="F85" s="40">
        <v>0.05</v>
      </c>
      <c r="G85" s="40"/>
      <c r="H85" s="43"/>
    </row>
    <row r="86" spans="1:8" ht="12.75">
      <c r="A86" s="4" t="s">
        <v>124</v>
      </c>
      <c r="B86" s="43">
        <f>-B85*B84</f>
        <v>0</v>
      </c>
      <c r="C86" s="43">
        <f>-C85*C84</f>
        <v>-0.673368</v>
      </c>
      <c r="D86" s="43">
        <f>-D85*D84</f>
        <v>-5.9698</v>
      </c>
      <c r="E86" s="43">
        <f>-E85*E84</f>
        <v>-0.518256</v>
      </c>
      <c r="F86" s="43">
        <f>-F85*F84</f>
        <v>-0.336684</v>
      </c>
      <c r="G86" s="43"/>
      <c r="H86" s="43">
        <f>F86+G86</f>
        <v>-0.336684</v>
      </c>
    </row>
    <row r="87" spans="1:8" ht="12.75">
      <c r="A87" s="15" t="s">
        <v>125</v>
      </c>
      <c r="B87" s="44">
        <f>B84+B86</f>
        <v>61.41519999999999</v>
      </c>
      <c r="C87" s="44">
        <f>C84+C86</f>
        <v>12.793992</v>
      </c>
      <c r="D87" s="44">
        <f>D84+D86</f>
        <v>113.4262</v>
      </c>
      <c r="E87" s="44">
        <f>E84+E86</f>
        <v>9.846864</v>
      </c>
      <c r="F87" s="44">
        <f>F84+F86</f>
        <v>6.396996</v>
      </c>
      <c r="G87" s="44"/>
      <c r="H87" s="44">
        <f>F87+G87</f>
        <v>6.396996</v>
      </c>
    </row>
    <row r="88" spans="1:8" ht="12.75">
      <c r="A88" s="15" t="s">
        <v>127</v>
      </c>
      <c r="B88" s="45">
        <f>B70</f>
        <v>2.6534391534391535</v>
      </c>
      <c r="C88" s="45">
        <f>C70</f>
        <v>0.3907297178130511</v>
      </c>
      <c r="D88" s="45">
        <f>D70</f>
        <v>0.5278439153439153</v>
      </c>
      <c r="E88" s="45">
        <f>E70</f>
        <v>0</v>
      </c>
      <c r="F88" s="45">
        <f>F70</f>
        <v>0.014307760141093471</v>
      </c>
      <c r="G88" s="45"/>
      <c r="H88" s="43">
        <f>F88+G88</f>
        <v>0.014307760141093471</v>
      </c>
    </row>
    <row r="89" spans="1:8" ht="12.75">
      <c r="A89" s="4" t="s">
        <v>123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/>
      <c r="H89" s="44"/>
    </row>
    <row r="90" spans="1:8" ht="12.75">
      <c r="A90" s="4" t="s">
        <v>124</v>
      </c>
      <c r="B90" s="43">
        <f>-B89*B88</f>
        <v>0</v>
      </c>
      <c r="C90" s="43">
        <f>-C89*C88</f>
        <v>0</v>
      </c>
      <c r="D90" s="43">
        <f>-D89*D88</f>
        <v>0</v>
      </c>
      <c r="E90" s="43">
        <f>-E89*E88</f>
        <v>0</v>
      </c>
      <c r="F90" s="43">
        <f>-F89*F88</f>
        <v>0</v>
      </c>
      <c r="G90" s="43"/>
      <c r="H90" s="43">
        <f>F90+G90</f>
        <v>0</v>
      </c>
    </row>
    <row r="91" spans="1:8" ht="12.75">
      <c r="A91" s="15" t="s">
        <v>125</v>
      </c>
      <c r="B91" s="44">
        <f>B88+B90</f>
        <v>2.6534391534391535</v>
      </c>
      <c r="C91" s="44">
        <f>C88+C90</f>
        <v>0.3907297178130511</v>
      </c>
      <c r="D91" s="44">
        <f>D88+D90</f>
        <v>0.5278439153439153</v>
      </c>
      <c r="E91" s="44">
        <f>E88+E90</f>
        <v>0</v>
      </c>
      <c r="F91" s="44">
        <f>F88+F90</f>
        <v>0.014307760141093471</v>
      </c>
      <c r="G91" s="44"/>
      <c r="H91" s="44">
        <f>F91+G91</f>
        <v>0.014307760141093471</v>
      </c>
    </row>
    <row r="92" spans="1:8" ht="12.75">
      <c r="A92" s="15" t="s">
        <v>95</v>
      </c>
      <c r="B92" s="43"/>
      <c r="C92" s="43"/>
      <c r="D92" s="43"/>
      <c r="E92" s="43"/>
      <c r="F92" s="43"/>
      <c r="G92" s="43">
        <f>G71</f>
        <v>7.270891719966053</v>
      </c>
      <c r="H92" s="43">
        <f>F92+G92</f>
        <v>7.270891719966053</v>
      </c>
    </row>
    <row r="93" spans="1:8" ht="12.75">
      <c r="A93" s="4" t="s">
        <v>123</v>
      </c>
      <c r="B93" s="40"/>
      <c r="C93" s="40"/>
      <c r="D93" s="40"/>
      <c r="E93" s="40"/>
      <c r="F93" s="40"/>
      <c r="G93" s="40">
        <v>0.16</v>
      </c>
      <c r="H93" s="43"/>
    </row>
    <row r="94" spans="1:8" ht="12.75">
      <c r="A94" s="4" t="s">
        <v>124</v>
      </c>
      <c r="B94" s="43"/>
      <c r="C94" s="43"/>
      <c r="D94" s="43"/>
      <c r="E94" s="43"/>
      <c r="F94" s="43"/>
      <c r="G94" s="43">
        <f>-G93*G92</f>
        <v>-1.1633426751945686</v>
      </c>
      <c r="H94" s="43">
        <f>F94+G94</f>
        <v>-1.1633426751945686</v>
      </c>
    </row>
    <row r="95" spans="1:8" ht="12.75">
      <c r="A95" s="15" t="s">
        <v>125</v>
      </c>
      <c r="B95" s="44"/>
      <c r="C95" s="44"/>
      <c r="D95" s="44"/>
      <c r="E95" s="44"/>
      <c r="F95" s="44"/>
      <c r="G95" s="44">
        <f>G92+G94</f>
        <v>6.107549044771484</v>
      </c>
      <c r="H95" s="44">
        <f>F95+G95</f>
        <v>6.107549044771484</v>
      </c>
    </row>
    <row r="96" spans="1:8" ht="12.75">
      <c r="A96" s="15" t="s">
        <v>96</v>
      </c>
      <c r="B96" s="43"/>
      <c r="C96" s="43">
        <f>C72</f>
        <v>0</v>
      </c>
      <c r="D96" s="43"/>
      <c r="E96" s="43"/>
      <c r="F96" s="43"/>
      <c r="G96" s="43"/>
      <c r="H96" s="43"/>
    </row>
    <row r="97" spans="1:8" ht="12.75">
      <c r="A97" s="4" t="s">
        <v>123</v>
      </c>
      <c r="B97" s="40"/>
      <c r="C97" s="40">
        <v>0</v>
      </c>
      <c r="D97" s="40"/>
      <c r="E97" s="40"/>
      <c r="F97" s="40"/>
      <c r="G97" s="40"/>
      <c r="H97" s="43"/>
    </row>
    <row r="98" spans="1:8" ht="12.75">
      <c r="A98" s="4" t="s">
        <v>124</v>
      </c>
      <c r="B98" s="43"/>
      <c r="C98" s="43">
        <f>-C97*C96</f>
        <v>0</v>
      </c>
      <c r="D98" s="43"/>
      <c r="E98" s="43"/>
      <c r="F98" s="43"/>
      <c r="G98" s="43"/>
      <c r="H98" s="43"/>
    </row>
    <row r="99" spans="1:8" ht="12.75">
      <c r="A99" s="15" t="s">
        <v>125</v>
      </c>
      <c r="B99" s="44"/>
      <c r="C99" s="44">
        <f>C96+C98</f>
        <v>0</v>
      </c>
      <c r="D99" s="44"/>
      <c r="E99" s="44"/>
      <c r="F99" s="44"/>
      <c r="G99" s="44"/>
      <c r="H99" s="44"/>
    </row>
    <row r="100" spans="1:8" ht="12.75">
      <c r="A100" s="15" t="s">
        <v>97</v>
      </c>
      <c r="B100" s="43"/>
      <c r="C100" s="43">
        <f>C73</f>
        <v>35</v>
      </c>
      <c r="D100" s="43"/>
      <c r="E100" s="43"/>
      <c r="F100" s="43"/>
      <c r="G100" s="43"/>
      <c r="H100" s="43"/>
    </row>
    <row r="101" spans="1:8" ht="12.75">
      <c r="A101" s="4" t="s">
        <v>123</v>
      </c>
      <c r="B101" s="40"/>
      <c r="C101" s="40">
        <v>0</v>
      </c>
      <c r="D101" s="40"/>
      <c r="E101" s="40"/>
      <c r="F101" s="40"/>
      <c r="G101" s="40"/>
      <c r="H101" s="43"/>
    </row>
    <row r="102" spans="1:8" ht="12.75">
      <c r="A102" s="4" t="s">
        <v>124</v>
      </c>
      <c r="B102" s="43"/>
      <c r="C102" s="43">
        <f>-C101*C100</f>
        <v>0</v>
      </c>
      <c r="D102" s="43"/>
      <c r="E102" s="43"/>
      <c r="F102" s="43"/>
      <c r="G102" s="43"/>
      <c r="H102" s="43"/>
    </row>
    <row r="103" spans="1:8" ht="12.75">
      <c r="A103" s="15" t="s">
        <v>125</v>
      </c>
      <c r="B103" s="44"/>
      <c r="C103" s="44">
        <f>C100+C102</f>
        <v>35</v>
      </c>
      <c r="D103" s="44"/>
      <c r="E103" s="44"/>
      <c r="F103" s="44"/>
      <c r="G103" s="44"/>
      <c r="H103" s="44"/>
    </row>
    <row r="104" spans="1:8" ht="12.75">
      <c r="A104" s="15" t="s">
        <v>98</v>
      </c>
      <c r="B104" s="44">
        <f aca="true" t="shared" si="6" ref="B104:G104">B87+B91+B95+B99+B103</f>
        <v>64.06863915343915</v>
      </c>
      <c r="C104" s="44">
        <f t="shared" si="6"/>
        <v>48.18472171781305</v>
      </c>
      <c r="D104" s="44">
        <f t="shared" si="6"/>
        <v>113.95404391534392</v>
      </c>
      <c r="E104" s="44">
        <f t="shared" si="6"/>
        <v>9.846864</v>
      </c>
      <c r="F104" s="44">
        <f t="shared" si="6"/>
        <v>6.411303760141093</v>
      </c>
      <c r="G104" s="44">
        <f t="shared" si="6"/>
        <v>6.107549044771484</v>
      </c>
      <c r="H104" s="44">
        <f>H87+H95+H99+H103</f>
        <v>12.504545044771483</v>
      </c>
    </row>
    <row r="105" spans="1:8" ht="15">
      <c r="A105" s="15" t="s">
        <v>227</v>
      </c>
      <c r="B105" s="44"/>
      <c r="C105" s="44"/>
      <c r="D105" s="44"/>
      <c r="E105" s="44"/>
      <c r="F105" s="44"/>
      <c r="G105" s="44">
        <f>G75*2</f>
        <v>1</v>
      </c>
      <c r="H105" s="44">
        <f>F105+G105</f>
        <v>1</v>
      </c>
    </row>
    <row r="106" spans="1:8" ht="12.75">
      <c r="A106" s="4" t="s">
        <v>123</v>
      </c>
      <c r="B106" s="44"/>
      <c r="C106" s="44"/>
      <c r="D106" s="44"/>
      <c r="E106" s="44"/>
      <c r="F106" s="44"/>
      <c r="G106" s="61">
        <v>0.9</v>
      </c>
      <c r="H106" s="44"/>
    </row>
    <row r="107" spans="1:8" ht="12.75">
      <c r="A107" s="4" t="s">
        <v>124</v>
      </c>
      <c r="B107" s="44"/>
      <c r="C107" s="44"/>
      <c r="D107" s="44"/>
      <c r="E107" s="44"/>
      <c r="F107" s="44"/>
      <c r="G107" s="43">
        <f>-G106*G105</f>
        <v>-0.9</v>
      </c>
      <c r="H107" s="43">
        <f>F107+G107</f>
        <v>-0.9</v>
      </c>
    </row>
    <row r="108" spans="1:8" ht="12.75">
      <c r="A108" s="15" t="s">
        <v>125</v>
      </c>
      <c r="B108" s="44"/>
      <c r="C108" s="44"/>
      <c r="D108" s="44"/>
      <c r="E108" s="44"/>
      <c r="F108" s="44"/>
      <c r="G108" s="44">
        <f>G105+G107</f>
        <v>0.09999999999999998</v>
      </c>
      <c r="H108" s="44">
        <f>F108+G108</f>
        <v>0.09999999999999998</v>
      </c>
    </row>
    <row r="109" spans="1:8" ht="12.75">
      <c r="A109" s="15" t="s">
        <v>99</v>
      </c>
      <c r="B109" s="44">
        <f aca="true" t="shared" si="7" ref="B109:H109">B76</f>
        <v>58.075837742504405</v>
      </c>
      <c r="C109" s="44">
        <f t="shared" si="7"/>
        <v>7.791887125220459</v>
      </c>
      <c r="D109" s="44">
        <f t="shared" si="7"/>
        <v>15.970017636684302</v>
      </c>
      <c r="E109" s="44">
        <f t="shared" si="7"/>
        <v>0</v>
      </c>
      <c r="F109" s="44">
        <f t="shared" si="7"/>
        <v>0.572310405643739</v>
      </c>
      <c r="G109" s="44">
        <f t="shared" si="7"/>
        <v>30.633155477877672</v>
      </c>
      <c r="H109" s="44">
        <f t="shared" si="7"/>
        <v>31.205465883521413</v>
      </c>
    </row>
    <row r="110" spans="1:8" ht="12.75">
      <c r="A110" s="4" t="s">
        <v>123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3"/>
    </row>
    <row r="111" spans="1:8" ht="12.75">
      <c r="A111" s="4" t="s">
        <v>124</v>
      </c>
      <c r="B111" s="43">
        <f aca="true" t="shared" si="8" ref="B111:G111">-B110*B109</f>
        <v>0</v>
      </c>
      <c r="C111" s="43">
        <f t="shared" si="8"/>
        <v>0</v>
      </c>
      <c r="D111" s="43">
        <f t="shared" si="8"/>
        <v>0</v>
      </c>
      <c r="E111" s="43">
        <f t="shared" si="8"/>
        <v>0</v>
      </c>
      <c r="F111" s="43">
        <f t="shared" si="8"/>
        <v>0</v>
      </c>
      <c r="G111" s="43">
        <f t="shared" si="8"/>
        <v>0</v>
      </c>
      <c r="H111" s="43">
        <f>F111+G111</f>
        <v>0</v>
      </c>
    </row>
    <row r="112" spans="1:8" ht="12.75">
      <c r="A112" s="15" t="s">
        <v>125</v>
      </c>
      <c r="B112" s="44">
        <f aca="true" t="shared" si="9" ref="B112:G112">B109+B111</f>
        <v>58.075837742504405</v>
      </c>
      <c r="C112" s="44">
        <f t="shared" si="9"/>
        <v>7.791887125220459</v>
      </c>
      <c r="D112" s="44">
        <f t="shared" si="9"/>
        <v>15.970017636684302</v>
      </c>
      <c r="E112" s="44">
        <f t="shared" si="9"/>
        <v>0</v>
      </c>
      <c r="F112" s="44">
        <f t="shared" si="9"/>
        <v>0.572310405643739</v>
      </c>
      <c r="G112" s="44">
        <f t="shared" si="9"/>
        <v>30.633155477877672</v>
      </c>
      <c r="H112" s="44">
        <f>F112+G112</f>
        <v>31.205465883521413</v>
      </c>
    </row>
    <row r="113" spans="1:8" ht="12.75">
      <c r="A113" s="15" t="s">
        <v>168</v>
      </c>
      <c r="B113" s="44">
        <f aca="true" t="shared" si="10" ref="B113:H113">B112+B108</f>
        <v>58.075837742504405</v>
      </c>
      <c r="C113" s="44">
        <f t="shared" si="10"/>
        <v>7.791887125220459</v>
      </c>
      <c r="D113" s="44">
        <f t="shared" si="10"/>
        <v>15.970017636684302</v>
      </c>
      <c r="E113" s="44">
        <f t="shared" si="10"/>
        <v>0</v>
      </c>
      <c r="F113" s="44">
        <f t="shared" si="10"/>
        <v>0.572310405643739</v>
      </c>
      <c r="G113" s="44">
        <f t="shared" si="10"/>
        <v>30.733155477877673</v>
      </c>
      <c r="H113" s="44">
        <f t="shared" si="10"/>
        <v>31.305465883521414</v>
      </c>
    </row>
    <row r="114" spans="1:8" ht="12.75">
      <c r="A114" s="15" t="s">
        <v>24</v>
      </c>
      <c r="B114" s="44">
        <f aca="true" t="shared" si="11" ref="B114:H114">B104+B113</f>
        <v>122.14447689594355</v>
      </c>
      <c r="C114" s="44">
        <f t="shared" si="11"/>
        <v>55.9766088430335</v>
      </c>
      <c r="D114" s="44">
        <f t="shared" si="11"/>
        <v>129.9240615520282</v>
      </c>
      <c r="E114" s="44">
        <f t="shared" si="11"/>
        <v>9.846864</v>
      </c>
      <c r="F114" s="44">
        <f t="shared" si="11"/>
        <v>6.983614165784832</v>
      </c>
      <c r="G114" s="44">
        <f t="shared" si="11"/>
        <v>36.840704522649155</v>
      </c>
      <c r="H114" s="44">
        <f t="shared" si="11"/>
        <v>43.8100109282929</v>
      </c>
    </row>
    <row r="115" ht="12.75">
      <c r="A115" s="39" t="s">
        <v>132</v>
      </c>
    </row>
    <row r="116" ht="12.75">
      <c r="A116" s="13" t="s">
        <v>228</v>
      </c>
    </row>
  </sheetData>
  <sheetProtection/>
  <mergeCells count="14">
    <mergeCell ref="A46:G46"/>
    <mergeCell ref="A26:D26"/>
    <mergeCell ref="A27:D27"/>
    <mergeCell ref="A81:H81"/>
    <mergeCell ref="A82:H82"/>
    <mergeCell ref="A51:L51"/>
    <mergeCell ref="A52:L52"/>
    <mergeCell ref="A66:H66"/>
    <mergeCell ref="A67:H67"/>
    <mergeCell ref="A3:L3"/>
    <mergeCell ref="A4:L4"/>
    <mergeCell ref="A39:F39"/>
    <mergeCell ref="A40:F40"/>
    <mergeCell ref="A45:G45"/>
  </mergeCells>
  <printOptions horizontalCentered="1"/>
  <pageMargins left="0.75" right="0.75" top="1" bottom="1" header="0.5" footer="0.5"/>
  <pageSetup fitToHeight="21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1"/>
  <dimension ref="A1:N117"/>
  <sheetViews>
    <sheetView zoomScalePageLayoutView="0" workbookViewId="0" topLeftCell="B3">
      <selection activeCell="L17" sqref="L17"/>
    </sheetView>
  </sheetViews>
  <sheetFormatPr defaultColWidth="9.140625" defaultRowHeight="12.75"/>
  <cols>
    <col min="1" max="1" width="37.57421875" style="0" bestFit="1" customWidth="1"/>
    <col min="2" max="2" width="7.7109375" style="0" customWidth="1"/>
    <col min="3" max="3" width="10.421875" style="0" customWidth="1"/>
    <col min="4" max="4" width="9.7109375" style="0" customWidth="1"/>
    <col min="6" max="6" width="10.003906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216</v>
      </c>
    </row>
    <row r="2" ht="12.75" hidden="1">
      <c r="A2" s="52">
        <v>17</v>
      </c>
    </row>
    <row r="3" spans="1:12" ht="12.75">
      <c r="A3" s="87" t="str">
        <f>"Table "&amp;A$2&amp;"-A"</f>
        <v>Table 17-A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SGS Paving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>
        <v>1</v>
      </c>
      <c r="C13" s="2">
        <v>16</v>
      </c>
      <c r="D13" s="2">
        <f>B13*C13</f>
        <v>16</v>
      </c>
      <c r="E13" s="2">
        <v>1</v>
      </c>
      <c r="F13" s="2">
        <f>IF(E13&lt;&gt;"N/A",B13*E13,"N/A")</f>
        <v>1</v>
      </c>
      <c r="G13" s="42">
        <f>$D13*VLOOKUP($A13,'Const. Equip. Emission Factors'!$A$5:$N$25,10,FALSE)</f>
        <v>6.01328</v>
      </c>
      <c r="H13" s="42">
        <f>$D13*VLOOKUP($A13,'Const. Equip. Emission Factors'!$A$5:$N$25,11,FALSE)</f>
        <v>0.8590399999999999</v>
      </c>
      <c r="I13" s="42">
        <f>$D13*VLOOKUP($A13,'Const. Equip. Emission Factors'!$A$5:$N$25,12,FALSE)</f>
        <v>19.75792</v>
      </c>
      <c r="J13" s="42">
        <f>$D13*VLOOKUP($A13,'Const. Equip. Emission Factors'!$A$5:$N$25,13,FALSE)</f>
        <v>1.7180799999999998</v>
      </c>
      <c r="K13" s="42">
        <f>$D13*VLOOKUP($A13,'Const. Equip. Emission Factors'!$A$5:$N$25,14,FALSE)</f>
        <v>0.8590399999999999</v>
      </c>
      <c r="L13" s="43">
        <f>VLOOKUP(A13,'Const. Equip. Emission Factors'!$A$5:$P$23,16,FALSE)*D13</f>
        <v>42.952</v>
      </c>
    </row>
    <row r="14" spans="1:12" ht="12.75">
      <c r="A14" s="4" t="s">
        <v>283</v>
      </c>
      <c r="B14" s="2"/>
      <c r="C14" s="2"/>
      <c r="D14" s="2"/>
      <c r="E14" s="2"/>
      <c r="F14" s="2"/>
      <c r="G14" s="42"/>
      <c r="H14" s="42"/>
      <c r="I14" s="42"/>
      <c r="J14" s="42"/>
      <c r="K14" s="42"/>
      <c r="L14" s="43"/>
    </row>
    <row r="15" spans="1:12" ht="12.75">
      <c r="A15" s="4" t="s">
        <v>284</v>
      </c>
      <c r="B15" s="2"/>
      <c r="C15" s="2"/>
      <c r="D15" s="2"/>
      <c r="E15" s="2"/>
      <c r="F15" s="2"/>
      <c r="G15" s="42"/>
      <c r="H15" s="42"/>
      <c r="I15" s="42"/>
      <c r="J15" s="42"/>
      <c r="K15" s="42"/>
      <c r="L15" s="43"/>
    </row>
    <row r="16" spans="1:12" ht="12.75">
      <c r="A16" s="4" t="s">
        <v>289</v>
      </c>
      <c r="B16" s="2"/>
      <c r="C16" s="2"/>
      <c r="D16" s="2"/>
      <c r="E16" s="2"/>
      <c r="F16" s="2"/>
      <c r="G16" s="42"/>
      <c r="H16" s="42"/>
      <c r="I16" s="42"/>
      <c r="J16" s="42"/>
      <c r="K16" s="42"/>
      <c r="L16" s="43"/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/>
      <c r="C18" s="2"/>
      <c r="D18" s="2"/>
      <c r="E18" s="2"/>
      <c r="F18" s="2"/>
      <c r="G18" s="42"/>
      <c r="H18" s="42"/>
      <c r="I18" s="42"/>
      <c r="J18" s="42"/>
      <c r="K18" s="42"/>
      <c r="L18" s="43"/>
    </row>
    <row r="19" spans="1:12" ht="12.75">
      <c r="A19" s="4" t="s">
        <v>286</v>
      </c>
      <c r="B19" s="2"/>
      <c r="C19" s="2"/>
      <c r="D19" s="2"/>
      <c r="E19" s="2"/>
      <c r="F19" s="2"/>
      <c r="G19" s="42"/>
      <c r="H19" s="42"/>
      <c r="I19" s="42"/>
      <c r="J19" s="42"/>
      <c r="K19" s="42"/>
      <c r="L19" s="43"/>
    </row>
    <row r="20" spans="1:12" ht="12.75">
      <c r="A20" s="4" t="s">
        <v>287</v>
      </c>
      <c r="B20" s="2"/>
      <c r="C20" s="2"/>
      <c r="D20" s="2"/>
      <c r="E20" s="2"/>
      <c r="F20" s="2"/>
      <c r="G20" s="42"/>
      <c r="H20" s="42"/>
      <c r="I20" s="42"/>
      <c r="J20" s="42"/>
      <c r="K20" s="42"/>
      <c r="L20" s="43"/>
    </row>
    <row r="21" spans="1:12" ht="12.75">
      <c r="A21" s="4" t="s">
        <v>288</v>
      </c>
      <c r="B21" s="2"/>
      <c r="C21" s="2"/>
      <c r="D21" s="2"/>
      <c r="E21" s="2"/>
      <c r="F21" s="2"/>
      <c r="G21" s="42"/>
      <c r="H21" s="42"/>
      <c r="I21" s="42"/>
      <c r="J21" s="42"/>
      <c r="K21" s="42"/>
      <c r="L21" s="43"/>
    </row>
    <row r="22" spans="1:12" ht="12.75">
      <c r="A22" s="4" t="s">
        <v>27</v>
      </c>
      <c r="B22" s="2"/>
      <c r="C22" s="2"/>
      <c r="D22" s="2"/>
      <c r="E22" s="2"/>
      <c r="F22" s="2"/>
      <c r="G22" s="14"/>
      <c r="H22" s="14"/>
      <c r="I22" s="14"/>
      <c r="J22" s="14"/>
      <c r="K22" s="14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16.13168</v>
      </c>
      <c r="H23" s="46">
        <f t="shared" si="0"/>
        <v>2.3768</v>
      </c>
      <c r="I23" s="46">
        <f t="shared" si="0"/>
        <v>31.9</v>
      </c>
      <c r="J23" s="46">
        <f t="shared" si="0"/>
        <v>2.72992</v>
      </c>
      <c r="K23" s="46">
        <f t="shared" si="0"/>
        <v>1.6179199999999998</v>
      </c>
      <c r="L23" s="46">
        <f t="shared" si="0"/>
        <v>68.248</v>
      </c>
    </row>
    <row r="25" spans="1:4" ht="12.75">
      <c r="A25" s="87" t="str">
        <f>"Table "&amp;A$2&amp;"-B"</f>
        <v>Table 17-B</v>
      </c>
      <c r="B25" s="87"/>
      <c r="C25" s="87"/>
      <c r="D25" s="87"/>
    </row>
    <row r="26" spans="1:4" ht="12.75">
      <c r="A26" s="85" t="str">
        <f>A$1&amp;" Fugitive Dust Emissions (Pre-Mitigation)"</f>
        <v>SGS Paving Fugitive Dust Emissions (Pre-Mitigation)</v>
      </c>
      <c r="B26" s="85"/>
      <c r="C26" s="85"/>
      <c r="D26" s="85"/>
    </row>
    <row r="27" spans="1:4" ht="28.5">
      <c r="A27" s="2" t="s">
        <v>87</v>
      </c>
      <c r="B27" s="3" t="s">
        <v>81</v>
      </c>
      <c r="C27" s="2" t="s">
        <v>82</v>
      </c>
      <c r="D27" s="3" t="s">
        <v>201</v>
      </c>
    </row>
    <row r="28" spans="1:4" ht="12.75">
      <c r="A28" s="4" t="s">
        <v>44</v>
      </c>
      <c r="B28" s="2">
        <f>SUM(D6:D7)</f>
        <v>0</v>
      </c>
      <c r="C28" s="2" t="s">
        <v>83</v>
      </c>
      <c r="D28" s="43">
        <f>B28*'Fug. Dust Emission Factors'!C15</f>
        <v>0</v>
      </c>
    </row>
    <row r="29" spans="1:4" ht="12.75">
      <c r="A29" s="4" t="s">
        <v>45</v>
      </c>
      <c r="B29" s="14">
        <f>F8</f>
        <v>0</v>
      </c>
      <c r="C29" s="2" t="s">
        <v>83</v>
      </c>
      <c r="D29" s="43">
        <f>B29*'Fug. Dust Emission Factors'!C30</f>
        <v>0</v>
      </c>
    </row>
    <row r="30" spans="1:4" ht="12.75">
      <c r="A30" s="4" t="s">
        <v>109</v>
      </c>
      <c r="B30" s="14">
        <f>SUM(F6:F22)-F8+E55+E56+E57+E58</f>
        <v>7</v>
      </c>
      <c r="C30" s="2" t="s">
        <v>46</v>
      </c>
      <c r="D30" s="43">
        <f>B30*'Fug. Dust Emission Factors'!C50</f>
        <v>2.126439550676036</v>
      </c>
    </row>
    <row r="31" spans="1:4" ht="12.75">
      <c r="A31" s="4" t="s">
        <v>110</v>
      </c>
      <c r="B31" s="14">
        <f>E54</f>
        <v>2</v>
      </c>
      <c r="C31" s="2" t="s">
        <v>46</v>
      </c>
      <c r="D31" s="43">
        <f>B31*'Fug. Dust Emission Factors'!C65</f>
        <v>0.5996508901095823</v>
      </c>
    </row>
    <row r="32" spans="1:4" ht="12.75">
      <c r="A32" s="4" t="s">
        <v>69</v>
      </c>
      <c r="B32" s="11">
        <v>0</v>
      </c>
      <c r="C32" s="2" t="s">
        <v>85</v>
      </c>
      <c r="D32" s="43">
        <f>B32*'Fug. Dust Emission Factors'!C84</f>
        <v>0</v>
      </c>
    </row>
    <row r="33" spans="1:4" ht="12.75">
      <c r="A33" s="4" t="s">
        <v>75</v>
      </c>
      <c r="B33" s="2">
        <v>0</v>
      </c>
      <c r="C33" s="2" t="s">
        <v>86</v>
      </c>
      <c r="D33" s="43">
        <f>B33*'Fug. Dust Emission Factors'!C99</f>
        <v>0</v>
      </c>
    </row>
    <row r="34" spans="1:4" ht="12.75">
      <c r="A34" s="4" t="s">
        <v>148</v>
      </c>
      <c r="B34" s="2">
        <f>B61</f>
        <v>0</v>
      </c>
      <c r="C34" s="2" t="s">
        <v>166</v>
      </c>
      <c r="D34" s="43">
        <f>B34*'Fug. Dust Emission Factors'!C129</f>
        <v>0</v>
      </c>
    </row>
    <row r="35" spans="1:4" ht="12.75">
      <c r="A35" s="15" t="s">
        <v>24</v>
      </c>
      <c r="B35" s="4"/>
      <c r="C35" s="4"/>
      <c r="D35" s="44">
        <f>SUM(D28:D34)</f>
        <v>2.726090440785618</v>
      </c>
    </row>
    <row r="36" ht="12.75">
      <c r="A36" s="39" t="s">
        <v>132</v>
      </c>
    </row>
    <row r="37" ht="12.75">
      <c r="A37" s="39"/>
    </row>
    <row r="38" spans="1:6" ht="12.75">
      <c r="A38" s="87" t="str">
        <f>"Table "&amp;A$2&amp;"-C"</f>
        <v>Table 17-C</v>
      </c>
      <c r="B38" s="87"/>
      <c r="C38" s="87"/>
      <c r="D38" s="87"/>
      <c r="E38" s="87"/>
      <c r="F38" s="87"/>
    </row>
    <row r="39" spans="1:6" ht="12.75">
      <c r="A39" s="85" t="str">
        <f>A$1&amp;" Asphaltic Paving Emissions (Pre-Mitigation)"</f>
        <v>SGS Paving Asphaltic Paving Emissions (Pre-Mitigation)</v>
      </c>
      <c r="B39" s="85"/>
      <c r="C39" s="85"/>
      <c r="D39" s="85"/>
      <c r="E39" s="85"/>
      <c r="F39" s="85"/>
    </row>
    <row r="40" spans="1:6" ht="12.75">
      <c r="A40" s="4" t="s">
        <v>88</v>
      </c>
      <c r="B40" s="12">
        <f>1125/43650</f>
        <v>0.02577319587628866</v>
      </c>
      <c r="C40" s="33"/>
      <c r="D40" s="31"/>
      <c r="E40" s="31"/>
      <c r="F40" s="32"/>
    </row>
    <row r="41" spans="1:6" ht="12.75">
      <c r="A41" s="4" t="s">
        <v>89</v>
      </c>
      <c r="B41" s="2">
        <v>2.62</v>
      </c>
      <c r="C41" s="33" t="s">
        <v>90</v>
      </c>
      <c r="D41" s="31"/>
      <c r="E41" s="31"/>
      <c r="F41" s="32"/>
    </row>
    <row r="42" spans="1:6" ht="12.75">
      <c r="A42" s="15" t="s">
        <v>92</v>
      </c>
      <c r="B42" s="44">
        <f>B41*B40</f>
        <v>0.06752577319587628</v>
      </c>
      <c r="C42" s="33"/>
      <c r="D42" s="31"/>
      <c r="E42" s="31"/>
      <c r="F42" s="32"/>
    </row>
    <row r="43" spans="1:6" ht="12.75">
      <c r="A43" s="50"/>
      <c r="B43" s="49"/>
      <c r="C43" s="29"/>
      <c r="D43" s="29"/>
      <c r="E43" s="29"/>
      <c r="F43" s="29"/>
    </row>
    <row r="45" spans="1:7" ht="12.75">
      <c r="A45" s="87" t="str">
        <f>"Table "&amp;A$2&amp;"-D"</f>
        <v>Table 17-D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SGS Paving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17-E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SGS Paving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</v>
      </c>
      <c r="C54" s="2">
        <v>2</v>
      </c>
      <c r="D54" s="2">
        <v>2</v>
      </c>
      <c r="E54" s="14">
        <f>B54*C54</f>
        <v>2</v>
      </c>
      <c r="F54" s="14">
        <f>B54*D54</f>
        <v>2</v>
      </c>
      <c r="G54" s="42">
        <f>(E54*VLOOKUP(A54,'Motor Vehicle Emission Factors'!$A$6:$T$42,7,FALSE)+F54*VLOOKUP(A54,'Motor Vehicle Emission Factors'!$A$6:$T$42,8,FALSE))/453.6</f>
        <v>0.20185185185185184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0.039898589065255737</v>
      </c>
      <c r="I54" s="42">
        <f>(E54*VLOOKUP(A54,'Motor Vehicle Emission Factors'!$A$6:$T$42,15,FALSE)+F54*VLOOKUP(A54,'Motor Vehicle Emission Factors'!$A$6:$T$42,16,FALSE))/453.6</f>
        <v>0.018915343915343913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4.409171075837742E-05</v>
      </c>
      <c r="L54" s="42">
        <f>J54+K54</f>
        <v>4.409171075837742E-05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6</v>
      </c>
      <c r="C58" s="2">
        <v>1</v>
      </c>
      <c r="D58" s="2">
        <v>2</v>
      </c>
      <c r="E58" s="14">
        <f>B58*C58</f>
        <v>6</v>
      </c>
      <c r="F58" s="14">
        <f>B58*D58</f>
        <v>12</v>
      </c>
      <c r="G58" s="42">
        <f>(E58*VLOOKUP(A58,'Motor Vehicle Emission Factors'!$A$6:$T$42,7,FALSE)+F58*VLOOKUP(A58,'Motor Vehicle Emission Factors'!$A$6:$T$42,8,FALSE))/453.6</f>
        <v>0.4444444444444445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0.046164021164021164</v>
      </c>
      <c r="I58" s="42">
        <f>(E58*VLOOKUP(A58,'Motor Vehicle Emission Factors'!$A$6:$T$42,15,FALSE)+F58*VLOOKUP(A58,'Motor Vehicle Emission Factors'!$A$6:$T$42,16,FALSE))/453.6</f>
        <v>0.2087301587301587</v>
      </c>
      <c r="J58" s="42">
        <f>E58*VLOOKUP(A58,'Motor Vehicle Emission Factors'!$A$6:$T$42,17,FALSE)/453.6</f>
        <v>0.007804232804232804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0.00013227513227513226</v>
      </c>
      <c r="L58" s="42">
        <f>J58+K58</f>
        <v>0.007936507936507936</v>
      </c>
    </row>
    <row r="59" spans="1:12" ht="12.75">
      <c r="A59" s="4" t="s">
        <v>105</v>
      </c>
      <c r="B59" s="2">
        <v>3</v>
      </c>
      <c r="C59" s="2">
        <v>40</v>
      </c>
      <c r="D59" s="2">
        <v>2</v>
      </c>
      <c r="E59" s="14">
        <f>B59*C59</f>
        <v>120</v>
      </c>
      <c r="F59" s="14">
        <f>B59*D59</f>
        <v>6</v>
      </c>
      <c r="G59" s="42">
        <f>(E59*VLOOKUP(A59,'Motor Vehicle Emission Factors'!$A$6:$T$42,7,FALSE)+F59*VLOOKUP(A59,'Motor Vehicle Emission Factors'!$A$6:$T$42,8,FALSE))/453.6</f>
        <v>1.4518518518518517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0.1898148148148148</v>
      </c>
      <c r="I59" s="42">
        <f>(E59*VLOOKUP(A59,'Motor Vehicle Emission Factors'!$A$6:$T$42,15,FALSE)+F59*VLOOKUP(A59,'Motor Vehicle Emission Factors'!$A$6:$T$42,16,FALSE))/453.6</f>
        <v>0.20992063492063495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0.14882767054190232</v>
      </c>
      <c r="L59" s="42">
        <f>J59+K59</f>
        <v>0.14882767054190232</v>
      </c>
    </row>
    <row r="60" spans="1:12" ht="12.75">
      <c r="A60" s="4" t="s">
        <v>129</v>
      </c>
      <c r="B60" s="2">
        <v>6</v>
      </c>
      <c r="C60" s="2">
        <v>40</v>
      </c>
      <c r="D60" s="2">
        <v>2</v>
      </c>
      <c r="E60" s="14">
        <f>B60*C60</f>
        <v>240</v>
      </c>
      <c r="F60" s="14">
        <f>B60*D60</f>
        <v>12</v>
      </c>
      <c r="G60" s="42">
        <f>(E60*VLOOKUP(A60,'Motor Vehicle Emission Factors'!$A$6:$T$42,7,FALSE)+F60*VLOOKUP(A60,'Motor Vehicle Emission Factors'!$A$6:$T$42,8,FALSE))/453.6</f>
        <v>5.280423280423281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0.7989417989417988</v>
      </c>
      <c r="I60" s="42">
        <f>(E60*VLOOKUP(A60,'Motor Vehicle Emission Factors'!$A$6:$T$42,15,FALSE)+F60*VLOOKUP(A60,'Motor Vehicle Emission Factors'!$A$6:$T$42,16,FALSE))/453.6</f>
        <v>4.894179894179894</v>
      </c>
      <c r="J60" s="42">
        <f>E60*VLOOKUP(A60,'Motor Vehicle Emission Factors'!$A$6:$T$42,17,FALSE)/453.6</f>
        <v>0.31216931216931215</v>
      </c>
      <c r="K60" s="42">
        <f>E60*(VLOOKUP(A60,'Motor Vehicle Emission Factors'!$A$6:$T$42,18,FALSE)+VLOOKUP(A60,'Motor Vehicle Emission Factors'!$A$6:$T$42,19,FALSE)+VLOOKUP(A60,'Motor Vehicle Emission Factors'!$A$6:$T$42,20,FALSE))/453.6</f>
        <v>14.003036250807776</v>
      </c>
      <c r="L60" s="42">
        <f>J60+K60</f>
        <v>14.315205562977088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7.378571428571429</v>
      </c>
      <c r="H62" s="46">
        <f t="shared" si="1"/>
        <v>1.0748192239858905</v>
      </c>
      <c r="I62" s="46">
        <f t="shared" si="1"/>
        <v>5.3317460317460315</v>
      </c>
      <c r="J62" s="46">
        <f t="shared" si="1"/>
        <v>0.31997354497354497</v>
      </c>
      <c r="K62" s="46">
        <f t="shared" si="1"/>
        <v>14.152040288192712</v>
      </c>
      <c r="L62" s="46">
        <f t="shared" si="1"/>
        <v>14.472013833166256</v>
      </c>
      <c r="M62" s="71">
        <f>E54+E59</f>
        <v>122</v>
      </c>
      <c r="N62" s="71">
        <f>SUM(E54:E61)-M62</f>
        <v>246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17-F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SGS Paving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16.13168</v>
      </c>
      <c r="C69" s="43">
        <f>H23</f>
        <v>2.3768</v>
      </c>
      <c r="D69" s="43">
        <f>I23</f>
        <v>31.9</v>
      </c>
      <c r="E69" s="43">
        <f>J23</f>
        <v>2.72992</v>
      </c>
      <c r="F69" s="43">
        <f>K23</f>
        <v>1.6179199999999998</v>
      </c>
      <c r="G69" s="43"/>
      <c r="H69" s="43">
        <f aca="true" t="shared" si="2" ref="H69:H77">F69+G69</f>
        <v>1.6179199999999998</v>
      </c>
    </row>
    <row r="70" spans="1:8" ht="12.75">
      <c r="A70" s="51" t="s">
        <v>127</v>
      </c>
      <c r="B70" s="43">
        <f>SUM(G54:G58)</f>
        <v>0.6462962962962964</v>
      </c>
      <c r="C70" s="43">
        <f>SUM(H54:H58)</f>
        <v>0.0860626102292769</v>
      </c>
      <c r="D70" s="43">
        <f>SUM(I54:I58)</f>
        <v>0.22764550264550262</v>
      </c>
      <c r="E70" s="43">
        <v>0</v>
      </c>
      <c r="F70" s="43">
        <f>SUM(J54:J58)</f>
        <v>0.007804232804232804</v>
      </c>
      <c r="G70" s="43"/>
      <c r="H70" s="43">
        <f t="shared" si="2"/>
        <v>0.007804232804232804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D35-D34</f>
        <v>2.726090440785618</v>
      </c>
      <c r="H71" s="43">
        <f t="shared" si="2"/>
        <v>2.726090440785618</v>
      </c>
    </row>
    <row r="72" spans="1:8" ht="12.75">
      <c r="A72" s="51" t="s">
        <v>96</v>
      </c>
      <c r="B72" s="43"/>
      <c r="C72" s="43">
        <f>B42</f>
        <v>0.06752577319587628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16.777976296296295</v>
      </c>
      <c r="C74" s="44">
        <f t="shared" si="3"/>
        <v>2.5303883834251533</v>
      </c>
      <c r="D74" s="44">
        <f t="shared" si="3"/>
        <v>32.1276455026455</v>
      </c>
      <c r="E74" s="44">
        <f t="shared" si="3"/>
        <v>2.72992</v>
      </c>
      <c r="F74" s="44">
        <f t="shared" si="3"/>
        <v>1.6257242328042325</v>
      </c>
      <c r="G74" s="44">
        <f t="shared" si="3"/>
        <v>2.726090440785618</v>
      </c>
      <c r="H74" s="44">
        <f t="shared" si="2"/>
        <v>4.351814673589851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D34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6.732275132275133</v>
      </c>
      <c r="C76" s="45">
        <f>SUM(H59:H61)</f>
        <v>0.9887566137566136</v>
      </c>
      <c r="D76" s="45">
        <f>SUM(I59:I61)</f>
        <v>5.104100529100529</v>
      </c>
      <c r="E76" s="45">
        <v>0</v>
      </c>
      <c r="F76" s="45">
        <f>SUM(J59:J61)</f>
        <v>0.31216931216931215</v>
      </c>
      <c r="G76" s="45">
        <f>SUM(K59:K61)</f>
        <v>14.151863921349678</v>
      </c>
      <c r="H76" s="45">
        <f t="shared" si="2"/>
        <v>14.46403323351899</v>
      </c>
    </row>
    <row r="77" spans="1:8" ht="12.75">
      <c r="A77" s="15" t="s">
        <v>168</v>
      </c>
      <c r="B77" s="44">
        <f aca="true" t="shared" si="4" ref="B77:G77">SUM(B75:B76)</f>
        <v>6.732275132275133</v>
      </c>
      <c r="C77" s="44">
        <f t="shared" si="4"/>
        <v>0.9887566137566136</v>
      </c>
      <c r="D77" s="44">
        <f t="shared" si="4"/>
        <v>5.104100529100529</v>
      </c>
      <c r="E77" s="44">
        <f t="shared" si="4"/>
        <v>0</v>
      </c>
      <c r="F77" s="44">
        <f t="shared" si="4"/>
        <v>0.31216931216931215</v>
      </c>
      <c r="G77" s="44">
        <f t="shared" si="4"/>
        <v>14.151863921349678</v>
      </c>
      <c r="H77" s="44">
        <f t="shared" si="2"/>
        <v>14.46403323351899</v>
      </c>
    </row>
    <row r="78" spans="1:8" ht="12.75">
      <c r="A78" s="15" t="s">
        <v>24</v>
      </c>
      <c r="B78" s="44">
        <f aca="true" t="shared" si="5" ref="B78:H78">B74+B77</f>
        <v>23.51025142857143</v>
      </c>
      <c r="C78" s="44">
        <f t="shared" si="5"/>
        <v>3.5191449971817668</v>
      </c>
      <c r="D78" s="44">
        <f t="shared" si="5"/>
        <v>37.23174603174603</v>
      </c>
      <c r="E78" s="44">
        <f t="shared" si="5"/>
        <v>2.72992</v>
      </c>
      <c r="F78" s="44">
        <f t="shared" si="5"/>
        <v>1.9378935449735446</v>
      </c>
      <c r="G78" s="44">
        <f t="shared" si="5"/>
        <v>16.877954362135295</v>
      </c>
      <c r="H78" s="44">
        <f t="shared" si="5"/>
        <v>18.81584790710884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17-G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SGS Paving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16.13168</v>
      </c>
      <c r="C85" s="43">
        <f>C69</f>
        <v>2.3768</v>
      </c>
      <c r="D85" s="43">
        <f>D69</f>
        <v>31.9</v>
      </c>
      <c r="E85" s="43">
        <f>E69</f>
        <v>2.72992</v>
      </c>
      <c r="F85" s="43">
        <f>F69</f>
        <v>1.6179199999999998</v>
      </c>
      <c r="G85" s="43"/>
      <c r="H85" s="43">
        <f>F85+G85</f>
        <v>1.6179199999999998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-0.11884</v>
      </c>
      <c r="D87" s="43">
        <f>-D86*D85</f>
        <v>-1.595</v>
      </c>
      <c r="E87" s="43">
        <f>-E86*E85</f>
        <v>-0.136496</v>
      </c>
      <c r="F87" s="43">
        <f>-F86*F85</f>
        <v>-0.080896</v>
      </c>
      <c r="G87" s="43"/>
      <c r="H87" s="43">
        <f>F87+G87</f>
        <v>-0.080896</v>
      </c>
    </row>
    <row r="88" spans="1:8" ht="12.75">
      <c r="A88" s="15" t="s">
        <v>125</v>
      </c>
      <c r="B88" s="44">
        <f>B85+B87</f>
        <v>16.13168</v>
      </c>
      <c r="C88" s="44">
        <f>C85+C87</f>
        <v>2.2579599999999997</v>
      </c>
      <c r="D88" s="44">
        <f>D85+D87</f>
        <v>30.305</v>
      </c>
      <c r="E88" s="44">
        <f>E85+E87</f>
        <v>2.5934239999999997</v>
      </c>
      <c r="F88" s="44">
        <f>F85+F87</f>
        <v>1.5370239999999997</v>
      </c>
      <c r="G88" s="44"/>
      <c r="H88" s="44">
        <f>F88+G88</f>
        <v>1.5370239999999997</v>
      </c>
    </row>
    <row r="89" spans="1:8" ht="12.75">
      <c r="A89" s="15" t="s">
        <v>127</v>
      </c>
      <c r="B89" s="45">
        <f>B70</f>
        <v>0.6462962962962964</v>
      </c>
      <c r="C89" s="45">
        <f>C70</f>
        <v>0.0860626102292769</v>
      </c>
      <c r="D89" s="45">
        <f>D70</f>
        <v>0.22764550264550262</v>
      </c>
      <c r="E89" s="45">
        <f>E70</f>
        <v>0</v>
      </c>
      <c r="F89" s="45">
        <f>F70</f>
        <v>0.007804232804232804</v>
      </c>
      <c r="G89" s="45"/>
      <c r="H89" s="43">
        <f>F89+G89</f>
        <v>0.007804232804232804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0.6462962962962964</v>
      </c>
      <c r="C92" s="44">
        <f>C89+C91</f>
        <v>0.0860626102292769</v>
      </c>
      <c r="D92" s="44">
        <f>D89+D91</f>
        <v>0.22764550264550262</v>
      </c>
      <c r="E92" s="44">
        <f>E89+E91</f>
        <v>0</v>
      </c>
      <c r="F92" s="44">
        <f>F89+F91</f>
        <v>0.007804232804232804</v>
      </c>
      <c r="G92" s="44"/>
      <c r="H92" s="44">
        <f>F92+G92</f>
        <v>0.007804232804232804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2.726090440785618</v>
      </c>
      <c r="H93" s="43">
        <f>F93+G93</f>
        <v>2.726090440785618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-0.43617447052569885</v>
      </c>
      <c r="H95" s="43">
        <f>F95+G95</f>
        <v>-0.43617447052569885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2.289915970259919</v>
      </c>
      <c r="H96" s="44">
        <f>F96+G96</f>
        <v>2.289915970259919</v>
      </c>
    </row>
    <row r="97" spans="1:8" ht="12.75">
      <c r="A97" s="15" t="s">
        <v>96</v>
      </c>
      <c r="B97" s="43"/>
      <c r="C97" s="43">
        <f>C72</f>
        <v>0.06752577319587628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0.06752577319587628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16.777976296296295</v>
      </c>
      <c r="C105" s="44">
        <f t="shared" si="6"/>
        <v>2.411548383425153</v>
      </c>
      <c r="D105" s="44">
        <f t="shared" si="6"/>
        <v>30.5326455026455</v>
      </c>
      <c r="E105" s="44">
        <f t="shared" si="6"/>
        <v>2.5934239999999997</v>
      </c>
      <c r="F105" s="44">
        <f t="shared" si="6"/>
        <v>1.5448282328042324</v>
      </c>
      <c r="G105" s="44">
        <f t="shared" si="6"/>
        <v>2.289915970259919</v>
      </c>
      <c r="H105" s="44">
        <f>H88+H96+H100+H104</f>
        <v>3.826939970259919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 aca="true" t="shared" si="7" ref="B110:H110">B76</f>
        <v>6.732275132275133</v>
      </c>
      <c r="C110" s="44">
        <f t="shared" si="7"/>
        <v>0.9887566137566136</v>
      </c>
      <c r="D110" s="44">
        <f t="shared" si="7"/>
        <v>5.104100529100529</v>
      </c>
      <c r="E110" s="44">
        <f t="shared" si="7"/>
        <v>0</v>
      </c>
      <c r="F110" s="44">
        <f t="shared" si="7"/>
        <v>0.31216931216931215</v>
      </c>
      <c r="G110" s="44">
        <f t="shared" si="7"/>
        <v>14.151863921349678</v>
      </c>
      <c r="H110" s="44">
        <f t="shared" si="7"/>
        <v>14.46403323351899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6.732275132275133</v>
      </c>
      <c r="C113" s="44">
        <f t="shared" si="9"/>
        <v>0.9887566137566136</v>
      </c>
      <c r="D113" s="44">
        <f t="shared" si="9"/>
        <v>5.104100529100529</v>
      </c>
      <c r="E113" s="44">
        <f t="shared" si="9"/>
        <v>0</v>
      </c>
      <c r="F113" s="44">
        <f t="shared" si="9"/>
        <v>0.31216931216931215</v>
      </c>
      <c r="G113" s="44">
        <f t="shared" si="9"/>
        <v>14.151863921349678</v>
      </c>
      <c r="H113" s="44">
        <f>F113+G113</f>
        <v>14.46403323351899</v>
      </c>
    </row>
    <row r="114" spans="1:8" ht="12.75">
      <c r="A114" s="15" t="s">
        <v>168</v>
      </c>
      <c r="B114" s="44">
        <f aca="true" t="shared" si="10" ref="B114:H114">B113+B109</f>
        <v>6.732275132275133</v>
      </c>
      <c r="C114" s="44">
        <f t="shared" si="10"/>
        <v>0.9887566137566136</v>
      </c>
      <c r="D114" s="44">
        <f t="shared" si="10"/>
        <v>5.104100529100529</v>
      </c>
      <c r="E114" s="44">
        <f t="shared" si="10"/>
        <v>0</v>
      </c>
      <c r="F114" s="44">
        <f t="shared" si="10"/>
        <v>0.31216931216931215</v>
      </c>
      <c r="G114" s="44">
        <f t="shared" si="10"/>
        <v>14.151863921349678</v>
      </c>
      <c r="H114" s="44">
        <f t="shared" si="10"/>
        <v>14.46403323351899</v>
      </c>
    </row>
    <row r="115" spans="1:8" ht="12.75">
      <c r="A115" s="15" t="s">
        <v>24</v>
      </c>
      <c r="B115" s="44">
        <f aca="true" t="shared" si="11" ref="B115:H115">B105+B114</f>
        <v>23.51025142857143</v>
      </c>
      <c r="C115" s="44">
        <f t="shared" si="11"/>
        <v>3.4003049971817667</v>
      </c>
      <c r="D115" s="44">
        <f t="shared" si="11"/>
        <v>35.63674603174603</v>
      </c>
      <c r="E115" s="44">
        <f t="shared" si="11"/>
        <v>2.5934239999999997</v>
      </c>
      <c r="F115" s="44">
        <f t="shared" si="11"/>
        <v>1.8569975449735445</v>
      </c>
      <c r="G115" s="44">
        <f t="shared" si="11"/>
        <v>16.4417798916096</v>
      </c>
      <c r="H115" s="44">
        <f t="shared" si="11"/>
        <v>18.290973203778908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46:G46"/>
    <mergeCell ref="A25:D25"/>
    <mergeCell ref="A26:D26"/>
    <mergeCell ref="A82:H82"/>
    <mergeCell ref="A83:H83"/>
    <mergeCell ref="A51:L51"/>
    <mergeCell ref="A52:L52"/>
    <mergeCell ref="A66:H66"/>
    <mergeCell ref="A67:H67"/>
    <mergeCell ref="A3:L3"/>
    <mergeCell ref="A4:L4"/>
    <mergeCell ref="A38:F38"/>
    <mergeCell ref="A39:F39"/>
    <mergeCell ref="A45:G45"/>
  </mergeCells>
  <printOptions horizontalCentered="1"/>
  <pageMargins left="0.75" right="0.75" top="1" bottom="1" header="0.5" footer="0.5"/>
  <pageSetup fitToHeight="21" horizontalDpi="300" verticalDpi="300" orientation="landscape" scale="76" r:id="rId1"/>
  <headerFooter alignWithMargins="0">
    <oddFooter>&amp;CPage &amp;P of &amp;N&amp;R&amp;D</oddFooter>
  </headerFooter>
  <rowBreaks count="2" manualBreakCount="2">
    <brk id="37" max="255" man="1"/>
    <brk id="8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11"/>
  <dimension ref="A1:N117"/>
  <sheetViews>
    <sheetView zoomScalePageLayoutView="0" workbookViewId="0" topLeftCell="B3">
      <selection activeCell="L17" sqref="L17"/>
    </sheetView>
  </sheetViews>
  <sheetFormatPr defaultColWidth="9.140625" defaultRowHeight="12.75"/>
  <cols>
    <col min="1" max="1" width="37.57421875" style="0" customWidth="1"/>
    <col min="2" max="2" width="8.421875" style="0" customWidth="1"/>
    <col min="3" max="3" width="11.00390625" style="0" customWidth="1"/>
    <col min="4" max="4" width="9.8515625" style="0" customWidth="1"/>
    <col min="6" max="6" width="9.8515625" style="0" customWidth="1"/>
    <col min="10" max="10" width="9.281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217</v>
      </c>
    </row>
    <row r="2" ht="12.75" hidden="1">
      <c r="A2" s="53">
        <v>18</v>
      </c>
    </row>
    <row r="3" spans="1:12" ht="12.75">
      <c r="A3" s="87" t="str">
        <f>"Table "&amp;A$2&amp;"-A"</f>
        <v>Table 18-A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VGS Grading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42"/>
      <c r="H7" s="42"/>
      <c r="I7" s="42"/>
      <c r="J7" s="42"/>
      <c r="K7" s="42"/>
      <c r="L7" s="2"/>
    </row>
    <row r="8" spans="1:12" ht="12.75">
      <c r="A8" s="4" t="s">
        <v>43</v>
      </c>
      <c r="B8" s="2">
        <v>1</v>
      </c>
      <c r="C8" s="2">
        <v>16</v>
      </c>
      <c r="D8" s="2">
        <f>B8*C8</f>
        <v>16</v>
      </c>
      <c r="E8" s="2">
        <v>1</v>
      </c>
      <c r="F8" s="2">
        <f>IF(E8&lt;&gt;"N/A",B8*E8,"N/A")</f>
        <v>1</v>
      </c>
      <c r="G8" s="42">
        <f>$D8*VLOOKUP($A8,'Const. Equip. Emission Factors'!$A$5:$N$25,10,FALSE)</f>
        <v>11.52576</v>
      </c>
      <c r="H8" s="42">
        <f>$D8*VLOOKUP($A8,'Const. Equip. Emission Factors'!$A$5:$N$25,11,FALSE)</f>
        <v>4.32216</v>
      </c>
      <c r="I8" s="42">
        <f>$D8*VLOOKUP($A8,'Const. Equip. Emission Factors'!$A$5:$N$25,12,FALSE)</f>
        <v>30.25512</v>
      </c>
      <c r="J8" s="42">
        <f>$D8*VLOOKUP($A8,'Const. Equip. Emission Factors'!$A$5:$N$25,13,FALSE)</f>
        <v>2.88144</v>
      </c>
      <c r="K8" s="42">
        <f>$D8*VLOOKUP($A8,'Const. Equip. Emission Factors'!$A$5:$N$25,14,FALSE)</f>
        <v>1.44072</v>
      </c>
      <c r="L8" s="43">
        <f>VLOOKUP(A8,'Const. Equip. Emission Factors'!$A$5:$P$23,16,FALSE)*D8</f>
        <v>72.036</v>
      </c>
    </row>
    <row r="9" spans="1:12" ht="12.75">
      <c r="A9" s="4" t="s">
        <v>33</v>
      </c>
      <c r="B9" s="2"/>
      <c r="C9" s="2"/>
      <c r="D9" s="2"/>
      <c r="E9" s="2"/>
      <c r="F9" s="2"/>
      <c r="G9" s="42"/>
      <c r="H9" s="42"/>
      <c r="I9" s="42"/>
      <c r="J9" s="42"/>
      <c r="K9" s="42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42"/>
      <c r="H10" s="42"/>
      <c r="I10" s="42"/>
      <c r="J10" s="42"/>
      <c r="K10" s="42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42"/>
      <c r="H11" s="42"/>
      <c r="I11" s="42"/>
      <c r="J11" s="42"/>
      <c r="K11" s="42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42"/>
      <c r="H12" s="42"/>
      <c r="I12" s="42"/>
      <c r="J12" s="42"/>
      <c r="K12" s="42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14"/>
      <c r="H22" s="14"/>
      <c r="I22" s="14"/>
      <c r="J22" s="14"/>
      <c r="K22" s="14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21.64416</v>
      </c>
      <c r="H23" s="46">
        <f t="shared" si="0"/>
        <v>5.83992</v>
      </c>
      <c r="I23" s="46">
        <f t="shared" si="0"/>
        <v>42.3972</v>
      </c>
      <c r="J23" s="46">
        <f t="shared" si="0"/>
        <v>3.89328</v>
      </c>
      <c r="K23" s="46">
        <f t="shared" si="0"/>
        <v>2.1996</v>
      </c>
      <c r="L23" s="46">
        <f t="shared" si="0"/>
        <v>97.33200000000001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18-B</v>
      </c>
      <c r="B26" s="87"/>
      <c r="C26" s="87"/>
      <c r="D26" s="87"/>
    </row>
    <row r="27" spans="1:4" ht="12.75">
      <c r="A27" s="85" t="str">
        <f>A$1&amp;" Fugitive Dust Emissions (Pre-Mitigation)"</f>
        <v>VGS Grading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1</v>
      </c>
      <c r="C30" s="2" t="s">
        <v>46</v>
      </c>
      <c r="D30" s="43">
        <f>B30*'Fug. Dust Emission Factors'!C30</f>
        <v>1.9125</v>
      </c>
    </row>
    <row r="31" spans="1:4" ht="12.75">
      <c r="A31" s="4" t="s">
        <v>109</v>
      </c>
      <c r="B31" s="14">
        <f>SUM(F6:F22)-F8+E55+E56+E57+E58</f>
        <v>1</v>
      </c>
      <c r="C31" s="2" t="s">
        <v>46</v>
      </c>
      <c r="D31" s="43">
        <f>B31*'Fug. Dust Emission Factors'!C50</f>
        <v>0.30377707866800513</v>
      </c>
    </row>
    <row r="32" spans="1:4" ht="12.75">
      <c r="A32" s="4" t="s">
        <v>110</v>
      </c>
      <c r="B32" s="14">
        <f>E54</f>
        <v>0</v>
      </c>
      <c r="C32" s="2" t="s">
        <v>46</v>
      </c>
      <c r="D32" s="43">
        <f>B32*'Fug. Dust Emission Factors'!C65</f>
        <v>0</v>
      </c>
    </row>
    <row r="33" spans="1:4" ht="12.75">
      <c r="A33" s="4" t="s">
        <v>69</v>
      </c>
      <c r="B33" s="11">
        <f>1000/43650</f>
        <v>0.022909507445589918</v>
      </c>
      <c r="C33" s="2" t="s">
        <v>85</v>
      </c>
      <c r="D33" s="43">
        <f>B33*'Fug. Dust Emission Factors'!C84</f>
        <v>0.5040904031910831</v>
      </c>
    </row>
    <row r="34" spans="1:4" ht="12.75">
      <c r="A34" s="4" t="s">
        <v>75</v>
      </c>
      <c r="B34" s="14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0</v>
      </c>
      <c r="C35" s="2" t="s">
        <v>166</v>
      </c>
      <c r="D35" s="43">
        <f>B35*'Fug. Dust Emission Factors'!C130</f>
        <v>0</v>
      </c>
    </row>
    <row r="36" spans="1:4" ht="12.75">
      <c r="A36" s="15" t="s">
        <v>24</v>
      </c>
      <c r="B36" s="4"/>
      <c r="C36" s="4"/>
      <c r="D36" s="44">
        <f>SUM(D29:D35)</f>
        <v>2.720367481859088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18-C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VGS Grading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18-D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VGS Grading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18-E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VGS Grading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/>
      <c r="C54" s="2"/>
      <c r="D54" s="2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4" t="s">
        <v>52</v>
      </c>
      <c r="B55" s="2">
        <v>1</v>
      </c>
      <c r="C55" s="2">
        <v>1</v>
      </c>
      <c r="D55" s="2">
        <v>2</v>
      </c>
      <c r="E55" s="14">
        <f>B55*C55</f>
        <v>1</v>
      </c>
      <c r="F55" s="14">
        <f>B55*D55</f>
        <v>2</v>
      </c>
      <c r="G55" s="42">
        <f>(E55*VLOOKUP(A55,'Motor Vehicle Emission Factors'!$A$6:$T$42,7,FALSE)+F55*VLOOKUP(A55,'Motor Vehicle Emission Factors'!$A$6:$T$42,8,FALSE))/453.6</f>
        <v>0.03095238095238095</v>
      </c>
      <c r="H55" s="42">
        <f>(E55*VLOOKUP(A55,'Motor Vehicle Emission Factors'!$A$6:$T$42,9,FALSE)+F55*VLOOKUP(A55,'Motor Vehicle Emission Factors'!$A$6:$T$42,10,FALSE)+F55*VLOOKUP(A55,'Motor Vehicle Emission Factors'!$A$6:$T$42,11,FALSE)+B55*12*VLOOKUP(A55,'Motor Vehicle Emission Factors'!$A$6:$T$42,12,FALSE)+E55*VLOOKUP(A55,'Motor Vehicle Emission Factors'!$A$6:$T$42,13,FALSE)+B55*12*VLOOKUP(A55,'Motor Vehicle Emission Factors'!$A$6:$T$42,14,FALSE))/453.6</f>
        <v>0.003880070546737213</v>
      </c>
      <c r="I55" s="42">
        <f>(E55*VLOOKUP(A55,'Motor Vehicle Emission Factors'!$A$6:$T$42,15,FALSE)+F55*VLOOKUP(A55,'Motor Vehicle Emission Factors'!$A$6:$T$42,16,FALSE))/453.6</f>
        <v>0.01801146384479718</v>
      </c>
      <c r="J55" s="42">
        <f>E55*VLOOKUP(A55,'Motor Vehicle Emission Factors'!$A$6:$T$42,17,FALSE)/453.6</f>
        <v>0.0009038800705467371</v>
      </c>
      <c r="K55" s="42">
        <f>E55*(VLOOKUP(A55,'Motor Vehicle Emission Factors'!$A$6:$T$42,18,FALSE)+VLOOKUP(A55,'Motor Vehicle Emission Factors'!$A$6:$T$42,19,FALSE)+VLOOKUP(A55,'Motor Vehicle Emission Factors'!$A$6:$T$42,20,FALSE))/453.6</f>
        <v>2.204585537918871E-05</v>
      </c>
      <c r="L55" s="42">
        <f>J55+K55</f>
        <v>0.0009259259259259259</v>
      </c>
    </row>
    <row r="56" spans="1:12" ht="12.75">
      <c r="A56" s="4" t="s">
        <v>130</v>
      </c>
      <c r="B56" s="2"/>
      <c r="C56" s="2"/>
      <c r="D56" s="2"/>
      <c r="E56" s="14"/>
      <c r="F56" s="14"/>
      <c r="G56" s="42"/>
      <c r="H56" s="42"/>
      <c r="I56" s="42"/>
      <c r="J56" s="42"/>
      <c r="K56" s="42"/>
      <c r="L56" s="42"/>
    </row>
    <row r="57" spans="1:12" ht="12.75">
      <c r="A57" s="4" t="s">
        <v>118</v>
      </c>
      <c r="B57" s="2"/>
      <c r="C57" s="2"/>
      <c r="D57" s="2"/>
      <c r="E57" s="14"/>
      <c r="F57" s="14"/>
      <c r="G57" s="42"/>
      <c r="H57" s="42"/>
      <c r="I57" s="42"/>
      <c r="J57" s="42"/>
      <c r="K57" s="42"/>
      <c r="L57" s="42"/>
    </row>
    <row r="58" spans="1:12" ht="12.75">
      <c r="A58" s="4" t="s">
        <v>116</v>
      </c>
      <c r="B58" s="2"/>
      <c r="C58" s="2"/>
      <c r="D58" s="2"/>
      <c r="E58" s="14"/>
      <c r="F58" s="14"/>
      <c r="G58" s="42"/>
      <c r="H58" s="42"/>
      <c r="I58" s="42"/>
      <c r="J58" s="42"/>
      <c r="K58" s="42"/>
      <c r="L58" s="42"/>
    </row>
    <row r="59" spans="1:12" ht="12.75">
      <c r="A59" s="4" t="s">
        <v>105</v>
      </c>
      <c r="B59" s="2">
        <v>3</v>
      </c>
      <c r="C59" s="2">
        <v>40</v>
      </c>
      <c r="D59" s="2">
        <v>2</v>
      </c>
      <c r="E59" s="14">
        <f>B59*C59</f>
        <v>120</v>
      </c>
      <c r="F59" s="14">
        <f>B59*D59</f>
        <v>6</v>
      </c>
      <c r="G59" s="42">
        <f>(E59*VLOOKUP(A59,'Motor Vehicle Emission Factors'!$A$6:$T$42,7,FALSE)+F59*VLOOKUP(A59,'Motor Vehicle Emission Factors'!$A$6:$T$42,8,FALSE))/453.6</f>
        <v>1.4518518518518517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0.1898148148148148</v>
      </c>
      <c r="I59" s="42">
        <f>(E59*VLOOKUP(A59,'Motor Vehicle Emission Factors'!$A$6:$T$42,15,FALSE)+F59*VLOOKUP(A59,'Motor Vehicle Emission Factors'!$A$6:$T$42,16,FALSE))/453.6</f>
        <v>0.20992063492063495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0.14882767054190232</v>
      </c>
      <c r="L59" s="42">
        <f>J59+K59</f>
        <v>0.14882767054190232</v>
      </c>
    </row>
    <row r="60" spans="1:12" ht="12.75">
      <c r="A60" s="4" t="s">
        <v>129</v>
      </c>
      <c r="B60" s="2"/>
      <c r="C60" s="2"/>
      <c r="D60" s="2"/>
      <c r="E60" s="14"/>
      <c r="F60" s="14"/>
      <c r="G60" s="42"/>
      <c r="H60" s="42"/>
      <c r="I60" s="42"/>
      <c r="J60" s="42"/>
      <c r="K60" s="42"/>
      <c r="L60" s="42"/>
    </row>
    <row r="61" spans="1:12" ht="12.75">
      <c r="A61" s="4" t="s">
        <v>128</v>
      </c>
      <c r="B61" s="2"/>
      <c r="C61" s="2"/>
      <c r="D61" s="2"/>
      <c r="E61" s="14"/>
      <c r="F61" s="14"/>
      <c r="G61" s="42"/>
      <c r="H61" s="42"/>
      <c r="I61" s="42"/>
      <c r="J61" s="42"/>
      <c r="K61" s="42"/>
      <c r="L61" s="42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1.4828042328042326</v>
      </c>
      <c r="H62" s="46">
        <f t="shared" si="1"/>
        <v>0.19369488536155202</v>
      </c>
      <c r="I62" s="46">
        <f t="shared" si="1"/>
        <v>0.22793209876543213</v>
      </c>
      <c r="J62" s="46">
        <f t="shared" si="1"/>
        <v>0.0009038800705467371</v>
      </c>
      <c r="K62" s="46">
        <f t="shared" si="1"/>
        <v>0.1488497163972815</v>
      </c>
      <c r="L62" s="46">
        <f t="shared" si="1"/>
        <v>0.14975359646782824</v>
      </c>
      <c r="M62" s="71">
        <f>E54+E59</f>
        <v>120</v>
      </c>
      <c r="N62" s="71">
        <f>SUM(E54:E61)-M62</f>
        <v>1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18-F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VGS Grading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21.64416</v>
      </c>
      <c r="C69" s="43">
        <f>H23</f>
        <v>5.83992</v>
      </c>
      <c r="D69" s="43">
        <f>I23</f>
        <v>42.3972</v>
      </c>
      <c r="E69" s="43">
        <f>J23</f>
        <v>3.89328</v>
      </c>
      <c r="F69" s="43">
        <f>K23</f>
        <v>2.1996</v>
      </c>
      <c r="G69" s="43"/>
      <c r="H69" s="43">
        <f aca="true" t="shared" si="2" ref="H69:H77">F69+G69</f>
        <v>2.1996</v>
      </c>
    </row>
    <row r="70" spans="1:8" ht="12.75">
      <c r="A70" s="51" t="s">
        <v>127</v>
      </c>
      <c r="B70" s="43">
        <f>SUM(G54:G58)</f>
        <v>0.03095238095238095</v>
      </c>
      <c r="C70" s="43">
        <f>SUM(H54:H58)</f>
        <v>0.003880070546737213</v>
      </c>
      <c r="D70" s="43">
        <f>SUM(I54:I58)</f>
        <v>0.01801146384479718</v>
      </c>
      <c r="E70" s="43">
        <v>0</v>
      </c>
      <c r="F70" s="43">
        <f>SUM(J54:J58)</f>
        <v>0.0009038800705467371</v>
      </c>
      <c r="G70" s="43"/>
      <c r="H70" s="43">
        <f t="shared" si="2"/>
        <v>0.0009038800705467371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2.720367481859088</v>
      </c>
      <c r="H71" s="43">
        <f t="shared" si="2"/>
        <v>2.720367481859088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21.67511238095238</v>
      </c>
      <c r="C74" s="44">
        <f t="shared" si="3"/>
        <v>5.843800070546737</v>
      </c>
      <c r="D74" s="44">
        <f t="shared" si="3"/>
        <v>42.4152114638448</v>
      </c>
      <c r="E74" s="44">
        <f t="shared" si="3"/>
        <v>3.89328</v>
      </c>
      <c r="F74" s="44">
        <f t="shared" si="3"/>
        <v>2.200503880070547</v>
      </c>
      <c r="G74" s="44">
        <f t="shared" si="3"/>
        <v>2.720367481859088</v>
      </c>
      <c r="H74" s="44">
        <f t="shared" si="2"/>
        <v>4.920871361929635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1.4518518518518517</v>
      </c>
      <c r="C76" s="45">
        <f>SUM(H59:H61)</f>
        <v>0.1898148148148148</v>
      </c>
      <c r="D76" s="45">
        <f>SUM(I59:I61)</f>
        <v>0.20992063492063495</v>
      </c>
      <c r="E76" s="45">
        <v>0</v>
      </c>
      <c r="F76" s="45">
        <f>SUM(J59:J61)</f>
        <v>0</v>
      </c>
      <c r="G76" s="45">
        <f>SUM(K59:K61)</f>
        <v>0.14882767054190232</v>
      </c>
      <c r="H76" s="45">
        <f t="shared" si="2"/>
        <v>0.14882767054190232</v>
      </c>
    </row>
    <row r="77" spans="1:8" ht="12.75">
      <c r="A77" s="15" t="s">
        <v>168</v>
      </c>
      <c r="B77" s="44">
        <f aca="true" t="shared" si="4" ref="B77:G77">SUM(B75:B76)</f>
        <v>1.4518518518518517</v>
      </c>
      <c r="C77" s="44">
        <f t="shared" si="4"/>
        <v>0.1898148148148148</v>
      </c>
      <c r="D77" s="44">
        <f t="shared" si="4"/>
        <v>0.20992063492063495</v>
      </c>
      <c r="E77" s="44">
        <f t="shared" si="4"/>
        <v>0</v>
      </c>
      <c r="F77" s="44">
        <f t="shared" si="4"/>
        <v>0</v>
      </c>
      <c r="G77" s="44">
        <f t="shared" si="4"/>
        <v>0.14882767054190232</v>
      </c>
      <c r="H77" s="44">
        <f t="shared" si="2"/>
        <v>0.14882767054190232</v>
      </c>
    </row>
    <row r="78" spans="1:8" ht="12.75">
      <c r="A78" s="15" t="s">
        <v>24</v>
      </c>
      <c r="B78" s="44">
        <f aca="true" t="shared" si="5" ref="B78:H78">B74+B77</f>
        <v>23.126964232804234</v>
      </c>
      <c r="C78" s="44">
        <f t="shared" si="5"/>
        <v>6.033614885361552</v>
      </c>
      <c r="D78" s="44">
        <f t="shared" si="5"/>
        <v>42.625132098765434</v>
      </c>
      <c r="E78" s="44">
        <f t="shared" si="5"/>
        <v>3.89328</v>
      </c>
      <c r="F78" s="44">
        <f t="shared" si="5"/>
        <v>2.200503880070547</v>
      </c>
      <c r="G78" s="44">
        <f t="shared" si="5"/>
        <v>2.8691951524009904</v>
      </c>
      <c r="H78" s="44">
        <f t="shared" si="5"/>
        <v>5.069699032471537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18-G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VGS Grading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21.64416</v>
      </c>
      <c r="C85" s="43">
        <f>C69</f>
        <v>5.83992</v>
      </c>
      <c r="D85" s="43">
        <f>D69</f>
        <v>42.3972</v>
      </c>
      <c r="E85" s="43">
        <f>E69</f>
        <v>3.89328</v>
      </c>
      <c r="F85" s="43">
        <f>F69</f>
        <v>2.1996</v>
      </c>
      <c r="G85" s="43"/>
      <c r="H85" s="43">
        <f>F85+G85</f>
        <v>2.1996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-0.29199600000000003</v>
      </c>
      <c r="D87" s="43">
        <f>-D86*D85</f>
        <v>-2.11986</v>
      </c>
      <c r="E87" s="43">
        <f>-E86*E85</f>
        <v>-0.194664</v>
      </c>
      <c r="F87" s="43">
        <f>-F86*F85</f>
        <v>-0.10998000000000002</v>
      </c>
      <c r="G87" s="43"/>
      <c r="H87" s="43">
        <f>F87+G87</f>
        <v>-0.10998000000000002</v>
      </c>
    </row>
    <row r="88" spans="1:8" ht="12.75">
      <c r="A88" s="15" t="s">
        <v>125</v>
      </c>
      <c r="B88" s="44">
        <f>B85+B87</f>
        <v>21.64416</v>
      </c>
      <c r="C88" s="44">
        <f>C85+C87</f>
        <v>5.547924</v>
      </c>
      <c r="D88" s="44">
        <f>D85+D87</f>
        <v>40.277339999999995</v>
      </c>
      <c r="E88" s="44">
        <f>E85+E87</f>
        <v>3.698616</v>
      </c>
      <c r="F88" s="44">
        <f>F85+F87</f>
        <v>2.08962</v>
      </c>
      <c r="G88" s="44"/>
      <c r="H88" s="44">
        <f>F88+G88</f>
        <v>2.08962</v>
      </c>
    </row>
    <row r="89" spans="1:8" ht="12.75">
      <c r="A89" s="15" t="s">
        <v>127</v>
      </c>
      <c r="B89" s="45">
        <f>B70</f>
        <v>0.03095238095238095</v>
      </c>
      <c r="C89" s="45">
        <f>C70</f>
        <v>0.003880070546737213</v>
      </c>
      <c r="D89" s="45">
        <f>D70</f>
        <v>0.01801146384479718</v>
      </c>
      <c r="E89" s="45">
        <f>E70</f>
        <v>0</v>
      </c>
      <c r="F89" s="45">
        <f>F70</f>
        <v>0.0009038800705467371</v>
      </c>
      <c r="G89" s="45"/>
      <c r="H89" s="43">
        <f>F89+G89</f>
        <v>0.0009038800705467371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0.03095238095238095</v>
      </c>
      <c r="C92" s="44">
        <f>C89+C91</f>
        <v>0.003880070546737213</v>
      </c>
      <c r="D92" s="44">
        <f>D89+D91</f>
        <v>0.01801146384479718</v>
      </c>
      <c r="E92" s="44">
        <f>E89+E91</f>
        <v>0</v>
      </c>
      <c r="F92" s="44">
        <f>F89+F91</f>
        <v>0.0009038800705467371</v>
      </c>
      <c r="G92" s="44"/>
      <c r="H92" s="44">
        <f>F92+G92</f>
        <v>0.0009038800705467371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2.720367481859088</v>
      </c>
      <c r="H93" s="43">
        <f>F93+G93</f>
        <v>2.720367481859088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-0.43525879709745413</v>
      </c>
      <c r="H95" s="43">
        <f>F95+G95</f>
        <v>-0.43525879709745413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2.285108684761634</v>
      </c>
      <c r="H96" s="44">
        <f>F96+G96</f>
        <v>2.285108684761634</v>
      </c>
    </row>
    <row r="97" spans="1:8" ht="12.75">
      <c r="A97" s="15" t="s">
        <v>96</v>
      </c>
      <c r="B97" s="43"/>
      <c r="C97" s="43">
        <f>C72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21.67511238095238</v>
      </c>
      <c r="C105" s="44">
        <f t="shared" si="6"/>
        <v>5.551804070546737</v>
      </c>
      <c r="D105" s="44">
        <f t="shared" si="6"/>
        <v>40.295351463844796</v>
      </c>
      <c r="E105" s="44">
        <f t="shared" si="6"/>
        <v>3.698616</v>
      </c>
      <c r="F105" s="44">
        <f t="shared" si="6"/>
        <v>2.090523880070547</v>
      </c>
      <c r="G105" s="44">
        <f t="shared" si="6"/>
        <v>2.285108684761634</v>
      </c>
      <c r="H105" s="44">
        <f>H88+H96+H100+H104</f>
        <v>4.374728684761634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 aca="true" t="shared" si="7" ref="B110:H110">B76</f>
        <v>1.4518518518518517</v>
      </c>
      <c r="C110" s="44">
        <f t="shared" si="7"/>
        <v>0.1898148148148148</v>
      </c>
      <c r="D110" s="44">
        <f t="shared" si="7"/>
        <v>0.20992063492063495</v>
      </c>
      <c r="E110" s="44">
        <f t="shared" si="7"/>
        <v>0</v>
      </c>
      <c r="F110" s="44">
        <f t="shared" si="7"/>
        <v>0</v>
      </c>
      <c r="G110" s="44">
        <f t="shared" si="7"/>
        <v>0.14882767054190232</v>
      </c>
      <c r="H110" s="44">
        <f t="shared" si="7"/>
        <v>0.14882767054190232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1.4518518518518517</v>
      </c>
      <c r="C113" s="44">
        <f t="shared" si="9"/>
        <v>0.1898148148148148</v>
      </c>
      <c r="D113" s="44">
        <f t="shared" si="9"/>
        <v>0.20992063492063495</v>
      </c>
      <c r="E113" s="44">
        <f t="shared" si="9"/>
        <v>0</v>
      </c>
      <c r="F113" s="44">
        <f t="shared" si="9"/>
        <v>0</v>
      </c>
      <c r="G113" s="44">
        <f t="shared" si="9"/>
        <v>0.14882767054190232</v>
      </c>
      <c r="H113" s="44">
        <f>F113+G113</f>
        <v>0.14882767054190232</v>
      </c>
    </row>
    <row r="114" spans="1:8" ht="12.75">
      <c r="A114" s="15" t="s">
        <v>168</v>
      </c>
      <c r="B114" s="44">
        <f aca="true" t="shared" si="10" ref="B114:H114">B113+B109</f>
        <v>1.4518518518518517</v>
      </c>
      <c r="C114" s="44">
        <f t="shared" si="10"/>
        <v>0.1898148148148148</v>
      </c>
      <c r="D114" s="44">
        <f t="shared" si="10"/>
        <v>0.20992063492063495</v>
      </c>
      <c r="E114" s="44">
        <f t="shared" si="10"/>
        <v>0</v>
      </c>
      <c r="F114" s="44">
        <f t="shared" si="10"/>
        <v>0</v>
      </c>
      <c r="G114" s="44">
        <f t="shared" si="10"/>
        <v>0.14882767054190232</v>
      </c>
      <c r="H114" s="44">
        <f t="shared" si="10"/>
        <v>0.14882767054190232</v>
      </c>
    </row>
    <row r="115" spans="1:8" ht="12.75">
      <c r="A115" s="15" t="s">
        <v>24</v>
      </c>
      <c r="B115" s="44">
        <f aca="true" t="shared" si="11" ref="B115:H115">B105+B114</f>
        <v>23.126964232804234</v>
      </c>
      <c r="C115" s="44">
        <f t="shared" si="11"/>
        <v>5.741618885361552</v>
      </c>
      <c r="D115" s="44">
        <f t="shared" si="11"/>
        <v>40.50527209876543</v>
      </c>
      <c r="E115" s="44">
        <f t="shared" si="11"/>
        <v>3.698616</v>
      </c>
      <c r="F115" s="44">
        <f t="shared" si="11"/>
        <v>2.090523880070547</v>
      </c>
      <c r="G115" s="44">
        <f t="shared" si="11"/>
        <v>2.4339363553035365</v>
      </c>
      <c r="H115" s="44">
        <f t="shared" si="11"/>
        <v>4.523556355303537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40:F40"/>
    <mergeCell ref="A26:D26"/>
    <mergeCell ref="A27:D27"/>
    <mergeCell ref="A3:L3"/>
    <mergeCell ref="A4:L4"/>
    <mergeCell ref="A39:F39"/>
    <mergeCell ref="A45:G45"/>
    <mergeCell ref="A46:G46"/>
    <mergeCell ref="A67:H67"/>
    <mergeCell ref="A82:H82"/>
    <mergeCell ref="A83:H83"/>
    <mergeCell ref="A51:L51"/>
    <mergeCell ref="A52:L52"/>
    <mergeCell ref="A66:H66"/>
  </mergeCells>
  <printOptions horizontalCentered="1"/>
  <pageMargins left="0.75" right="0.75" top="1" bottom="1" header="0.5" footer="0.5"/>
  <pageSetup fitToHeight="20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11"/>
  <dimension ref="A1:N132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3" width="11.00390625" style="0" customWidth="1"/>
    <col min="4" max="4" width="9.8515625" style="0" customWidth="1"/>
    <col min="6" max="6" width="10.140625" style="0" customWidth="1"/>
    <col min="10" max="10" width="8.710937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218</v>
      </c>
    </row>
    <row r="2" ht="12.75" hidden="1">
      <c r="A2" s="52">
        <v>19</v>
      </c>
    </row>
    <row r="3" spans="1:12" ht="12.75">
      <c r="A3" s="87" t="str">
        <f>"Table "&amp;A$2&amp;"-A"</f>
        <v>Table 19-A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VGS Demolition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42"/>
      <c r="H7" s="42"/>
      <c r="I7" s="42"/>
      <c r="J7" s="42"/>
      <c r="K7" s="42"/>
      <c r="L7" s="2"/>
    </row>
    <row r="8" spans="1:12" ht="12.75">
      <c r="A8" s="4" t="s">
        <v>43</v>
      </c>
      <c r="B8" s="2"/>
      <c r="C8" s="2"/>
      <c r="D8" s="2"/>
      <c r="E8" s="2"/>
      <c r="F8" s="2"/>
      <c r="G8" s="42"/>
      <c r="H8" s="42"/>
      <c r="I8" s="42"/>
      <c r="J8" s="42"/>
      <c r="K8" s="42"/>
      <c r="L8" s="43"/>
    </row>
    <row r="9" spans="1:12" ht="12.75">
      <c r="A9" s="4" t="s">
        <v>33</v>
      </c>
      <c r="B9" s="2">
        <v>2</v>
      </c>
      <c r="C9" s="2">
        <v>16</v>
      </c>
      <c r="D9" s="2">
        <f>B9*C9</f>
        <v>32</v>
      </c>
      <c r="E9" s="2">
        <v>1</v>
      </c>
      <c r="F9" s="2">
        <f>IF(E9&lt;&gt;"N/A",B9*E9,"N/A")</f>
        <v>2</v>
      </c>
      <c r="G9" s="42">
        <f>$D9*VLOOKUP($A9,'Const. Equip. Emission Factors'!$A$5:$N$25,10,FALSE)</f>
        <v>32.8104</v>
      </c>
      <c r="H9" s="42">
        <f>$D9*VLOOKUP($A9,'Const. Equip. Emission Factors'!$A$5:$N$25,11,FALSE)</f>
        <v>6.56208</v>
      </c>
      <c r="I9" s="42">
        <f>$D9*VLOOKUP($A9,'Const. Equip. Emission Factors'!$A$5:$N$25,12,FALSE)</f>
        <v>48.12192</v>
      </c>
      <c r="J9" s="42">
        <f>$D9*VLOOKUP($A9,'Const. Equip. Emission Factors'!$A$5:$N$25,13,FALSE)</f>
        <v>4.37472</v>
      </c>
      <c r="K9" s="42">
        <f>$D9*VLOOKUP($A9,'Const. Equip. Emission Factors'!$A$5:$N$25,14,FALSE)</f>
        <v>2.18736</v>
      </c>
      <c r="L9" s="43">
        <f>VLOOKUP(A9,'Const. Equip. Emission Factors'!$A$5:$P$23,16,FALSE)*D9</f>
        <v>109.36800000000001</v>
      </c>
    </row>
    <row r="10" spans="1:12" ht="12.75">
      <c r="A10" s="4" t="s">
        <v>48</v>
      </c>
      <c r="B10" s="2"/>
      <c r="C10" s="2"/>
      <c r="D10" s="2"/>
      <c r="E10" s="2"/>
      <c r="F10" s="2"/>
      <c r="G10" s="42"/>
      <c r="H10" s="42"/>
      <c r="I10" s="42"/>
      <c r="J10" s="42"/>
      <c r="K10" s="42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42"/>
      <c r="H11" s="42"/>
      <c r="I11" s="42"/>
      <c r="J11" s="42"/>
      <c r="K11" s="42"/>
      <c r="L11" s="2"/>
    </row>
    <row r="12" spans="1:12" ht="12.75">
      <c r="A12" s="4" t="s">
        <v>50</v>
      </c>
      <c r="B12" s="2">
        <v>1</v>
      </c>
      <c r="C12" s="2">
        <v>16</v>
      </c>
      <c r="D12" s="2">
        <f>B12*C12</f>
        <v>16</v>
      </c>
      <c r="E12" s="2" t="s">
        <v>84</v>
      </c>
      <c r="F12" s="2" t="str">
        <f>IF(E12&lt;&gt;"N/A",B12*E12,"N/A")</f>
        <v>N/A</v>
      </c>
      <c r="G12" s="42">
        <f>$D12*VLOOKUP($A12,'Const. Equip. Emission Factors'!$A$5:$N$25,10,FALSE)</f>
        <v>15.485535999999998</v>
      </c>
      <c r="H12" s="42">
        <f>$D12*VLOOKUP($A12,'Const. Equip. Emission Factors'!$A$5:$N$25,11,FALSE)</f>
        <v>1.4077759999999997</v>
      </c>
      <c r="I12" s="42">
        <f>$D12*VLOOKUP($A12,'Const. Equip. Emission Factors'!$A$5:$N$25,12,FALSE)</f>
        <v>33.786623999999996</v>
      </c>
      <c r="J12" s="42">
        <f>$D12*VLOOKUP($A12,'Const. Equip. Emission Factors'!$A$5:$N$25,13,FALSE)</f>
        <v>2.8155519999999994</v>
      </c>
      <c r="K12" s="42">
        <f>$D12*VLOOKUP($A12,'Const. Equip. Emission Factors'!$A$5:$N$25,14,FALSE)</f>
        <v>2.1116639999999998</v>
      </c>
      <c r="L12" s="43">
        <f>VLOOKUP(A12,'Const. Equip. Emission Factors'!$A$5:$P$23,16,FALSE)*D12</f>
        <v>70.3888</v>
      </c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>
        <v>1</v>
      </c>
      <c r="C14" s="2">
        <v>16</v>
      </c>
      <c r="D14" s="2">
        <f>B14*C14</f>
        <v>16</v>
      </c>
      <c r="E14" s="2">
        <v>1</v>
      </c>
      <c r="F14" s="2">
        <f>IF(E14&lt;&gt;"N/A",B14*E14,"N/A")</f>
        <v>1</v>
      </c>
      <c r="G14" s="42">
        <f>$D14*VLOOKUP($A14,'Const. Equip. Emission Factors'!$A$5:$N$25,10,FALSE)</f>
        <v>8.8164</v>
      </c>
      <c r="H14" s="42">
        <f>$D14*VLOOKUP($A14,'Const. Equip. Emission Factors'!$A$5:$N$25,11,FALSE)</f>
        <v>1.76328</v>
      </c>
      <c r="I14" s="42">
        <f>$D14*VLOOKUP($A14,'Const. Equip. Emission Factors'!$A$5:$N$25,12,FALSE)</f>
        <v>12.930719999999999</v>
      </c>
      <c r="J14" s="42">
        <f>$D14*VLOOKUP($A14,'Const. Equip. Emission Factors'!$A$5:$N$25,13,FALSE)</f>
        <v>1.1755200000000001</v>
      </c>
      <c r="K14" s="42">
        <f>$D14*VLOOKUP($A14,'Const. Equip. Emission Factors'!$A$5:$N$25,14,FALSE)</f>
        <v>0.5877600000000001</v>
      </c>
      <c r="L14" s="43">
        <f>VLOOKUP(A14,'Const. Equip. Emission Factors'!$A$5:$P$23,16,FALSE)*D14</f>
        <v>29.388</v>
      </c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>
        <v>1</v>
      </c>
      <c r="C18" s="2">
        <v>16</v>
      </c>
      <c r="D18" s="2">
        <f>B18*C18</f>
        <v>16</v>
      </c>
      <c r="E18" s="2" t="s">
        <v>84</v>
      </c>
      <c r="F18" s="2" t="str">
        <f>IF(E18&lt;&gt;"N/A",B18*E18,"N/A")</f>
        <v>N/A</v>
      </c>
      <c r="G18" s="42">
        <f>$D18*VLOOKUP($A18,'Const. Equip. Emission Factors'!$A$5:$N$25,10,FALSE)</f>
        <v>3.1257599999999996</v>
      </c>
      <c r="H18" s="42">
        <f>$D18*VLOOKUP($A18,'Const. Equip. Emission Factors'!$A$5:$N$25,11,FALSE)</f>
        <v>0.56832</v>
      </c>
      <c r="I18" s="42">
        <f>$D18*VLOOKUP($A18,'Const. Equip. Emission Factors'!$A$5:$N$25,12,FALSE)</f>
        <v>5.114879999999999</v>
      </c>
      <c r="J18" s="42">
        <f>$D18*VLOOKUP($A18,'Const. Equip. Emission Factors'!$A$5:$N$25,13,FALSE)</f>
        <v>0.56832</v>
      </c>
      <c r="K18" s="42">
        <f>$D18*VLOOKUP($A18,'Const. Equip. Emission Factors'!$A$5:$N$25,14,FALSE)</f>
        <v>0.28416</v>
      </c>
      <c r="L18" s="43">
        <f>VLOOKUP(A18,'Const. Equip. Emission Factors'!$A$5:$P$23,16,FALSE)*D18</f>
        <v>14.208000000000002</v>
      </c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>
        <v>1</v>
      </c>
      <c r="C22" s="2">
        <v>16</v>
      </c>
      <c r="D22" s="2">
        <f>B22*C22</f>
        <v>16</v>
      </c>
      <c r="E22" s="2" t="s">
        <v>84</v>
      </c>
      <c r="F22" s="2" t="str">
        <f>IF(E22&lt;&gt;"N/A",B22*E22,"N/A")</f>
        <v>N/A</v>
      </c>
      <c r="G22" s="42">
        <f>$D22*VLOOKUP($A22,'Const. Equip. Emission Factors'!$A$5:$N$25,10,FALSE)</f>
        <v>12.012479999999998</v>
      </c>
      <c r="H22" s="42">
        <f>$D22*VLOOKUP($A22,'Const. Equip. Emission Factors'!$A$5:$N$25,11,FALSE)</f>
        <v>4.00416</v>
      </c>
      <c r="I22" s="42">
        <f>$D22*VLOOKUP($A22,'Const. Equip. Emission Factors'!$A$5:$N$25,12,FALSE)</f>
        <v>30.698559999999997</v>
      </c>
      <c r="J22" s="42">
        <f>$D22*VLOOKUP($A22,'Const. Equip. Emission Factors'!$A$5:$N$25,13,FALSE)</f>
        <v>2.6694400000000003</v>
      </c>
      <c r="K22" s="42">
        <f>$D22*VLOOKUP($A22,'Const. Equip. Emission Factors'!$A$5:$N$25,14,FALSE)</f>
        <v>2.00208</v>
      </c>
      <c r="L22" s="43">
        <f>VLOOKUP(A22,'Const. Equip. Emission Factors'!$A$5:$P$23,16,FALSE)*D22</f>
        <v>66.736</v>
      </c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82.36897599999999</v>
      </c>
      <c r="H23" s="46">
        <f t="shared" si="0"/>
        <v>15.823376</v>
      </c>
      <c r="I23" s="46">
        <f t="shared" si="0"/>
        <v>142.794784</v>
      </c>
      <c r="J23" s="46">
        <f t="shared" si="0"/>
        <v>12.615391999999998</v>
      </c>
      <c r="K23" s="46">
        <f t="shared" si="0"/>
        <v>7.931903999999999</v>
      </c>
      <c r="L23" s="46">
        <f t="shared" si="0"/>
        <v>315.3848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19-B</v>
      </c>
      <c r="B26" s="87"/>
      <c r="C26" s="87"/>
      <c r="D26" s="87"/>
    </row>
    <row r="27" spans="1:4" ht="12.75">
      <c r="A27" s="85" t="str">
        <f>A$1&amp;" Fugitive Dust Emissions (Pre-Mitigation)"</f>
        <v>VGS Demolition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SUM(F6:F22)-F8+E65+E66+E67+E68</f>
        <v>15</v>
      </c>
      <c r="C31" s="2" t="s">
        <v>46</v>
      </c>
      <c r="D31" s="43">
        <f>B31*'Fug. Dust Emission Factors'!C50</f>
        <v>4.556656180020077</v>
      </c>
    </row>
    <row r="32" spans="1:4" ht="12.75">
      <c r="A32" s="4" t="s">
        <v>110</v>
      </c>
      <c r="B32" s="14">
        <f>E64</f>
        <v>1</v>
      </c>
      <c r="C32" s="2" t="s">
        <v>46</v>
      </c>
      <c r="D32" s="43">
        <f>B32*'Fug. Dust Emission Factors'!C65</f>
        <v>0.29982544505479114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14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B71</f>
        <v>10</v>
      </c>
      <c r="C35" s="2" t="s">
        <v>166</v>
      </c>
      <c r="D35" s="43">
        <f>B35*'Fug. Dust Emission Factors'!C130</f>
        <v>16.026727138257996</v>
      </c>
    </row>
    <row r="36" spans="1:4" ht="12.75">
      <c r="A36" s="15" t="s">
        <v>24</v>
      </c>
      <c r="B36" s="4"/>
      <c r="C36" s="4"/>
      <c r="D36" s="44">
        <f>SUM(D29:D35)</f>
        <v>20.883208763332867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19-C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VGS Demolition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19-D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VGS Demolition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0" spans="1:7" ht="12.75">
      <c r="A50" s="50"/>
      <c r="B50" s="49"/>
      <c r="C50" s="29"/>
      <c r="D50" s="29"/>
      <c r="E50" s="29"/>
      <c r="F50" s="29"/>
      <c r="G50" s="29"/>
    </row>
    <row r="51" spans="1:7" ht="12.75">
      <c r="A51" s="87" t="str">
        <f>"Table "&amp;A$2&amp;"-E"</f>
        <v>Table 19-E</v>
      </c>
      <c r="B51" s="87"/>
      <c r="C51" s="87"/>
      <c r="D51" s="87"/>
      <c r="E51" s="87"/>
      <c r="F51" s="87"/>
      <c r="G51" s="87"/>
    </row>
    <row r="52" spans="1:7" ht="12.75">
      <c r="A52" s="85" t="str">
        <f>A$1&amp;" Tank Degassing (Pre-Mitigation)"</f>
        <v>VGS Demolition Tank Degassing (Pre-Mitigation)</v>
      </c>
      <c r="B52" s="85"/>
      <c r="C52" s="86"/>
      <c r="D52" s="86"/>
      <c r="E52" s="86"/>
      <c r="F52" s="86"/>
      <c r="G52" s="86"/>
    </row>
    <row r="53" spans="1:8" ht="12.75">
      <c r="A53" s="51" t="s">
        <v>212</v>
      </c>
      <c r="B53" s="63">
        <v>21488</v>
      </c>
      <c r="C53" s="33" t="s">
        <v>211</v>
      </c>
      <c r="D53" s="31"/>
      <c r="E53" s="31"/>
      <c r="F53" s="31"/>
      <c r="G53" s="31"/>
      <c r="H53" s="32"/>
    </row>
    <row r="54" spans="1:8" ht="12.75">
      <c r="A54" s="51" t="s">
        <v>177</v>
      </c>
      <c r="B54" s="66">
        <v>9E-05</v>
      </c>
      <c r="C54" s="33" t="s">
        <v>188</v>
      </c>
      <c r="D54" s="31"/>
      <c r="E54" s="31"/>
      <c r="F54" s="31"/>
      <c r="G54" s="31"/>
      <c r="H54" s="32"/>
    </row>
    <row r="55" spans="1:8" ht="12.75">
      <c r="A55" s="51" t="s">
        <v>178</v>
      </c>
      <c r="B55" s="65">
        <v>190</v>
      </c>
      <c r="C55" s="33" t="s">
        <v>187</v>
      </c>
      <c r="D55" s="31"/>
      <c r="E55" s="31"/>
      <c r="F55" s="31"/>
      <c r="G55" s="31"/>
      <c r="H55" s="32"/>
    </row>
    <row r="56" spans="1:8" ht="12.75">
      <c r="A56" s="15" t="s">
        <v>92</v>
      </c>
      <c r="B56" s="44">
        <f>B54/14.7*B55/0.1301/(453.6+80)*B53</f>
        <v>0.36006561810311966</v>
      </c>
      <c r="C56" s="33"/>
      <c r="D56" s="31"/>
      <c r="E56" s="31"/>
      <c r="F56" s="31"/>
      <c r="G56" s="31"/>
      <c r="H56" s="32"/>
    </row>
    <row r="57" spans="1:7" ht="12.75">
      <c r="A57" s="50"/>
      <c r="B57" s="49"/>
      <c r="C57" s="29"/>
      <c r="D57" s="29"/>
      <c r="E57" s="29"/>
      <c r="F57" s="29"/>
      <c r="G57" s="29"/>
    </row>
    <row r="58" spans="1:7" ht="12.75">
      <c r="A58" s="62" t="s">
        <v>280</v>
      </c>
      <c r="B58" s="49"/>
      <c r="C58" s="29"/>
      <c r="D58" s="29"/>
      <c r="E58" s="29"/>
      <c r="F58" s="29"/>
      <c r="G58" s="29"/>
    </row>
    <row r="59" spans="1:7" ht="12.75">
      <c r="A59" s="50"/>
      <c r="B59" s="49"/>
      <c r="C59" s="29"/>
      <c r="D59" s="29"/>
      <c r="E59" s="29"/>
      <c r="F59" s="29"/>
      <c r="G59" s="29"/>
    </row>
    <row r="60" spans="1:7" ht="12.75">
      <c r="A60" s="50"/>
      <c r="B60" s="49"/>
      <c r="C60" s="29"/>
      <c r="D60" s="29"/>
      <c r="E60" s="29"/>
      <c r="F60" s="29"/>
      <c r="G60" s="29"/>
    </row>
    <row r="61" spans="1:12" ht="12.75">
      <c r="A61" s="87" t="str">
        <f>"Table "&amp;A$2&amp;"-F"</f>
        <v>Table 19-F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12.75">
      <c r="A62" s="85" t="str">
        <f>A$1&amp;" Motor Vehicle Emissions (Pre-Mitigation)"</f>
        <v>VGS Demolition Motor Vehicle Emissions (Pre-Mitigation)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 ht="42">
      <c r="A63" s="9" t="s">
        <v>0</v>
      </c>
      <c r="B63" s="9" t="s">
        <v>202</v>
      </c>
      <c r="C63" s="9" t="s">
        <v>203</v>
      </c>
      <c r="D63" s="9" t="s">
        <v>204</v>
      </c>
      <c r="E63" s="9" t="s">
        <v>198</v>
      </c>
      <c r="F63" s="9" t="s">
        <v>205</v>
      </c>
      <c r="G63" s="9" t="s">
        <v>193</v>
      </c>
      <c r="H63" s="9" t="s">
        <v>206</v>
      </c>
      <c r="I63" s="9" t="s">
        <v>207</v>
      </c>
      <c r="J63" s="9" t="s">
        <v>208</v>
      </c>
      <c r="K63" s="9" t="s">
        <v>209</v>
      </c>
      <c r="L63" s="3" t="s">
        <v>210</v>
      </c>
    </row>
    <row r="64" spans="1:12" ht="12.75">
      <c r="A64" s="4" t="s">
        <v>104</v>
      </c>
      <c r="B64" s="2">
        <v>1</v>
      </c>
      <c r="C64" s="2">
        <v>1</v>
      </c>
      <c r="D64" s="2">
        <v>10</v>
      </c>
      <c r="E64" s="14">
        <f>B64*C64</f>
        <v>1</v>
      </c>
      <c r="F64" s="14">
        <f>B64*D64</f>
        <v>10</v>
      </c>
      <c r="G64" s="42">
        <f>(E64*VLOOKUP(A64,'Motor Vehicle Emission Factors'!$A$6:$T$42,7,FALSE)+F64*VLOOKUP(A64,'Motor Vehicle Emission Factors'!$A$6:$T$42,8,FALSE))/453.6</f>
        <v>0.9013227513227513</v>
      </c>
      <c r="H64" s="42">
        <f>(E64*VLOOKUP(A64,'Motor Vehicle Emission Factors'!$A$6:$T$42,9,FALSE)+F64*VLOOKUP(A64,'Motor Vehicle Emission Factors'!$A$6:$T$42,10,FALSE)+F64*VLOOKUP(A64,'Motor Vehicle Emission Factors'!$A$6:$T$42,11,FALSE)+B64*12*VLOOKUP(A64,'Motor Vehicle Emission Factors'!$A$6:$T$42,12,FALSE)+E64*VLOOKUP(A64,'Motor Vehicle Emission Factors'!$A$6:$T$42,13,FALSE)+B64*12*VLOOKUP(A64,'Motor Vehicle Emission Factors'!$A$6:$T$42,14,FALSE))/453.6</f>
        <v>0.13053130511463842</v>
      </c>
      <c r="I64" s="42">
        <f>(E64*VLOOKUP(A64,'Motor Vehicle Emission Factors'!$A$6:$T$42,15,FALSE)+F64*VLOOKUP(A64,'Motor Vehicle Emission Factors'!$A$6:$T$42,16,FALSE))/453.6</f>
        <v>0.06818783068783069</v>
      </c>
      <c r="J64" s="42">
        <f>E64*VLOOKUP(A64,'Motor Vehicle Emission Factors'!$A$6:$T$42,17,FALSE)/453.6</f>
        <v>0</v>
      </c>
      <c r="K64" s="42">
        <f>E64*(VLOOKUP(A64,'Motor Vehicle Emission Factors'!$A$6:$T$42,18,FALSE)+VLOOKUP(A64,'Motor Vehicle Emission Factors'!$A$6:$T$42,19,FALSE)+VLOOKUP(A64,'Motor Vehicle Emission Factors'!$A$6:$T$42,20,FALSE))/453.6</f>
        <v>2.204585537918871E-05</v>
      </c>
      <c r="L64" s="42">
        <f>J64+K64</f>
        <v>2.204585537918871E-05</v>
      </c>
    </row>
    <row r="65" spans="1:12" ht="12.75">
      <c r="A65" s="4" t="s">
        <v>52</v>
      </c>
      <c r="B65" s="2"/>
      <c r="C65" s="2"/>
      <c r="D65" s="2"/>
      <c r="E65" s="14"/>
      <c r="F65" s="14"/>
      <c r="G65" s="42"/>
      <c r="H65" s="42"/>
      <c r="I65" s="42"/>
      <c r="J65" s="42"/>
      <c r="K65" s="42"/>
      <c r="L65" s="42"/>
    </row>
    <row r="66" spans="1:12" ht="12.75">
      <c r="A66" s="4" t="s">
        <v>130</v>
      </c>
      <c r="B66" s="2">
        <v>2</v>
      </c>
      <c r="C66" s="2">
        <v>2</v>
      </c>
      <c r="D66" s="2">
        <v>8</v>
      </c>
      <c r="E66" s="14">
        <f>B66*C66</f>
        <v>4</v>
      </c>
      <c r="F66" s="14">
        <f>B66*D66</f>
        <v>16</v>
      </c>
      <c r="G66" s="42">
        <f>(E66*VLOOKUP(A66,'Motor Vehicle Emission Factors'!$A$6:$T$42,7,FALSE)+F66*VLOOKUP(A66,'Motor Vehicle Emission Factors'!$A$6:$T$42,8,FALSE))/453.6</f>
        <v>0.14744268077601408</v>
      </c>
      <c r="H66" s="42">
        <f>(E66*VLOOKUP(A66,'Motor Vehicle Emission Factors'!$A$6:$T$42,9,FALSE)+F66*VLOOKUP(A66,'Motor Vehicle Emission Factors'!$A$6:$T$42,10,FALSE)+F66*VLOOKUP(A66,'Motor Vehicle Emission Factors'!$A$6:$T$42,11,FALSE)+B66*12*VLOOKUP(A66,'Motor Vehicle Emission Factors'!$A$6:$T$42,12,FALSE)+E66*VLOOKUP(A66,'Motor Vehicle Emission Factors'!$A$6:$T$42,13,FALSE)+B66*12*VLOOKUP(A66,'Motor Vehicle Emission Factors'!$A$6:$T$42,14,FALSE))/453.6</f>
        <v>0.019400352733686066</v>
      </c>
      <c r="I66" s="42">
        <f>(E66*VLOOKUP(A66,'Motor Vehicle Emission Factors'!$A$6:$T$42,15,FALSE)+F66*VLOOKUP(A66,'Motor Vehicle Emission Factors'!$A$6:$T$42,16,FALSE))/453.6</f>
        <v>0.0992063492063492</v>
      </c>
      <c r="J66" s="42">
        <f>E66*VLOOKUP(A66,'Motor Vehicle Emission Factors'!$A$6:$T$42,17,FALSE)/453.6</f>
        <v>0.005202821869488536</v>
      </c>
      <c r="K66" s="42">
        <f>E66*(VLOOKUP(A66,'Motor Vehicle Emission Factors'!$A$6:$T$42,18,FALSE)+VLOOKUP(A66,'Motor Vehicle Emission Factors'!$A$6:$T$42,19,FALSE)+VLOOKUP(A66,'Motor Vehicle Emission Factors'!$A$6:$T$42,20,FALSE))/453.6</f>
        <v>8.818342151675484E-05</v>
      </c>
      <c r="L66" s="42">
        <f>J66+K66</f>
        <v>0.005291005291005291</v>
      </c>
    </row>
    <row r="67" spans="1:12" ht="12.75">
      <c r="A67" s="4" t="s">
        <v>118</v>
      </c>
      <c r="B67" s="2">
        <v>8</v>
      </c>
      <c r="C67" s="2">
        <v>1</v>
      </c>
      <c r="D67" s="2">
        <v>1</v>
      </c>
      <c r="E67" s="14">
        <f>B67*C67</f>
        <v>8</v>
      </c>
      <c r="F67" s="14">
        <f>B67*D67</f>
        <v>8</v>
      </c>
      <c r="G67" s="42">
        <f>(E67*VLOOKUP(A67,'Motor Vehicle Emission Factors'!$A$6:$T$42,7,FALSE)+F67*VLOOKUP(A67,'Motor Vehicle Emission Factors'!$A$6:$T$42,8,FALSE))/453.6</f>
        <v>0.5925925925925926</v>
      </c>
      <c r="H67" s="42">
        <f>(E67*VLOOKUP(A67,'Motor Vehicle Emission Factors'!$A$6:$T$42,9,FALSE)+F67*VLOOKUP(A67,'Motor Vehicle Emission Factors'!$A$6:$T$42,10,FALSE)+F67*VLOOKUP(A67,'Motor Vehicle Emission Factors'!$A$6:$T$42,11,FALSE)+B67*12*VLOOKUP(A67,'Motor Vehicle Emission Factors'!$A$6:$T$42,12,FALSE)+E67*VLOOKUP(A67,'Motor Vehicle Emission Factors'!$A$6:$T$42,13,FALSE)+B67*12*VLOOKUP(A67,'Motor Vehicle Emission Factors'!$A$6:$T$42,14,FALSE))/453.6</f>
        <v>0.06155202821869488</v>
      </c>
      <c r="I67" s="42">
        <f>(E67*VLOOKUP(A67,'Motor Vehicle Emission Factors'!$A$6:$T$42,15,FALSE)+F67*VLOOKUP(A67,'Motor Vehicle Emission Factors'!$A$6:$T$42,16,FALSE))/453.6</f>
        <v>0.2783068783068783</v>
      </c>
      <c r="J67" s="42">
        <f>E67*VLOOKUP(A67,'Motor Vehicle Emission Factors'!$A$6:$T$42,17,FALSE)/453.6</f>
        <v>0.010405643738977071</v>
      </c>
      <c r="K67" s="42">
        <f>E67*(VLOOKUP(A67,'Motor Vehicle Emission Factors'!$A$6:$T$42,18,FALSE)+VLOOKUP(A67,'Motor Vehicle Emission Factors'!$A$6:$T$42,19,FALSE)+VLOOKUP(A67,'Motor Vehicle Emission Factors'!$A$6:$T$42,20,FALSE))/453.6</f>
        <v>0.00017636684303350968</v>
      </c>
      <c r="L67" s="42">
        <f>J67+K67</f>
        <v>0.010582010582010581</v>
      </c>
    </row>
    <row r="68" spans="1:12" ht="12.75">
      <c r="A68" s="4" t="s">
        <v>116</v>
      </c>
      <c r="B68" s="2"/>
      <c r="C68" s="2"/>
      <c r="D68" s="2"/>
      <c r="E68" s="14"/>
      <c r="F68" s="14"/>
      <c r="G68" s="42"/>
      <c r="H68" s="42"/>
      <c r="I68" s="42"/>
      <c r="J68" s="42"/>
      <c r="K68" s="42"/>
      <c r="L68" s="42"/>
    </row>
    <row r="69" spans="1:12" ht="12.75">
      <c r="A69" s="4" t="s">
        <v>105</v>
      </c>
      <c r="B69" s="2">
        <v>17</v>
      </c>
      <c r="C69" s="2">
        <v>40</v>
      </c>
      <c r="D69" s="2">
        <v>2</v>
      </c>
      <c r="E69" s="14">
        <f>B69*C69</f>
        <v>680</v>
      </c>
      <c r="F69" s="14">
        <f>B69*D69</f>
        <v>34</v>
      </c>
      <c r="G69" s="42">
        <f>(E69*VLOOKUP(A69,'Motor Vehicle Emission Factors'!$A$6:$T$42,7,FALSE)+F69*VLOOKUP(A69,'Motor Vehicle Emission Factors'!$A$6:$T$42,8,FALSE))/453.6</f>
        <v>8.22716049382716</v>
      </c>
      <c r="H69" s="42">
        <f>(E69*VLOOKUP(A69,'Motor Vehicle Emission Factors'!$A$6:$T$42,9,FALSE)+F69*VLOOKUP(A69,'Motor Vehicle Emission Factors'!$A$6:$T$42,10,FALSE)+F69*VLOOKUP(A69,'Motor Vehicle Emission Factors'!$A$6:$T$42,11,FALSE)+B69*12*VLOOKUP(A69,'Motor Vehicle Emission Factors'!$A$6:$T$42,12,FALSE)+E69*VLOOKUP(A69,'Motor Vehicle Emission Factors'!$A$6:$T$42,13,FALSE)+B69*12*VLOOKUP(A69,'Motor Vehicle Emission Factors'!$A$6:$T$42,14,FALSE))/453.6</f>
        <v>1.0756172839506173</v>
      </c>
      <c r="I69" s="42">
        <f>(E69*VLOOKUP(A69,'Motor Vehicle Emission Factors'!$A$6:$T$42,15,FALSE)+F69*VLOOKUP(A69,'Motor Vehicle Emission Factors'!$A$6:$T$42,16,FALSE))/453.6</f>
        <v>1.1895502645502647</v>
      </c>
      <c r="J69" s="42">
        <f>E69*VLOOKUP(A69,'Motor Vehicle Emission Factors'!$A$6:$T$42,17,FALSE)/453.6</f>
        <v>0</v>
      </c>
      <c r="K69" s="42">
        <f>E69*(VLOOKUP(A69,'Motor Vehicle Emission Factors'!$A$6:$T$42,18,FALSE)+VLOOKUP(A69,'Motor Vehicle Emission Factors'!$A$6:$T$42,19,FALSE)+VLOOKUP(A69,'Motor Vehicle Emission Factors'!$A$6:$T$42,20,FALSE))/453.6</f>
        <v>0.8433567997374464</v>
      </c>
      <c r="L69" s="42">
        <f>J69+K69</f>
        <v>0.8433567997374464</v>
      </c>
    </row>
    <row r="70" spans="1:12" ht="12.75">
      <c r="A70" s="4" t="s">
        <v>129</v>
      </c>
      <c r="B70" s="2"/>
      <c r="C70" s="2"/>
      <c r="D70" s="2"/>
      <c r="E70" s="14"/>
      <c r="F70" s="14"/>
      <c r="G70" s="42"/>
      <c r="H70" s="42"/>
      <c r="I70" s="42"/>
      <c r="J70" s="42"/>
      <c r="K70" s="42"/>
      <c r="L70" s="42"/>
    </row>
    <row r="71" spans="1:12" ht="12.75">
      <c r="A71" s="4" t="s">
        <v>128</v>
      </c>
      <c r="B71" s="2">
        <v>10</v>
      </c>
      <c r="C71" s="2">
        <v>40</v>
      </c>
      <c r="D71" s="2">
        <v>2</v>
      </c>
      <c r="E71" s="14">
        <f>B71*C71</f>
        <v>400</v>
      </c>
      <c r="F71" s="14">
        <f>B71*D71</f>
        <v>20</v>
      </c>
      <c r="G71" s="42">
        <f>(E71*VLOOKUP(A71,'Motor Vehicle Emission Factors'!$A$6:$T$42,7,FALSE)+F71*VLOOKUP(A71,'Motor Vehicle Emission Factors'!$A$6:$T$42,8,FALSE))/453.6</f>
        <v>8.800705467372133</v>
      </c>
      <c r="H71" s="42">
        <f>(E71*VLOOKUP(A71,'Motor Vehicle Emission Factors'!$A$6:$T$42,9,FALSE)+F71*VLOOKUP(A71,'Motor Vehicle Emission Factors'!$A$6:$T$42,10,FALSE)+F71*VLOOKUP(A71,'Motor Vehicle Emission Factors'!$A$6:$T$42,11,FALSE)+B71*12*VLOOKUP(A71,'Motor Vehicle Emission Factors'!$A$6:$T$42,12,FALSE)+E71*VLOOKUP(A71,'Motor Vehicle Emission Factors'!$A$6:$T$42,13,FALSE)+B71*12*VLOOKUP(A71,'Motor Vehicle Emission Factors'!$A$6:$T$42,14,FALSE))/453.6</f>
        <v>1.3315696649029982</v>
      </c>
      <c r="I71" s="42">
        <f>(E71*VLOOKUP(A71,'Motor Vehicle Emission Factors'!$A$6:$T$42,15,FALSE)+F71*VLOOKUP(A71,'Motor Vehicle Emission Factors'!$A$6:$T$42,16,FALSE))/453.6</f>
        <v>8.156966490299823</v>
      </c>
      <c r="J71" s="42">
        <f>E71*VLOOKUP(A71,'Motor Vehicle Emission Factors'!$A$6:$T$42,17,FALSE)/453.6</f>
        <v>0.5202821869488536</v>
      </c>
      <c r="K71" s="42">
        <f>E71*(VLOOKUP(A71,'Motor Vehicle Emission Factors'!$A$6:$T$42,18,FALSE)+VLOOKUP(A71,'Motor Vehicle Emission Factors'!$A$6:$T$42,19,FALSE)+VLOOKUP(A71,'Motor Vehicle Emission Factors'!$A$6:$T$42,20,FALSE))/453.6</f>
        <v>23.3383937513463</v>
      </c>
      <c r="L71" s="42">
        <f>J71+K71</f>
        <v>23.858675938295153</v>
      </c>
    </row>
    <row r="72" spans="1:14" ht="12.75">
      <c r="A72" s="15" t="s">
        <v>24</v>
      </c>
      <c r="B72" s="4"/>
      <c r="C72" s="4"/>
      <c r="D72" s="4"/>
      <c r="E72" s="4"/>
      <c r="F72" s="4"/>
      <c r="G72" s="46">
        <f aca="true" t="shared" si="1" ref="G72:L72">SUM(G64:G71)</f>
        <v>18.669223985890653</v>
      </c>
      <c r="H72" s="46">
        <f t="shared" si="1"/>
        <v>2.618670634920635</v>
      </c>
      <c r="I72" s="46">
        <f t="shared" si="1"/>
        <v>9.792217813051145</v>
      </c>
      <c r="J72" s="46">
        <f t="shared" si="1"/>
        <v>0.5358906525573193</v>
      </c>
      <c r="K72" s="46">
        <f t="shared" si="1"/>
        <v>24.182037147203676</v>
      </c>
      <c r="L72" s="46">
        <f t="shared" si="1"/>
        <v>24.717927799760997</v>
      </c>
      <c r="M72" s="71">
        <f>E64+E69</f>
        <v>681</v>
      </c>
      <c r="N72" s="71">
        <f>SUM(E64:E71)-M72</f>
        <v>412</v>
      </c>
    </row>
    <row r="73" ht="12.75">
      <c r="A73" s="13" t="s">
        <v>25</v>
      </c>
    </row>
    <row r="74" ht="12.75">
      <c r="A74" s="39" t="s">
        <v>132</v>
      </c>
    </row>
    <row r="76" spans="1:8" ht="12.75">
      <c r="A76" s="87" t="str">
        <f>"Table "&amp;A$2&amp;"-G"</f>
        <v>Table 19-G</v>
      </c>
      <c r="B76" s="87"/>
      <c r="C76" s="87"/>
      <c r="D76" s="87"/>
      <c r="E76" s="87"/>
      <c r="F76" s="87"/>
      <c r="G76" s="87"/>
      <c r="H76" s="87"/>
    </row>
    <row r="77" spans="1:8" ht="12.75">
      <c r="A77" s="85" t="str">
        <f>+A$1&amp;" Emissions Summary (Pre-mitigation)"</f>
        <v>VGS Demolition Emissions Summary (Pre-mitigation)</v>
      </c>
      <c r="B77" s="85"/>
      <c r="C77" s="85"/>
      <c r="D77" s="85"/>
      <c r="E77" s="85"/>
      <c r="F77" s="85"/>
      <c r="G77" s="85"/>
      <c r="H77" s="85"/>
    </row>
    <row r="78" spans="1:8" ht="42">
      <c r="A78" s="2" t="s">
        <v>131</v>
      </c>
      <c r="B78" s="3" t="s">
        <v>193</v>
      </c>
      <c r="C78" s="3" t="s">
        <v>194</v>
      </c>
      <c r="D78" s="3" t="s">
        <v>199</v>
      </c>
      <c r="E78" s="3" t="s">
        <v>200</v>
      </c>
      <c r="F78" s="9" t="s">
        <v>208</v>
      </c>
      <c r="G78" s="9" t="s">
        <v>209</v>
      </c>
      <c r="H78" s="9" t="s">
        <v>210</v>
      </c>
    </row>
    <row r="79" spans="1:8" ht="12.75">
      <c r="A79" s="51" t="s">
        <v>94</v>
      </c>
      <c r="B79" s="43">
        <f>G23</f>
        <v>82.36897599999999</v>
      </c>
      <c r="C79" s="43">
        <f>H23</f>
        <v>15.823376</v>
      </c>
      <c r="D79" s="43">
        <f>I23</f>
        <v>142.794784</v>
      </c>
      <c r="E79" s="43">
        <f>J23</f>
        <v>12.615391999999998</v>
      </c>
      <c r="F79" s="43">
        <f>K23</f>
        <v>7.931903999999999</v>
      </c>
      <c r="G79" s="43"/>
      <c r="H79" s="43">
        <f aca="true" t="shared" si="2" ref="H79:H88">F79+G79</f>
        <v>7.931903999999999</v>
      </c>
    </row>
    <row r="80" spans="1:8" ht="12.75">
      <c r="A80" s="51" t="s">
        <v>127</v>
      </c>
      <c r="B80" s="43">
        <f>SUM(G64:G68)</f>
        <v>1.641358024691358</v>
      </c>
      <c r="C80" s="43">
        <f>SUM(H64:H68)</f>
        <v>0.21148368606701937</v>
      </c>
      <c r="D80" s="43">
        <f>SUM(I64:I68)</f>
        <v>0.44570105820105815</v>
      </c>
      <c r="E80" s="43">
        <v>0</v>
      </c>
      <c r="F80" s="43">
        <f>SUM(J64:J68)</f>
        <v>0.015608465608465606</v>
      </c>
      <c r="G80" s="43"/>
      <c r="H80" s="43">
        <f t="shared" si="2"/>
        <v>0.015608465608465606</v>
      </c>
    </row>
    <row r="81" spans="1:8" ht="12.75">
      <c r="A81" s="51" t="s">
        <v>95</v>
      </c>
      <c r="B81" s="43"/>
      <c r="C81" s="43"/>
      <c r="D81" s="43"/>
      <c r="E81" s="43"/>
      <c r="F81" s="43"/>
      <c r="G81" s="43">
        <f>D36-D35</f>
        <v>4.856481625074871</v>
      </c>
      <c r="H81" s="43">
        <f t="shared" si="2"/>
        <v>4.856481625074871</v>
      </c>
    </row>
    <row r="82" spans="1:8" ht="12.75">
      <c r="A82" s="51" t="s">
        <v>96</v>
      </c>
      <c r="B82" s="43"/>
      <c r="C82" s="43">
        <f>B43</f>
        <v>0</v>
      </c>
      <c r="D82" s="43"/>
      <c r="E82" s="43"/>
      <c r="F82" s="43"/>
      <c r="G82" s="43"/>
      <c r="H82" s="43">
        <f t="shared" si="2"/>
        <v>0</v>
      </c>
    </row>
    <row r="83" spans="1:8" ht="12.75">
      <c r="A83" s="51" t="s">
        <v>97</v>
      </c>
      <c r="B83" s="43"/>
      <c r="C83" s="43">
        <f>B49</f>
        <v>0</v>
      </c>
      <c r="D83" s="43"/>
      <c r="E83" s="43"/>
      <c r="F83" s="43"/>
      <c r="G83" s="43"/>
      <c r="H83" s="43">
        <f t="shared" si="2"/>
        <v>0</v>
      </c>
    </row>
    <row r="84" spans="1:8" ht="12.75">
      <c r="A84" s="51" t="s">
        <v>189</v>
      </c>
      <c r="B84" s="43"/>
      <c r="C84" s="43">
        <f>B56</f>
        <v>0.36006561810311966</v>
      </c>
      <c r="D84" s="43"/>
      <c r="E84" s="43"/>
      <c r="F84" s="43"/>
      <c r="G84" s="43"/>
      <c r="H84" s="43">
        <f t="shared" si="2"/>
        <v>0</v>
      </c>
    </row>
    <row r="85" spans="1:8" ht="12.75">
      <c r="A85" s="15" t="s">
        <v>98</v>
      </c>
      <c r="B85" s="44">
        <f aca="true" t="shared" si="3" ref="B85:G85">SUM(B79:B84)</f>
        <v>84.01033402469135</v>
      </c>
      <c r="C85" s="44">
        <f t="shared" si="3"/>
        <v>16.39492530417014</v>
      </c>
      <c r="D85" s="44">
        <f t="shared" si="3"/>
        <v>143.24048505820105</v>
      </c>
      <c r="E85" s="44">
        <f t="shared" si="3"/>
        <v>12.615391999999998</v>
      </c>
      <c r="F85" s="44">
        <f t="shared" si="3"/>
        <v>7.947512465608465</v>
      </c>
      <c r="G85" s="44">
        <f t="shared" si="3"/>
        <v>4.856481625074871</v>
      </c>
      <c r="H85" s="44">
        <f t="shared" si="2"/>
        <v>12.803994090683336</v>
      </c>
    </row>
    <row r="86" spans="1:8" ht="12.75">
      <c r="A86" s="51" t="s">
        <v>167</v>
      </c>
      <c r="B86" s="45"/>
      <c r="C86" s="45"/>
      <c r="D86" s="45"/>
      <c r="E86" s="45"/>
      <c r="F86" s="45"/>
      <c r="G86" s="45">
        <f>D35</f>
        <v>16.026727138257996</v>
      </c>
      <c r="H86" s="45">
        <f t="shared" si="2"/>
        <v>16.026727138257996</v>
      </c>
    </row>
    <row r="87" spans="1:8" ht="12.75">
      <c r="A87" s="51" t="s">
        <v>99</v>
      </c>
      <c r="B87" s="45">
        <f>SUM(G69:G71)</f>
        <v>17.027865961199293</v>
      </c>
      <c r="C87" s="45">
        <f>SUM(H69:H71)</f>
        <v>2.4071869488536155</v>
      </c>
      <c r="D87" s="45">
        <f>SUM(I69:I71)</f>
        <v>9.346516754850088</v>
      </c>
      <c r="E87" s="45">
        <v>0</v>
      </c>
      <c r="F87" s="45">
        <f>SUM(J69:J71)</f>
        <v>0.5202821869488536</v>
      </c>
      <c r="G87" s="45">
        <f>SUM(K69:K71)</f>
        <v>24.181750551083745</v>
      </c>
      <c r="H87" s="45">
        <f t="shared" si="2"/>
        <v>24.7020327380326</v>
      </c>
    </row>
    <row r="88" spans="1:8" ht="12.75">
      <c r="A88" s="15" t="s">
        <v>168</v>
      </c>
      <c r="B88" s="44">
        <f aca="true" t="shared" si="4" ref="B88:G88">SUM(B86:B87)</f>
        <v>17.027865961199293</v>
      </c>
      <c r="C88" s="44">
        <f t="shared" si="4"/>
        <v>2.4071869488536155</v>
      </c>
      <c r="D88" s="44">
        <f t="shared" si="4"/>
        <v>9.346516754850088</v>
      </c>
      <c r="E88" s="44">
        <f t="shared" si="4"/>
        <v>0</v>
      </c>
      <c r="F88" s="44">
        <f t="shared" si="4"/>
        <v>0.5202821869488536</v>
      </c>
      <c r="G88" s="44">
        <f t="shared" si="4"/>
        <v>40.20847768934174</v>
      </c>
      <c r="H88" s="44">
        <f t="shared" si="2"/>
        <v>40.728759876290596</v>
      </c>
    </row>
    <row r="89" spans="1:8" ht="12.75">
      <c r="A89" s="15" t="s">
        <v>24</v>
      </c>
      <c r="B89" s="44">
        <f aca="true" t="shared" si="5" ref="B89:H89">B85+B88</f>
        <v>101.03819998589064</v>
      </c>
      <c r="C89" s="44">
        <f t="shared" si="5"/>
        <v>18.802112253023758</v>
      </c>
      <c r="D89" s="44">
        <f t="shared" si="5"/>
        <v>152.58700181305113</v>
      </c>
      <c r="E89" s="44">
        <f t="shared" si="5"/>
        <v>12.615391999999998</v>
      </c>
      <c r="F89" s="44">
        <f t="shared" si="5"/>
        <v>8.46779465255732</v>
      </c>
      <c r="G89" s="44">
        <f t="shared" si="5"/>
        <v>45.06495931441661</v>
      </c>
      <c r="H89" s="44">
        <f t="shared" si="5"/>
        <v>53.53275396697393</v>
      </c>
    </row>
    <row r="90" ht="12.75">
      <c r="A90" s="39" t="s">
        <v>132</v>
      </c>
    </row>
    <row r="91" ht="12.75">
      <c r="A91" s="39"/>
    </row>
    <row r="93" spans="1:8" ht="12.75">
      <c r="A93" s="87" t="str">
        <f>"Table "&amp;A$2&amp;"-H"</f>
        <v>Table 19-H</v>
      </c>
      <c r="B93" s="87"/>
      <c r="C93" s="87"/>
      <c r="D93" s="87"/>
      <c r="E93" s="87"/>
      <c r="F93" s="87"/>
      <c r="G93" s="87"/>
      <c r="H93" s="87"/>
    </row>
    <row r="94" spans="1:8" ht="12.75">
      <c r="A94" s="87" t="str">
        <f>A$1&amp;" Emissions Summary (Mitigated)"</f>
        <v>VGS Demolition Emissions Summary (Mitigated)</v>
      </c>
      <c r="B94" s="87"/>
      <c r="C94" s="87"/>
      <c r="D94" s="87"/>
      <c r="E94" s="87"/>
      <c r="F94" s="87"/>
      <c r="G94" s="87"/>
      <c r="H94" s="87"/>
    </row>
    <row r="95" spans="1:8" ht="42">
      <c r="A95" s="2" t="s">
        <v>131</v>
      </c>
      <c r="B95" s="3" t="s">
        <v>193</v>
      </c>
      <c r="C95" s="3" t="s">
        <v>194</v>
      </c>
      <c r="D95" s="3" t="s">
        <v>199</v>
      </c>
      <c r="E95" s="3" t="s">
        <v>200</v>
      </c>
      <c r="F95" s="3" t="s">
        <v>208</v>
      </c>
      <c r="G95" s="3" t="s">
        <v>209</v>
      </c>
      <c r="H95" s="3" t="s">
        <v>210</v>
      </c>
    </row>
    <row r="96" spans="1:8" ht="12.75">
      <c r="A96" s="15" t="s">
        <v>94</v>
      </c>
      <c r="B96" s="43">
        <f>B79</f>
        <v>82.36897599999999</v>
      </c>
      <c r="C96" s="43">
        <f>C79</f>
        <v>15.823376</v>
      </c>
      <c r="D96" s="43">
        <f>D79</f>
        <v>142.794784</v>
      </c>
      <c r="E96" s="43">
        <f>E79</f>
        <v>12.615391999999998</v>
      </c>
      <c r="F96" s="43">
        <f>F79</f>
        <v>7.931903999999999</v>
      </c>
      <c r="G96" s="43"/>
      <c r="H96" s="43">
        <f>F96+G96</f>
        <v>7.931903999999999</v>
      </c>
    </row>
    <row r="97" spans="1:8" ht="12.75">
      <c r="A97" s="4" t="s">
        <v>123</v>
      </c>
      <c r="B97" s="40">
        <v>0</v>
      </c>
      <c r="C97" s="40">
        <v>0.05</v>
      </c>
      <c r="D97" s="40">
        <v>0.05</v>
      </c>
      <c r="E97" s="40">
        <v>0.05</v>
      </c>
      <c r="F97" s="40">
        <v>0.05</v>
      </c>
      <c r="G97" s="40"/>
      <c r="H97" s="43"/>
    </row>
    <row r="98" spans="1:8" ht="12.75">
      <c r="A98" s="4" t="s">
        <v>124</v>
      </c>
      <c r="B98" s="43">
        <f>-B97*B96</f>
        <v>0</v>
      </c>
      <c r="C98" s="43">
        <f>-C97*C96</f>
        <v>-0.7911688</v>
      </c>
      <c r="D98" s="43">
        <f>-D97*D96</f>
        <v>-7.1397392</v>
      </c>
      <c r="E98" s="43">
        <f>-E97*E96</f>
        <v>-0.6307695999999999</v>
      </c>
      <c r="F98" s="43">
        <f>-F97*F96</f>
        <v>-0.3965952</v>
      </c>
      <c r="G98" s="43"/>
      <c r="H98" s="43">
        <f>F98+G98</f>
        <v>-0.3965952</v>
      </c>
    </row>
    <row r="99" spans="1:8" ht="12.75">
      <c r="A99" s="15" t="s">
        <v>125</v>
      </c>
      <c r="B99" s="44">
        <f>B96+B98</f>
        <v>82.36897599999999</v>
      </c>
      <c r="C99" s="44">
        <f>C96+C98</f>
        <v>15.0322072</v>
      </c>
      <c r="D99" s="44">
        <f>D96+D98</f>
        <v>135.65504479999998</v>
      </c>
      <c r="E99" s="44">
        <f>E96+E98</f>
        <v>11.984622399999997</v>
      </c>
      <c r="F99" s="44">
        <f>F96+F98</f>
        <v>7.535308799999999</v>
      </c>
      <c r="G99" s="44"/>
      <c r="H99" s="44">
        <f>F99+G99</f>
        <v>7.535308799999999</v>
      </c>
    </row>
    <row r="100" spans="1:8" ht="12.75">
      <c r="A100" s="15" t="s">
        <v>127</v>
      </c>
      <c r="B100" s="45">
        <f>B80</f>
        <v>1.641358024691358</v>
      </c>
      <c r="C100" s="45">
        <f>C80</f>
        <v>0.21148368606701937</v>
      </c>
      <c r="D100" s="45">
        <f>D80</f>
        <v>0.44570105820105815</v>
      </c>
      <c r="E100" s="45">
        <f>E80</f>
        <v>0</v>
      </c>
      <c r="F100" s="45">
        <f>F80</f>
        <v>0.015608465608465606</v>
      </c>
      <c r="G100" s="45"/>
      <c r="H100" s="43">
        <f>F100+G100</f>
        <v>0.015608465608465606</v>
      </c>
    </row>
    <row r="101" spans="1:8" ht="12.75">
      <c r="A101" s="4" t="s">
        <v>123</v>
      </c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/>
      <c r="H101" s="44"/>
    </row>
    <row r="102" spans="1:8" ht="12.75">
      <c r="A102" s="4" t="s">
        <v>124</v>
      </c>
      <c r="B102" s="43">
        <f>-B101*B100</f>
        <v>0</v>
      </c>
      <c r="C102" s="43">
        <f>-C101*C100</f>
        <v>0</v>
      </c>
      <c r="D102" s="43">
        <f>-D101*D100</f>
        <v>0</v>
      </c>
      <c r="E102" s="43">
        <f>-E101*E100</f>
        <v>0</v>
      </c>
      <c r="F102" s="43">
        <f>-F101*F100</f>
        <v>0</v>
      </c>
      <c r="G102" s="43"/>
      <c r="H102" s="43">
        <f>F102+G102</f>
        <v>0</v>
      </c>
    </row>
    <row r="103" spans="1:8" ht="12.75">
      <c r="A103" s="15" t="s">
        <v>125</v>
      </c>
      <c r="B103" s="44">
        <f>B100+B102</f>
        <v>1.641358024691358</v>
      </c>
      <c r="C103" s="44">
        <f>C100+C102</f>
        <v>0.21148368606701937</v>
      </c>
      <c r="D103" s="44">
        <f>D100+D102</f>
        <v>0.44570105820105815</v>
      </c>
      <c r="E103" s="44">
        <f>E100+E102</f>
        <v>0</v>
      </c>
      <c r="F103" s="44">
        <f>F100+F102</f>
        <v>0.015608465608465606</v>
      </c>
      <c r="G103" s="44"/>
      <c r="H103" s="44">
        <f>F103+G103</f>
        <v>0.015608465608465606</v>
      </c>
    </row>
    <row r="104" spans="1:8" ht="12.75">
      <c r="A104" s="15" t="s">
        <v>95</v>
      </c>
      <c r="B104" s="43"/>
      <c r="C104" s="43"/>
      <c r="D104" s="43"/>
      <c r="E104" s="43"/>
      <c r="F104" s="43"/>
      <c r="G104" s="43">
        <f>G81</f>
        <v>4.856481625074871</v>
      </c>
      <c r="H104" s="43">
        <f>F104+G104</f>
        <v>4.856481625074871</v>
      </c>
    </row>
    <row r="105" spans="1:8" ht="12.75">
      <c r="A105" s="4" t="s">
        <v>123</v>
      </c>
      <c r="B105" s="40"/>
      <c r="C105" s="40"/>
      <c r="D105" s="40"/>
      <c r="E105" s="40"/>
      <c r="F105" s="40"/>
      <c r="G105" s="40">
        <v>0.16</v>
      </c>
      <c r="H105" s="43"/>
    </row>
    <row r="106" spans="1:8" ht="12.75">
      <c r="A106" s="4" t="s">
        <v>124</v>
      </c>
      <c r="B106" s="43"/>
      <c r="C106" s="43"/>
      <c r="D106" s="43"/>
      <c r="E106" s="43"/>
      <c r="F106" s="43"/>
      <c r="G106" s="43">
        <f>-G105*G104</f>
        <v>-0.7770370600119794</v>
      </c>
      <c r="H106" s="43">
        <f>F106+G106</f>
        <v>-0.7770370600119794</v>
      </c>
    </row>
    <row r="107" spans="1:8" ht="12.75">
      <c r="A107" s="15" t="s">
        <v>125</v>
      </c>
      <c r="B107" s="44"/>
      <c r="C107" s="44"/>
      <c r="D107" s="44"/>
      <c r="E107" s="44"/>
      <c r="F107" s="44"/>
      <c r="G107" s="44">
        <f>G104+G106</f>
        <v>4.079444565062891</v>
      </c>
      <c r="H107" s="44">
        <f>F107+G107</f>
        <v>4.079444565062891</v>
      </c>
    </row>
    <row r="108" spans="1:8" ht="12.75">
      <c r="A108" s="15" t="s">
        <v>96</v>
      </c>
      <c r="B108" s="43"/>
      <c r="C108" s="43">
        <f>C82</f>
        <v>0</v>
      </c>
      <c r="D108" s="43"/>
      <c r="E108" s="43"/>
      <c r="F108" s="43"/>
      <c r="G108" s="43"/>
      <c r="H108" s="43"/>
    </row>
    <row r="109" spans="1:8" ht="12.75">
      <c r="A109" s="4" t="s">
        <v>123</v>
      </c>
      <c r="B109" s="40"/>
      <c r="C109" s="40">
        <v>0</v>
      </c>
      <c r="D109" s="40"/>
      <c r="E109" s="40"/>
      <c r="F109" s="40"/>
      <c r="G109" s="40"/>
      <c r="H109" s="43"/>
    </row>
    <row r="110" spans="1:8" ht="12.75">
      <c r="A110" s="4" t="s">
        <v>124</v>
      </c>
      <c r="B110" s="43"/>
      <c r="C110" s="43">
        <f>-C109*C108</f>
        <v>0</v>
      </c>
      <c r="D110" s="43"/>
      <c r="E110" s="43"/>
      <c r="F110" s="43"/>
      <c r="G110" s="43"/>
      <c r="H110" s="43"/>
    </row>
    <row r="111" spans="1:8" ht="12.75">
      <c r="A111" s="15" t="s">
        <v>125</v>
      </c>
      <c r="B111" s="44"/>
      <c r="C111" s="44">
        <f>C108+C110</f>
        <v>0</v>
      </c>
      <c r="D111" s="44"/>
      <c r="E111" s="44"/>
      <c r="F111" s="44"/>
      <c r="G111" s="44"/>
      <c r="H111" s="44"/>
    </row>
    <row r="112" spans="1:8" ht="12.75">
      <c r="A112" s="15" t="s">
        <v>97</v>
      </c>
      <c r="B112" s="43"/>
      <c r="C112" s="43">
        <f>C80</f>
        <v>0.21148368606701937</v>
      </c>
      <c r="D112" s="43"/>
      <c r="E112" s="43"/>
      <c r="F112" s="43"/>
      <c r="G112" s="43"/>
      <c r="H112" s="43"/>
    </row>
    <row r="113" spans="1:8" ht="12.75">
      <c r="A113" s="4" t="s">
        <v>123</v>
      </c>
      <c r="B113" s="40"/>
      <c r="C113" s="40">
        <v>0</v>
      </c>
      <c r="D113" s="40"/>
      <c r="E113" s="40"/>
      <c r="F113" s="40"/>
      <c r="G113" s="40"/>
      <c r="H113" s="43"/>
    </row>
    <row r="114" spans="1:8" ht="12.75">
      <c r="A114" s="4" t="s">
        <v>124</v>
      </c>
      <c r="B114" s="43"/>
      <c r="C114" s="43">
        <f>-C113*C112</f>
        <v>0</v>
      </c>
      <c r="D114" s="43"/>
      <c r="E114" s="43"/>
      <c r="F114" s="43"/>
      <c r="G114" s="43"/>
      <c r="H114" s="43"/>
    </row>
    <row r="115" spans="1:8" ht="12.75">
      <c r="A115" s="15" t="s">
        <v>125</v>
      </c>
      <c r="B115" s="44"/>
      <c r="C115" s="44">
        <f>C112+C114</f>
        <v>0.21148368606701937</v>
      </c>
      <c r="D115" s="44"/>
      <c r="E115" s="44"/>
      <c r="F115" s="44"/>
      <c r="G115" s="44"/>
      <c r="H115" s="44"/>
    </row>
    <row r="116" spans="1:8" ht="12.75">
      <c r="A116" s="15" t="s">
        <v>189</v>
      </c>
      <c r="B116" s="43"/>
      <c r="C116" s="43">
        <f>C84</f>
        <v>0.36006561810311966</v>
      </c>
      <c r="D116" s="43"/>
      <c r="E116" s="43"/>
      <c r="F116" s="43"/>
      <c r="G116" s="43"/>
      <c r="H116" s="43"/>
    </row>
    <row r="117" spans="1:8" ht="12.75">
      <c r="A117" s="4" t="s">
        <v>123</v>
      </c>
      <c r="B117" s="40"/>
      <c r="C117" s="40">
        <v>0.9</v>
      </c>
      <c r="D117" s="40"/>
      <c r="E117" s="40"/>
      <c r="F117" s="40"/>
      <c r="G117" s="40"/>
      <c r="H117" s="43"/>
    </row>
    <row r="118" spans="1:8" ht="12.75">
      <c r="A118" s="4" t="s">
        <v>124</v>
      </c>
      <c r="B118" s="43"/>
      <c r="C118" s="43">
        <f>-C117*C116</f>
        <v>-0.3240590562928077</v>
      </c>
      <c r="D118" s="43"/>
      <c r="E118" s="43"/>
      <c r="F118" s="43"/>
      <c r="G118" s="43"/>
      <c r="H118" s="43"/>
    </row>
    <row r="119" spans="1:8" ht="12.75">
      <c r="A119" s="15" t="s">
        <v>125</v>
      </c>
      <c r="B119" s="44"/>
      <c r="C119" s="44">
        <f>C116+C118</f>
        <v>0.03600656181031198</v>
      </c>
      <c r="D119" s="44"/>
      <c r="E119" s="44"/>
      <c r="F119" s="44"/>
      <c r="G119" s="44"/>
      <c r="H119" s="44"/>
    </row>
    <row r="120" spans="1:8" ht="12.75">
      <c r="A120" s="15" t="s">
        <v>98</v>
      </c>
      <c r="B120" s="44">
        <f>B99+B103+B107+B111+B119</f>
        <v>84.01033402469135</v>
      </c>
      <c r="C120" s="44">
        <f>C99+C103+C107+C111+C115+C119</f>
        <v>15.491181133944352</v>
      </c>
      <c r="D120" s="44">
        <f>D99+D103+D107+D111+D119</f>
        <v>136.10074585820104</v>
      </c>
      <c r="E120" s="44">
        <f>E99+E103+E107+E111+E119</f>
        <v>11.984622399999997</v>
      </c>
      <c r="F120" s="44">
        <f>F99+F103+F107+F111+F119</f>
        <v>7.550917265608465</v>
      </c>
      <c r="G120" s="44">
        <f>G99+G103+G107+G111+G119</f>
        <v>4.079444565062891</v>
      </c>
      <c r="H120" s="44">
        <f>H99+H107+H111+H119</f>
        <v>11.61475336506289</v>
      </c>
    </row>
    <row r="121" spans="1:8" ht="15">
      <c r="A121" s="15" t="s">
        <v>227</v>
      </c>
      <c r="B121" s="44"/>
      <c r="C121" s="44"/>
      <c r="D121" s="44"/>
      <c r="E121" s="44"/>
      <c r="F121" s="44"/>
      <c r="G121" s="44">
        <f>G86*2</f>
        <v>32.05345427651599</v>
      </c>
      <c r="H121" s="44">
        <f>F121+G121</f>
        <v>32.05345427651599</v>
      </c>
    </row>
    <row r="122" spans="1:8" ht="12.75">
      <c r="A122" s="4" t="s">
        <v>123</v>
      </c>
      <c r="B122" s="44"/>
      <c r="C122" s="44"/>
      <c r="D122" s="44"/>
      <c r="E122" s="44"/>
      <c r="F122" s="44"/>
      <c r="G122" s="61">
        <v>0.9</v>
      </c>
      <c r="H122" s="44"/>
    </row>
    <row r="123" spans="1:8" ht="12.75">
      <c r="A123" s="4" t="s">
        <v>124</v>
      </c>
      <c r="B123" s="44"/>
      <c r="C123" s="44"/>
      <c r="D123" s="44"/>
      <c r="E123" s="44"/>
      <c r="F123" s="44"/>
      <c r="G123" s="43">
        <f>-G122*G121</f>
        <v>-28.848108848864396</v>
      </c>
      <c r="H123" s="43">
        <f>F123+G123</f>
        <v>-28.848108848864396</v>
      </c>
    </row>
    <row r="124" spans="1:8" ht="12.75">
      <c r="A124" s="15" t="s">
        <v>125</v>
      </c>
      <c r="B124" s="44"/>
      <c r="C124" s="44"/>
      <c r="D124" s="44"/>
      <c r="E124" s="44"/>
      <c r="F124" s="44"/>
      <c r="G124" s="44">
        <f>G121+G123</f>
        <v>3.205345427651597</v>
      </c>
      <c r="H124" s="44">
        <f>F124+G124</f>
        <v>3.205345427651597</v>
      </c>
    </row>
    <row r="125" spans="1:8" ht="12.75">
      <c r="A125" s="15" t="s">
        <v>99</v>
      </c>
      <c r="B125" s="44">
        <f aca="true" t="shared" si="6" ref="B125:H125">B87</f>
        <v>17.027865961199293</v>
      </c>
      <c r="C125" s="44">
        <f t="shared" si="6"/>
        <v>2.4071869488536155</v>
      </c>
      <c r="D125" s="44">
        <f t="shared" si="6"/>
        <v>9.346516754850088</v>
      </c>
      <c r="E125" s="44">
        <f t="shared" si="6"/>
        <v>0</v>
      </c>
      <c r="F125" s="44">
        <f t="shared" si="6"/>
        <v>0.5202821869488536</v>
      </c>
      <c r="G125" s="44">
        <f t="shared" si="6"/>
        <v>24.181750551083745</v>
      </c>
      <c r="H125" s="44">
        <f t="shared" si="6"/>
        <v>24.7020327380326</v>
      </c>
    </row>
    <row r="126" spans="1:8" ht="12.75">
      <c r="A126" s="4" t="s">
        <v>123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3"/>
    </row>
    <row r="127" spans="1:8" ht="12.75">
      <c r="A127" s="4" t="s">
        <v>124</v>
      </c>
      <c r="B127" s="43">
        <f aca="true" t="shared" si="7" ref="B127:G127">-B126*B125</f>
        <v>0</v>
      </c>
      <c r="C127" s="43">
        <f t="shared" si="7"/>
        <v>0</v>
      </c>
      <c r="D127" s="43">
        <f t="shared" si="7"/>
        <v>0</v>
      </c>
      <c r="E127" s="43">
        <f t="shared" si="7"/>
        <v>0</v>
      </c>
      <c r="F127" s="43">
        <f t="shared" si="7"/>
        <v>0</v>
      </c>
      <c r="G127" s="43">
        <f t="shared" si="7"/>
        <v>0</v>
      </c>
      <c r="H127" s="43">
        <f>F127+G127</f>
        <v>0</v>
      </c>
    </row>
    <row r="128" spans="1:8" ht="12.75">
      <c r="A128" s="15" t="s">
        <v>125</v>
      </c>
      <c r="B128" s="44">
        <f aca="true" t="shared" si="8" ref="B128:G128">B125+B127</f>
        <v>17.027865961199293</v>
      </c>
      <c r="C128" s="44">
        <f t="shared" si="8"/>
        <v>2.4071869488536155</v>
      </c>
      <c r="D128" s="44">
        <f t="shared" si="8"/>
        <v>9.346516754850088</v>
      </c>
      <c r="E128" s="44">
        <f t="shared" si="8"/>
        <v>0</v>
      </c>
      <c r="F128" s="44">
        <f t="shared" si="8"/>
        <v>0.5202821869488536</v>
      </c>
      <c r="G128" s="44">
        <f t="shared" si="8"/>
        <v>24.181750551083745</v>
      </c>
      <c r="H128" s="44">
        <f>F128+G128</f>
        <v>24.7020327380326</v>
      </c>
    </row>
    <row r="129" spans="1:8" ht="12.75">
      <c r="A129" s="15" t="s">
        <v>168</v>
      </c>
      <c r="B129" s="44">
        <f aca="true" t="shared" si="9" ref="B129:H129">B128+B124</f>
        <v>17.027865961199293</v>
      </c>
      <c r="C129" s="44">
        <f t="shared" si="9"/>
        <v>2.4071869488536155</v>
      </c>
      <c r="D129" s="44">
        <f t="shared" si="9"/>
        <v>9.346516754850088</v>
      </c>
      <c r="E129" s="44">
        <f t="shared" si="9"/>
        <v>0</v>
      </c>
      <c r="F129" s="44">
        <f t="shared" si="9"/>
        <v>0.5202821869488536</v>
      </c>
      <c r="G129" s="44">
        <f t="shared" si="9"/>
        <v>27.387095978735342</v>
      </c>
      <c r="H129" s="44">
        <f t="shared" si="9"/>
        <v>27.907378165684197</v>
      </c>
    </row>
    <row r="130" spans="1:8" ht="12.75">
      <c r="A130" s="15" t="s">
        <v>24</v>
      </c>
      <c r="B130" s="44">
        <f aca="true" t="shared" si="10" ref="B130:H130">B120+B129</f>
        <v>101.03819998589064</v>
      </c>
      <c r="C130" s="44">
        <f t="shared" si="10"/>
        <v>17.898368082797965</v>
      </c>
      <c r="D130" s="44">
        <f t="shared" si="10"/>
        <v>145.44726261305112</v>
      </c>
      <c r="E130" s="44">
        <f t="shared" si="10"/>
        <v>11.984622399999997</v>
      </c>
      <c r="F130" s="44">
        <f t="shared" si="10"/>
        <v>8.07119945255732</v>
      </c>
      <c r="G130" s="44">
        <f t="shared" si="10"/>
        <v>31.46654054379823</v>
      </c>
      <c r="H130" s="44">
        <f t="shared" si="10"/>
        <v>39.52213153074709</v>
      </c>
    </row>
    <row r="131" ht="12.75">
      <c r="A131" s="39" t="s">
        <v>132</v>
      </c>
    </row>
    <row r="132" ht="12.75">
      <c r="A132" s="13" t="s">
        <v>228</v>
      </c>
    </row>
  </sheetData>
  <sheetProtection/>
  <mergeCells count="16">
    <mergeCell ref="A3:L3"/>
    <mergeCell ref="A4:L4"/>
    <mergeCell ref="A51:G51"/>
    <mergeCell ref="A52:G52"/>
    <mergeCell ref="A26:D26"/>
    <mergeCell ref="A27:D27"/>
    <mergeCell ref="A39:F39"/>
    <mergeCell ref="A40:F40"/>
    <mergeCell ref="A45:G45"/>
    <mergeCell ref="A46:G46"/>
    <mergeCell ref="A93:H93"/>
    <mergeCell ref="A94:H94"/>
    <mergeCell ref="A61:L61"/>
    <mergeCell ref="A62:L62"/>
    <mergeCell ref="A76:H76"/>
    <mergeCell ref="A77:H77"/>
  </mergeCells>
  <printOptions horizontalCentered="1"/>
  <pageMargins left="0.75" right="0.75" top="1" bottom="1" header="0.5" footer="0.5"/>
  <pageSetup fitToHeight="20" horizontalDpi="300" verticalDpi="300" orientation="landscape" scale="87" r:id="rId1"/>
  <headerFooter alignWithMargins="0">
    <oddFooter>&amp;CPage &amp;P of &amp;N&amp;R&amp;D</oddFooter>
  </headerFooter>
  <rowBreaks count="3" manualBreakCount="3">
    <brk id="38" max="255" man="1"/>
    <brk id="75" max="255" man="1"/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11"/>
  <dimension ref="A1:N117"/>
  <sheetViews>
    <sheetView zoomScalePageLayoutView="0" workbookViewId="0" topLeftCell="A3">
      <selection activeCell="A3" sqref="A3:L3"/>
    </sheetView>
  </sheetViews>
  <sheetFormatPr defaultColWidth="9.140625" defaultRowHeight="12.75"/>
  <cols>
    <col min="1" max="1" width="37.57421875" style="0" bestFit="1" customWidth="1"/>
    <col min="2" max="2" width="8.7109375" style="0" customWidth="1"/>
    <col min="3" max="3" width="10.140625" style="0" customWidth="1"/>
    <col min="4" max="4" width="9.8515625" style="0" customWidth="1"/>
    <col min="6" max="6" width="10.003906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219</v>
      </c>
    </row>
    <row r="2" ht="12.75" hidden="1">
      <c r="A2" s="52">
        <v>20</v>
      </c>
    </row>
    <row r="3" spans="1:12" ht="12.75">
      <c r="A3" s="87" t="str">
        <f>"Table "&amp;A$2&amp;"-A"</f>
        <v>Table 20-A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VGS Foundations 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>
        <v>2</v>
      </c>
      <c r="C15" s="2">
        <v>16</v>
      </c>
      <c r="D15" s="2">
        <f>B15*C15</f>
        <v>32</v>
      </c>
      <c r="E15" s="2" t="s">
        <v>84</v>
      </c>
      <c r="F15" s="2" t="str">
        <f>IF(E15&lt;&gt;"N/A",B15*E15,"N/A")</f>
        <v>N/A</v>
      </c>
      <c r="G15" s="42">
        <f>$D15*VLOOKUP($A15,'Const. Equip. Emission Factors'!$A$5:$N$25,10,FALSE)</f>
        <v>28.272</v>
      </c>
      <c r="H15" s="42">
        <f>$D15*VLOOKUP($A15,'Const. Equip. Emission Factors'!$A$5:$N$25,11,FALSE)</f>
        <v>1.24</v>
      </c>
      <c r="I15" s="42">
        <f>$D15*VLOOKUP($A15,'Const. Equip. Emission Factors'!$A$5:$N$25,12,FALSE)</f>
        <v>0.5456</v>
      </c>
      <c r="J15" s="42">
        <f>$D15*VLOOKUP($A15,'Const. Equip. Emission Factors'!$A$5:$N$25,13,FALSE)</f>
        <v>0.0248</v>
      </c>
      <c r="K15" s="42">
        <f>$D15*VLOOKUP($A15,'Const. Equip. Emission Factors'!$A$5:$N$25,14,FALSE)</f>
        <v>0.00248</v>
      </c>
      <c r="L15" s="43">
        <f>VLOOKUP(A15,'Const. Equip. Emission Factors'!$A$5:$P$23,16,FALSE)*D15</f>
        <v>5.951999999999999</v>
      </c>
    </row>
    <row r="16" spans="1:12" ht="12.75">
      <c r="A16" s="4" t="s">
        <v>289</v>
      </c>
      <c r="B16" s="2">
        <v>2</v>
      </c>
      <c r="C16" s="2">
        <v>16</v>
      </c>
      <c r="D16" s="2">
        <f>B16*C16</f>
        <v>32</v>
      </c>
      <c r="E16" s="2" t="s">
        <v>84</v>
      </c>
      <c r="F16" s="2" t="str">
        <f>IF(E16&lt;&gt;"N/A",B16*E16,"N/A")</f>
        <v>N/A</v>
      </c>
      <c r="G16" s="42">
        <f>$D16*VLOOKUP($A16,'Const. Equip. Emission Factors'!$A$5:$N$25,10,FALSE)</f>
        <v>13.0944</v>
      </c>
      <c r="H16" s="42">
        <f>$D16*VLOOKUP($A16,'Const. Equip. Emission Factors'!$A$5:$N$25,11,FALSE)</f>
        <v>1.96416</v>
      </c>
      <c r="I16" s="42">
        <f>$D16*VLOOKUP($A16,'Const. Equip. Emission Factors'!$A$5:$N$25,12,FALSE)</f>
        <v>15.71328</v>
      </c>
      <c r="J16" s="42">
        <f>$D16*VLOOKUP($A16,'Const. Equip. Emission Factors'!$A$5:$N$25,13,FALSE)</f>
        <v>1.3094400000000002</v>
      </c>
      <c r="K16" s="42">
        <f>$D16*VLOOKUP($A16,'Const. Equip. Emission Factors'!$A$5:$N$25,14,FALSE)</f>
        <v>0.98208</v>
      </c>
      <c r="L16" s="43">
        <f>VLOOKUP(A16,'Const. Equip. Emission Factors'!$A$5:$P$23,16,FALSE)*D16</f>
        <v>32.736000000000004</v>
      </c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42"/>
      <c r="H22" s="42"/>
      <c r="I22" s="42"/>
      <c r="J22" s="42"/>
      <c r="K22" s="42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51.4848</v>
      </c>
      <c r="H23" s="46">
        <f t="shared" si="0"/>
        <v>4.72192</v>
      </c>
      <c r="I23" s="46">
        <f t="shared" si="0"/>
        <v>28.400959999999998</v>
      </c>
      <c r="J23" s="46">
        <f t="shared" si="0"/>
        <v>2.34608</v>
      </c>
      <c r="K23" s="46">
        <f t="shared" si="0"/>
        <v>1.74344</v>
      </c>
      <c r="L23" s="46">
        <f t="shared" si="0"/>
        <v>63.98400000000001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20-B</v>
      </c>
      <c r="B26" s="87"/>
      <c r="C26" s="87"/>
      <c r="D26" s="87"/>
    </row>
    <row r="27" spans="1:4" ht="12.75">
      <c r="A27" s="85" t="str">
        <f>A$1&amp;" Fugitive Dust Emissions (Pre-Mitigation)"</f>
        <v>VGS Foundations 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SUM(F6:F22)-F8+E54+E55+E56+E57</f>
        <v>25</v>
      </c>
      <c r="C31" s="2" t="s">
        <v>46</v>
      </c>
      <c r="D31" s="43">
        <f>B31*'Fug. Dust Emission Factors'!C50</f>
        <v>7.594426966700128</v>
      </c>
    </row>
    <row r="32" spans="1:4" ht="12.75">
      <c r="A32" s="4" t="s">
        <v>110</v>
      </c>
      <c r="B32" s="14">
        <f>E53</f>
        <v>6</v>
      </c>
      <c r="C32" s="2" t="s">
        <v>46</v>
      </c>
      <c r="D32" s="43">
        <f>B32*'Fug. Dust Emission Factors'!C65</f>
        <v>1.7989526703287468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148</v>
      </c>
      <c r="B34" s="2">
        <f>B60</f>
        <v>0</v>
      </c>
      <c r="C34" s="2" t="s">
        <v>166</v>
      </c>
      <c r="D34" s="43">
        <f>B34*'Fug. Dust Emission Factors'!C129</f>
        <v>0</v>
      </c>
    </row>
    <row r="35" spans="1:4" ht="12.75">
      <c r="A35" s="15" t="s">
        <v>24</v>
      </c>
      <c r="B35" s="4"/>
      <c r="C35" s="4"/>
      <c r="D35" s="44">
        <f>SUM(D28:D34)</f>
        <v>9.393379637028875</v>
      </c>
    </row>
    <row r="36" ht="12.75">
      <c r="A36" s="39" t="s">
        <v>132</v>
      </c>
    </row>
    <row r="37" ht="12.75">
      <c r="A37" s="39"/>
    </row>
    <row r="38" spans="1:6" ht="12.75">
      <c r="A38" s="87" t="str">
        <f>"Table "&amp;A$2&amp;"-C"</f>
        <v>Table 20-C</v>
      </c>
      <c r="B38" s="87"/>
      <c r="C38" s="87"/>
      <c r="D38" s="87"/>
      <c r="E38" s="87"/>
      <c r="F38" s="87"/>
    </row>
    <row r="39" spans="1:6" ht="12.75">
      <c r="A39" s="85" t="str">
        <f>A$1&amp;" Asphaltic Paving Emissions (Pre-Mitigation)"</f>
        <v>VGS Foundations  Asphaltic Paving Emissions (Pre-Mitigation)</v>
      </c>
      <c r="B39" s="85"/>
      <c r="C39" s="85"/>
      <c r="D39" s="85"/>
      <c r="E39" s="85"/>
      <c r="F39" s="85"/>
    </row>
    <row r="40" spans="1:6" ht="12.75">
      <c r="A40" s="4" t="s">
        <v>88</v>
      </c>
      <c r="B40" s="2">
        <v>0</v>
      </c>
      <c r="C40" s="33"/>
      <c r="D40" s="31"/>
      <c r="E40" s="31"/>
      <c r="F40" s="32"/>
    </row>
    <row r="41" spans="1:6" ht="12.75">
      <c r="A41" s="4" t="s">
        <v>89</v>
      </c>
      <c r="B41" s="2">
        <v>2.62</v>
      </c>
      <c r="C41" s="33" t="s">
        <v>90</v>
      </c>
      <c r="D41" s="31"/>
      <c r="E41" s="31"/>
      <c r="F41" s="32"/>
    </row>
    <row r="42" spans="1:6" ht="12.75">
      <c r="A42" s="15" t="s">
        <v>92</v>
      </c>
      <c r="B42" s="44">
        <f>B41*B40</f>
        <v>0</v>
      </c>
      <c r="C42" s="33"/>
      <c r="D42" s="31"/>
      <c r="E42" s="31"/>
      <c r="F42" s="32"/>
    </row>
    <row r="44" spans="1:7" ht="12.75">
      <c r="A44" s="87" t="str">
        <f>"Table "&amp;A$2&amp;"-D"</f>
        <v>Table 20-D</v>
      </c>
      <c r="B44" s="87"/>
      <c r="C44" s="87"/>
      <c r="D44" s="87"/>
      <c r="E44" s="87"/>
      <c r="F44" s="87"/>
      <c r="G44" s="87"/>
    </row>
    <row r="45" spans="1:7" ht="12.75">
      <c r="A45" s="85" t="str">
        <f>A$1&amp;" Architectural Coating Emissions (Pre-Mitigation)"</f>
        <v>VGS Foundations  Architectural Coating Emissions (Pre-Mitigation)</v>
      </c>
      <c r="B45" s="85"/>
      <c r="C45" s="85"/>
      <c r="D45" s="85"/>
      <c r="E45" s="85"/>
      <c r="F45" s="85"/>
      <c r="G45" s="85"/>
    </row>
    <row r="46" spans="1:7" ht="12.75">
      <c r="A46" s="4" t="s">
        <v>91</v>
      </c>
      <c r="B46" s="2">
        <v>0</v>
      </c>
      <c r="C46" s="33"/>
      <c r="D46" s="31"/>
      <c r="E46" s="31"/>
      <c r="F46" s="31"/>
      <c r="G46" s="32"/>
    </row>
    <row r="47" spans="1:7" ht="12.75">
      <c r="A47" s="4" t="s">
        <v>93</v>
      </c>
      <c r="B47" s="2">
        <v>3.5</v>
      </c>
      <c r="C47" s="33" t="s">
        <v>277</v>
      </c>
      <c r="D47" s="31"/>
      <c r="E47" s="31"/>
      <c r="F47" s="31"/>
      <c r="G47" s="32"/>
    </row>
    <row r="48" spans="1:7" ht="12.75">
      <c r="A48" s="15" t="s">
        <v>92</v>
      </c>
      <c r="B48" s="44">
        <f>B47*B46</f>
        <v>0</v>
      </c>
      <c r="C48" s="33"/>
      <c r="D48" s="31"/>
      <c r="E48" s="31"/>
      <c r="F48" s="31"/>
      <c r="G48" s="32"/>
    </row>
    <row r="50" spans="1:12" ht="12.75">
      <c r="A50" s="87" t="str">
        <f>"Table "&amp;A$2&amp;"-E"</f>
        <v>Table 20-E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85" t="str">
        <f>A$1&amp;" Motor Vehicle Emissions (Pre-Mitigation)"</f>
        <v>VGS Foundations  Motor Vehicle Emissions (Pre-Mitigation)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42">
      <c r="A52" s="9" t="s">
        <v>0</v>
      </c>
      <c r="B52" s="9" t="s">
        <v>202</v>
      </c>
      <c r="C52" s="9" t="s">
        <v>203</v>
      </c>
      <c r="D52" s="9" t="s">
        <v>204</v>
      </c>
      <c r="E52" s="9" t="s">
        <v>198</v>
      </c>
      <c r="F52" s="9" t="s">
        <v>205</v>
      </c>
      <c r="G52" s="9" t="s">
        <v>193</v>
      </c>
      <c r="H52" s="9" t="s">
        <v>206</v>
      </c>
      <c r="I52" s="9" t="s">
        <v>207</v>
      </c>
      <c r="J52" s="9" t="s">
        <v>208</v>
      </c>
      <c r="K52" s="9" t="s">
        <v>209</v>
      </c>
      <c r="L52" s="3" t="s">
        <v>210</v>
      </c>
    </row>
    <row r="53" spans="1:12" ht="12.75">
      <c r="A53" s="4" t="s">
        <v>104</v>
      </c>
      <c r="B53" s="2">
        <v>2</v>
      </c>
      <c r="C53" s="2">
        <v>3</v>
      </c>
      <c r="D53" s="2">
        <v>4</v>
      </c>
      <c r="E53" s="14">
        <f>B53*C53</f>
        <v>6</v>
      </c>
      <c r="F53" s="14">
        <f>B53*D53</f>
        <v>8</v>
      </c>
      <c r="G53" s="42">
        <f>(E53*VLOOKUP(A53,'Motor Vehicle Emission Factors'!$A$6:$T$42,7,FALSE)+F53*VLOOKUP(A53,'Motor Vehicle Emission Factors'!$A$6:$T$42,8,FALSE))/453.6</f>
        <v>0.7834215167548501</v>
      </c>
      <c r="H53" s="42">
        <f>(E53*VLOOKUP(A53,'Motor Vehicle Emission Factors'!$A$6:$T$42,9,FALSE)+F53*VLOOKUP(A53,'Motor Vehicle Emission Factors'!$A$6:$T$42,10,FALSE)+F53*VLOOKUP(A53,'Motor Vehicle Emission Factors'!$A$6:$T$42,11,FALSE)+B53*12*VLOOKUP(A53,'Motor Vehicle Emission Factors'!$A$6:$T$42,12,FALSE)+E53*VLOOKUP(A53,'Motor Vehicle Emission Factors'!$A$6:$T$42,13,FALSE)+B53*12*VLOOKUP(A53,'Motor Vehicle Emission Factors'!$A$6:$T$42,14,FALSE))/453.6</f>
        <v>0.12957231040564374</v>
      </c>
      <c r="I53" s="42">
        <f>(E53*VLOOKUP(A53,'Motor Vehicle Emission Factors'!$A$6:$T$42,15,FALSE)+F53*VLOOKUP(A53,'Motor Vehicle Emission Factors'!$A$6:$T$42,16,FALSE))/453.6</f>
        <v>0.06979717813051146</v>
      </c>
      <c r="J53" s="42">
        <f>E53*VLOOKUP(A53,'Motor Vehicle Emission Factors'!$A$6:$T$42,17,FALSE)/453.6</f>
        <v>0</v>
      </c>
      <c r="K53" s="42">
        <f>E53*(VLOOKUP(A53,'Motor Vehicle Emission Factors'!$A$6:$T$42,18,FALSE)+VLOOKUP(A53,'Motor Vehicle Emission Factors'!$A$6:$T$42,19,FALSE)+VLOOKUP(A53,'Motor Vehicle Emission Factors'!$A$6:$T$42,20,FALSE))/453.6</f>
        <v>0.00013227513227513226</v>
      </c>
      <c r="L53" s="42">
        <f>J53+K53</f>
        <v>0.00013227513227513226</v>
      </c>
    </row>
    <row r="54" spans="1:12" ht="12.75">
      <c r="A54" s="4" t="s">
        <v>52</v>
      </c>
      <c r="B54" s="2"/>
      <c r="C54" s="2"/>
      <c r="D54" s="2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4" t="s">
        <v>130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118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116</v>
      </c>
      <c r="B57" s="2">
        <v>25</v>
      </c>
      <c r="C57" s="2">
        <v>1</v>
      </c>
      <c r="D57" s="2">
        <v>2</v>
      </c>
      <c r="E57" s="14">
        <f>B57*C57</f>
        <v>25</v>
      </c>
      <c r="F57" s="14">
        <f>B57*D57</f>
        <v>50</v>
      </c>
      <c r="G57" s="42">
        <f>(E57*VLOOKUP(A57,'Motor Vehicle Emission Factors'!$A$6:$T$42,7,FALSE)+F57*VLOOKUP(A57,'Motor Vehicle Emission Factors'!$A$6:$T$42,8,FALSE))/453.6</f>
        <v>1.8518518518518519</v>
      </c>
      <c r="H57" s="42">
        <f>(E57*VLOOKUP(A57,'Motor Vehicle Emission Factors'!$A$6:$T$42,9,FALSE)+F57*VLOOKUP(A57,'Motor Vehicle Emission Factors'!$A$6:$T$42,10,FALSE)+F57*VLOOKUP(A57,'Motor Vehicle Emission Factors'!$A$6:$T$42,11,FALSE)+B57*12*VLOOKUP(A57,'Motor Vehicle Emission Factors'!$A$6:$T$42,12,FALSE)+E57*VLOOKUP(A57,'Motor Vehicle Emission Factors'!$A$6:$T$42,13,FALSE)+B57*12*VLOOKUP(A57,'Motor Vehicle Emission Factors'!$A$6:$T$42,14,FALSE))/453.6</f>
        <v>0.1923500881834215</v>
      </c>
      <c r="I57" s="42">
        <f>(E57*VLOOKUP(A57,'Motor Vehicle Emission Factors'!$A$6:$T$42,15,FALSE)+F57*VLOOKUP(A57,'Motor Vehicle Emission Factors'!$A$6:$T$42,16,FALSE))/453.6</f>
        <v>0.8697089947089947</v>
      </c>
      <c r="J57" s="42">
        <f>E57*VLOOKUP(A57,'Motor Vehicle Emission Factors'!$A$6:$T$42,17,FALSE)/453.6</f>
        <v>0.03251763668430335</v>
      </c>
      <c r="K57" s="42">
        <f>E57*(VLOOKUP(A57,'Motor Vehicle Emission Factors'!$A$6:$T$42,18,FALSE)+VLOOKUP(A57,'Motor Vehicle Emission Factors'!$A$6:$T$42,19,FALSE)+VLOOKUP(A57,'Motor Vehicle Emission Factors'!$A$6:$T$42,20,FALSE))/453.6</f>
        <v>0.0005511463844797178</v>
      </c>
      <c r="L57" s="42">
        <f>J57+K57</f>
        <v>0.03306878306878307</v>
      </c>
    </row>
    <row r="58" spans="1:12" ht="12.75">
      <c r="A58" s="4" t="s">
        <v>105</v>
      </c>
      <c r="B58" s="2">
        <v>50</v>
      </c>
      <c r="C58" s="2">
        <v>40</v>
      </c>
      <c r="D58" s="2">
        <v>2</v>
      </c>
      <c r="E58" s="14">
        <f>B58*C58</f>
        <v>2000</v>
      </c>
      <c r="F58" s="14">
        <f>B58*D58</f>
        <v>100</v>
      </c>
      <c r="G58" s="42">
        <f>(E58*VLOOKUP(A58,'Motor Vehicle Emission Factors'!$A$6:$T$42,7,FALSE)+F58*VLOOKUP(A58,'Motor Vehicle Emission Factors'!$A$6:$T$42,8,FALSE))/453.6</f>
        <v>24.197530864197528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3.1635802469135803</v>
      </c>
      <c r="I58" s="42">
        <f>(E58*VLOOKUP(A58,'Motor Vehicle Emission Factors'!$A$6:$T$42,15,FALSE)+F58*VLOOKUP(A58,'Motor Vehicle Emission Factors'!$A$6:$T$42,16,FALSE))/453.6</f>
        <v>3.4986772486772484</v>
      </c>
      <c r="J58" s="42">
        <f>E58*VLOOKUP(A58,'Motor Vehicle Emission Factors'!$A$6:$T$42,17,FALSE)/453.6</f>
        <v>0</v>
      </c>
      <c r="K58" s="42">
        <f>E58*(VLOOKUP(A58,'Motor Vehicle Emission Factors'!$A$6:$T$42,18,FALSE)+VLOOKUP(A58,'Motor Vehicle Emission Factors'!$A$6:$T$42,19,FALSE)+VLOOKUP(A58,'Motor Vehicle Emission Factors'!$A$6:$T$42,20,FALSE))/453.6</f>
        <v>2.4804611756983714</v>
      </c>
      <c r="L58" s="42">
        <f>J58+K58</f>
        <v>2.4804611756983714</v>
      </c>
    </row>
    <row r="59" spans="1:12" ht="12.75">
      <c r="A59" s="4" t="s">
        <v>129</v>
      </c>
      <c r="B59" s="2">
        <v>25</v>
      </c>
      <c r="C59" s="2">
        <v>40</v>
      </c>
      <c r="D59" s="2">
        <v>2</v>
      </c>
      <c r="E59" s="14">
        <f>B59*C59</f>
        <v>1000</v>
      </c>
      <c r="F59" s="14">
        <f>B59*D59</f>
        <v>50</v>
      </c>
      <c r="G59" s="42">
        <f>(E59*VLOOKUP(A59,'Motor Vehicle Emission Factors'!$A$6:$T$42,7,FALSE)+F59*VLOOKUP(A59,'Motor Vehicle Emission Factors'!$A$6:$T$42,8,FALSE))/453.6</f>
        <v>22.001763668430335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3.328924162257495</v>
      </c>
      <c r="I59" s="42">
        <f>(E59*VLOOKUP(A59,'Motor Vehicle Emission Factors'!$A$6:$T$42,15,FALSE)+F59*VLOOKUP(A59,'Motor Vehicle Emission Factors'!$A$6:$T$42,16,FALSE))/453.6</f>
        <v>20.392416225749557</v>
      </c>
      <c r="J59" s="42">
        <f>E59*VLOOKUP(A59,'Motor Vehicle Emission Factors'!$A$6:$T$42,17,FALSE)/453.6</f>
        <v>1.3007054673721339</v>
      </c>
      <c r="K59" s="42">
        <f>E59*(VLOOKUP(A59,'Motor Vehicle Emission Factors'!$A$6:$T$42,18,FALSE)+VLOOKUP(A59,'Motor Vehicle Emission Factors'!$A$6:$T$42,19,FALSE)+VLOOKUP(A59,'Motor Vehicle Emission Factors'!$A$6:$T$42,20,FALSE))/453.6</f>
        <v>58.345984378365735</v>
      </c>
      <c r="L59" s="42">
        <f>J59+K59</f>
        <v>59.64668984573787</v>
      </c>
    </row>
    <row r="60" spans="1:12" ht="12.75">
      <c r="A60" s="4" t="s">
        <v>128</v>
      </c>
      <c r="B60" s="2"/>
      <c r="C60" s="2"/>
      <c r="D60" s="2"/>
      <c r="E60" s="14"/>
      <c r="F60" s="14"/>
      <c r="G60" s="14"/>
      <c r="H60" s="14"/>
      <c r="I60" s="14"/>
      <c r="J60" s="14"/>
      <c r="K60" s="14"/>
      <c r="L60" s="14"/>
    </row>
    <row r="61" spans="1:14" ht="12.75">
      <c r="A61" s="15" t="s">
        <v>24</v>
      </c>
      <c r="B61" s="4"/>
      <c r="C61" s="4"/>
      <c r="D61" s="4"/>
      <c r="E61" s="4"/>
      <c r="F61" s="4"/>
      <c r="G61" s="46">
        <f aca="true" t="shared" si="1" ref="G61:L61">SUM(G53:G60)</f>
        <v>48.834567901234564</v>
      </c>
      <c r="H61" s="46">
        <f t="shared" si="1"/>
        <v>6.814426807760141</v>
      </c>
      <c r="I61" s="46">
        <f t="shared" si="1"/>
        <v>24.83059964726631</v>
      </c>
      <c r="J61" s="46">
        <f t="shared" si="1"/>
        <v>1.3332231040564373</v>
      </c>
      <c r="K61" s="46">
        <f t="shared" si="1"/>
        <v>60.82712897558086</v>
      </c>
      <c r="L61" s="46">
        <f t="shared" si="1"/>
        <v>62.1603520796373</v>
      </c>
      <c r="M61" s="71">
        <f>E53+E58</f>
        <v>2006</v>
      </c>
      <c r="N61" s="71">
        <f>SUM(E53:E60)-M61</f>
        <v>1025</v>
      </c>
    </row>
    <row r="62" ht="12.75">
      <c r="A62" s="13" t="s">
        <v>25</v>
      </c>
    </row>
    <row r="63" ht="12.75">
      <c r="A63" s="39" t="s">
        <v>132</v>
      </c>
    </row>
    <row r="65" spans="1:8" ht="12.75">
      <c r="A65" s="87" t="str">
        <f>"Table "&amp;A$2&amp;"-F"</f>
        <v>Table 20-F</v>
      </c>
      <c r="B65" s="87"/>
      <c r="C65" s="87"/>
      <c r="D65" s="87"/>
      <c r="E65" s="87"/>
      <c r="F65" s="87"/>
      <c r="G65" s="87"/>
      <c r="H65" s="87"/>
    </row>
    <row r="66" spans="1:8" ht="12.75">
      <c r="A66" s="85" t="str">
        <f>+A$1&amp;" Emissions Summary (Pre-mitigation)"</f>
        <v>VGS Foundations  Emissions Summary (Pre-mitigation)</v>
      </c>
      <c r="B66" s="85"/>
      <c r="C66" s="85"/>
      <c r="D66" s="85"/>
      <c r="E66" s="85"/>
      <c r="F66" s="85"/>
      <c r="G66" s="85"/>
      <c r="H66" s="85"/>
    </row>
    <row r="67" spans="1:8" ht="42">
      <c r="A67" s="2" t="s">
        <v>131</v>
      </c>
      <c r="B67" s="3" t="s">
        <v>193</v>
      </c>
      <c r="C67" s="3" t="s">
        <v>194</v>
      </c>
      <c r="D67" s="3" t="s">
        <v>199</v>
      </c>
      <c r="E67" s="3" t="s">
        <v>200</v>
      </c>
      <c r="F67" s="9" t="s">
        <v>208</v>
      </c>
      <c r="G67" s="9" t="s">
        <v>209</v>
      </c>
      <c r="H67" s="9" t="s">
        <v>210</v>
      </c>
    </row>
    <row r="68" spans="1:8" ht="12.75">
      <c r="A68" s="51" t="s">
        <v>94</v>
      </c>
      <c r="B68" s="43">
        <f>G23</f>
        <v>51.4848</v>
      </c>
      <c r="C68" s="43">
        <f>H23</f>
        <v>4.72192</v>
      </c>
      <c r="D68" s="43">
        <f>I23</f>
        <v>28.400959999999998</v>
      </c>
      <c r="E68" s="43">
        <f>J23</f>
        <v>2.34608</v>
      </c>
      <c r="F68" s="43">
        <f>K23</f>
        <v>1.74344</v>
      </c>
      <c r="G68" s="43"/>
      <c r="H68" s="43">
        <f aca="true" t="shared" si="2" ref="H68:H76">F68+G68</f>
        <v>1.74344</v>
      </c>
    </row>
    <row r="69" spans="1:8" ht="12.75">
      <c r="A69" s="51" t="s">
        <v>127</v>
      </c>
      <c r="B69" s="43">
        <f>SUM(G53:G57)</f>
        <v>2.635273368606702</v>
      </c>
      <c r="C69" s="43">
        <f>SUM(H53:H57)</f>
        <v>0.32192239858906524</v>
      </c>
      <c r="D69" s="43">
        <f>SUM(I53:I57)</f>
        <v>0.9395061728395061</v>
      </c>
      <c r="E69" s="43">
        <v>0</v>
      </c>
      <c r="F69" s="43">
        <f>SUM(J53:J57)</f>
        <v>0.03251763668430335</v>
      </c>
      <c r="G69" s="43"/>
      <c r="H69" s="43">
        <f t="shared" si="2"/>
        <v>0.03251763668430335</v>
      </c>
    </row>
    <row r="70" spans="1:8" ht="12.75">
      <c r="A70" s="51" t="s">
        <v>95</v>
      </c>
      <c r="B70" s="43"/>
      <c r="C70" s="43"/>
      <c r="D70" s="43"/>
      <c r="E70" s="43"/>
      <c r="F70" s="43"/>
      <c r="G70" s="43">
        <f>D35-D34</f>
        <v>9.393379637028875</v>
      </c>
      <c r="H70" s="43">
        <f t="shared" si="2"/>
        <v>9.393379637028875</v>
      </c>
    </row>
    <row r="71" spans="1:8" ht="12.75">
      <c r="A71" s="51" t="s">
        <v>96</v>
      </c>
      <c r="B71" s="43"/>
      <c r="C71" s="43">
        <f>B42</f>
        <v>0</v>
      </c>
      <c r="D71" s="43"/>
      <c r="E71" s="43"/>
      <c r="F71" s="43"/>
      <c r="G71" s="43"/>
      <c r="H71" s="43">
        <f t="shared" si="2"/>
        <v>0</v>
      </c>
    </row>
    <row r="72" spans="1:8" ht="12.75">
      <c r="A72" s="51" t="s">
        <v>97</v>
      </c>
      <c r="B72" s="43"/>
      <c r="C72" s="43">
        <f>B48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15" t="s">
        <v>98</v>
      </c>
      <c r="B73" s="44">
        <f aca="true" t="shared" si="3" ref="B73:G73">SUM(B68:B72)</f>
        <v>54.120073368606704</v>
      </c>
      <c r="C73" s="44">
        <f t="shared" si="3"/>
        <v>5.0438423985890655</v>
      </c>
      <c r="D73" s="44">
        <f t="shared" si="3"/>
        <v>29.340466172839506</v>
      </c>
      <c r="E73" s="44">
        <f t="shared" si="3"/>
        <v>2.34608</v>
      </c>
      <c r="F73" s="44">
        <f t="shared" si="3"/>
        <v>1.7759576366843035</v>
      </c>
      <c r="G73" s="44">
        <f t="shared" si="3"/>
        <v>9.393379637028875</v>
      </c>
      <c r="H73" s="44">
        <f t="shared" si="2"/>
        <v>11.169337273713179</v>
      </c>
    </row>
    <row r="74" spans="1:8" ht="12.75">
      <c r="A74" s="51" t="s">
        <v>167</v>
      </c>
      <c r="B74" s="45"/>
      <c r="C74" s="45"/>
      <c r="D74" s="45"/>
      <c r="E74" s="45"/>
      <c r="F74" s="45"/>
      <c r="G74" s="45">
        <f>D34</f>
        <v>0</v>
      </c>
      <c r="H74" s="45">
        <f t="shared" si="2"/>
        <v>0</v>
      </c>
    </row>
    <row r="75" spans="1:8" ht="12.75">
      <c r="A75" s="51" t="s">
        <v>99</v>
      </c>
      <c r="B75" s="45">
        <f>SUM(G58:G60)</f>
        <v>46.19929453262786</v>
      </c>
      <c r="C75" s="45">
        <f>SUM(H58:H60)</f>
        <v>6.492504409171076</v>
      </c>
      <c r="D75" s="45">
        <f>SUM(I58:I60)</f>
        <v>23.891093474426803</v>
      </c>
      <c r="E75" s="45">
        <v>0</v>
      </c>
      <c r="F75" s="45">
        <f>SUM(J58:J60)</f>
        <v>1.3007054673721339</v>
      </c>
      <c r="G75" s="45">
        <f>SUM(K58:K60)</f>
        <v>60.82644555406411</v>
      </c>
      <c r="H75" s="45">
        <f t="shared" si="2"/>
        <v>62.12715102143624</v>
      </c>
    </row>
    <row r="76" spans="1:8" ht="12.75">
      <c r="A76" s="15" t="s">
        <v>168</v>
      </c>
      <c r="B76" s="44">
        <f aca="true" t="shared" si="4" ref="B76:G76">SUM(B74:B75)</f>
        <v>46.19929453262786</v>
      </c>
      <c r="C76" s="44">
        <f t="shared" si="4"/>
        <v>6.492504409171076</v>
      </c>
      <c r="D76" s="44">
        <f t="shared" si="4"/>
        <v>23.891093474426803</v>
      </c>
      <c r="E76" s="44">
        <f t="shared" si="4"/>
        <v>0</v>
      </c>
      <c r="F76" s="44">
        <f t="shared" si="4"/>
        <v>1.3007054673721339</v>
      </c>
      <c r="G76" s="44">
        <f t="shared" si="4"/>
        <v>60.82644555406411</v>
      </c>
      <c r="H76" s="44">
        <f t="shared" si="2"/>
        <v>62.12715102143624</v>
      </c>
    </row>
    <row r="77" spans="1:8" ht="12.75">
      <c r="A77" s="15" t="s">
        <v>24</v>
      </c>
      <c r="B77" s="44">
        <f aca="true" t="shared" si="5" ref="B77:H77">B73+B76</f>
        <v>100.31936790123456</v>
      </c>
      <c r="C77" s="44">
        <f t="shared" si="5"/>
        <v>11.536346807760141</v>
      </c>
      <c r="D77" s="44">
        <f t="shared" si="5"/>
        <v>53.23155964726631</v>
      </c>
      <c r="E77" s="44">
        <f t="shared" si="5"/>
        <v>2.34608</v>
      </c>
      <c r="F77" s="44">
        <f t="shared" si="5"/>
        <v>3.076663104056437</v>
      </c>
      <c r="G77" s="44">
        <f t="shared" si="5"/>
        <v>70.21982519109298</v>
      </c>
      <c r="H77" s="44">
        <f t="shared" si="5"/>
        <v>73.29648829514942</v>
      </c>
    </row>
    <row r="78" ht="12.75">
      <c r="A78" s="39" t="s">
        <v>132</v>
      </c>
    </row>
    <row r="79" ht="12.75">
      <c r="A79" s="39"/>
    </row>
    <row r="80" ht="12.75">
      <c r="A80" s="39"/>
    </row>
    <row r="82" spans="1:8" ht="12.75">
      <c r="A82" s="87" t="str">
        <f>"Table "&amp;A$2&amp;"-G"</f>
        <v>Table 20-G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VGS Foundations 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B68</f>
        <v>51.4848</v>
      </c>
      <c r="C85" s="43">
        <f>C68</f>
        <v>4.72192</v>
      </c>
      <c r="D85" s="43">
        <f>D68</f>
        <v>28.400959999999998</v>
      </c>
      <c r="E85" s="43">
        <f>E68</f>
        <v>2.34608</v>
      </c>
      <c r="F85" s="43">
        <f>F68</f>
        <v>1.74344</v>
      </c>
      <c r="G85" s="43"/>
      <c r="H85" s="43">
        <f>F85+G85</f>
        <v>1.74344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-0.236096</v>
      </c>
      <c r="D87" s="43">
        <f>-D86*D85</f>
        <v>-1.420048</v>
      </c>
      <c r="E87" s="43">
        <f>-E86*E85</f>
        <v>-0.11730400000000002</v>
      </c>
      <c r="F87" s="43">
        <f>-F86*F85</f>
        <v>-0.08717200000000001</v>
      </c>
      <c r="G87" s="43"/>
      <c r="H87" s="43">
        <f>F87+G87</f>
        <v>-0.08717200000000001</v>
      </c>
    </row>
    <row r="88" spans="1:8" ht="12.75">
      <c r="A88" s="15" t="s">
        <v>125</v>
      </c>
      <c r="B88" s="44">
        <f>B85+B87</f>
        <v>51.4848</v>
      </c>
      <c r="C88" s="44">
        <f>C85+C87</f>
        <v>4.485824</v>
      </c>
      <c r="D88" s="44">
        <f>D85+D87</f>
        <v>26.980911999999996</v>
      </c>
      <c r="E88" s="44">
        <f>E85+E87</f>
        <v>2.2287760000000003</v>
      </c>
      <c r="F88" s="44">
        <f>F85+F87</f>
        <v>1.656268</v>
      </c>
      <c r="G88" s="44"/>
      <c r="H88" s="44">
        <f>F88+G88</f>
        <v>1.656268</v>
      </c>
    </row>
    <row r="89" spans="1:8" ht="12.75">
      <c r="A89" s="15" t="s">
        <v>127</v>
      </c>
      <c r="B89" s="45">
        <f>B69</f>
        <v>2.635273368606702</v>
      </c>
      <c r="C89" s="45">
        <f>C69</f>
        <v>0.32192239858906524</v>
      </c>
      <c r="D89" s="45">
        <f>D69</f>
        <v>0.9395061728395061</v>
      </c>
      <c r="E89" s="45">
        <f>E69</f>
        <v>0</v>
      </c>
      <c r="F89" s="45">
        <f>F69</f>
        <v>0.03251763668430335</v>
      </c>
      <c r="G89" s="45"/>
      <c r="H89" s="43">
        <f>F89+G89</f>
        <v>0.03251763668430335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2.635273368606702</v>
      </c>
      <c r="C92" s="44">
        <f>C89+C91</f>
        <v>0.32192239858906524</v>
      </c>
      <c r="D92" s="44">
        <f>D89+D91</f>
        <v>0.9395061728395061</v>
      </c>
      <c r="E92" s="44">
        <f>E89+E91</f>
        <v>0</v>
      </c>
      <c r="F92" s="44">
        <f>F89+F91</f>
        <v>0.03251763668430335</v>
      </c>
      <c r="G92" s="44"/>
      <c r="H92" s="44">
        <f>F92+G92</f>
        <v>0.03251763668430335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G70</f>
        <v>9.393379637028875</v>
      </c>
      <c r="H93" s="43">
        <f>F93+G93</f>
        <v>9.393379637028875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-1.5029407419246201</v>
      </c>
      <c r="H95" s="43">
        <f>F95+G95</f>
        <v>-1.5029407419246201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7.890438895104255</v>
      </c>
      <c r="H96" s="44">
        <f>F96+G96</f>
        <v>7.890438895104255</v>
      </c>
    </row>
    <row r="97" spans="1:8" ht="12.75">
      <c r="A97" s="15" t="s">
        <v>96</v>
      </c>
      <c r="B97" s="43"/>
      <c r="C97" s="43">
        <f>C71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C72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54.120073368606704</v>
      </c>
      <c r="C105" s="44">
        <f t="shared" si="6"/>
        <v>4.807746398589066</v>
      </c>
      <c r="D105" s="44">
        <f t="shared" si="6"/>
        <v>27.920418172839504</v>
      </c>
      <c r="E105" s="44">
        <f t="shared" si="6"/>
        <v>2.2287760000000003</v>
      </c>
      <c r="F105" s="44">
        <f t="shared" si="6"/>
        <v>1.6887856366843035</v>
      </c>
      <c r="G105" s="44">
        <f t="shared" si="6"/>
        <v>7.890438895104255</v>
      </c>
      <c r="H105" s="44">
        <f>H88+H96+H100+H104</f>
        <v>9.546706895104256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G74*2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 aca="true" t="shared" si="7" ref="B110:H110">B75</f>
        <v>46.19929453262786</v>
      </c>
      <c r="C110" s="44">
        <f t="shared" si="7"/>
        <v>6.492504409171076</v>
      </c>
      <c r="D110" s="44">
        <f t="shared" si="7"/>
        <v>23.891093474426803</v>
      </c>
      <c r="E110" s="44">
        <f t="shared" si="7"/>
        <v>0</v>
      </c>
      <c r="F110" s="44">
        <f t="shared" si="7"/>
        <v>1.3007054673721339</v>
      </c>
      <c r="G110" s="44">
        <f t="shared" si="7"/>
        <v>60.82644555406411</v>
      </c>
      <c r="H110" s="44">
        <f t="shared" si="7"/>
        <v>62.12715102143624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46.19929453262786</v>
      </c>
      <c r="C113" s="44">
        <f t="shared" si="9"/>
        <v>6.492504409171076</v>
      </c>
      <c r="D113" s="44">
        <f t="shared" si="9"/>
        <v>23.891093474426803</v>
      </c>
      <c r="E113" s="44">
        <f t="shared" si="9"/>
        <v>0</v>
      </c>
      <c r="F113" s="44">
        <f t="shared" si="9"/>
        <v>1.3007054673721339</v>
      </c>
      <c r="G113" s="44">
        <f t="shared" si="9"/>
        <v>60.82644555406411</v>
      </c>
      <c r="H113" s="44">
        <f>F113+G113</f>
        <v>62.12715102143624</v>
      </c>
    </row>
    <row r="114" spans="1:8" ht="12.75">
      <c r="A114" s="15" t="s">
        <v>168</v>
      </c>
      <c r="B114" s="44">
        <f aca="true" t="shared" si="10" ref="B114:H114">B113+B109</f>
        <v>46.19929453262786</v>
      </c>
      <c r="C114" s="44">
        <f t="shared" si="10"/>
        <v>6.492504409171076</v>
      </c>
      <c r="D114" s="44">
        <f t="shared" si="10"/>
        <v>23.891093474426803</v>
      </c>
      <c r="E114" s="44">
        <f t="shared" si="10"/>
        <v>0</v>
      </c>
      <c r="F114" s="44">
        <f t="shared" si="10"/>
        <v>1.3007054673721339</v>
      </c>
      <c r="G114" s="44">
        <f t="shared" si="10"/>
        <v>60.82644555406411</v>
      </c>
      <c r="H114" s="44">
        <f t="shared" si="10"/>
        <v>62.12715102143624</v>
      </c>
    </row>
    <row r="115" spans="1:8" ht="12.75">
      <c r="A115" s="15" t="s">
        <v>24</v>
      </c>
      <c r="B115" s="44">
        <f aca="true" t="shared" si="11" ref="B115:H115">B105+B114</f>
        <v>100.31936790123456</v>
      </c>
      <c r="C115" s="44">
        <f t="shared" si="11"/>
        <v>11.300250807760142</v>
      </c>
      <c r="D115" s="44">
        <f t="shared" si="11"/>
        <v>51.81151164726631</v>
      </c>
      <c r="E115" s="44">
        <f t="shared" si="11"/>
        <v>2.2287760000000003</v>
      </c>
      <c r="F115" s="44">
        <f t="shared" si="11"/>
        <v>2.9894911040564374</v>
      </c>
      <c r="G115" s="44">
        <f t="shared" si="11"/>
        <v>68.71688444916836</v>
      </c>
      <c r="H115" s="44">
        <f t="shared" si="11"/>
        <v>71.6738579165405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39:F39"/>
    <mergeCell ref="A26:D26"/>
    <mergeCell ref="A27:D27"/>
    <mergeCell ref="A3:L3"/>
    <mergeCell ref="A4:L4"/>
    <mergeCell ref="A38:F38"/>
    <mergeCell ref="A44:G44"/>
    <mergeCell ref="A45:G45"/>
    <mergeCell ref="A82:H82"/>
    <mergeCell ref="A83:H83"/>
    <mergeCell ref="A50:L50"/>
    <mergeCell ref="A51:L51"/>
    <mergeCell ref="A65:H65"/>
    <mergeCell ref="A66:H66"/>
  </mergeCells>
  <printOptions horizontalCentered="1"/>
  <pageMargins left="0.75" right="0.75" top="1" bottom="1" header="0.5" footer="0.5"/>
  <pageSetup fitToHeight="20" horizontalDpi="300" verticalDpi="300" orientation="landscape" scale="77" r:id="rId1"/>
  <headerFooter alignWithMargins="0">
    <oddFooter>&amp;CPage &amp;P of &amp;N&amp;R&amp;D</oddFooter>
  </headerFooter>
  <rowBreaks count="2" manualBreakCount="2">
    <brk id="37" max="255" man="1"/>
    <brk id="8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11"/>
  <dimension ref="A1:N116"/>
  <sheetViews>
    <sheetView zoomScalePageLayoutView="0" workbookViewId="0" topLeftCell="A3">
      <selection activeCell="A3" sqref="A3:L3"/>
    </sheetView>
  </sheetViews>
  <sheetFormatPr defaultColWidth="9.140625" defaultRowHeight="12.75"/>
  <cols>
    <col min="1" max="1" width="37.57421875" style="0" bestFit="1" customWidth="1"/>
    <col min="2" max="2" width="8.57421875" style="0" customWidth="1"/>
    <col min="3" max="3" width="10.7109375" style="0" customWidth="1"/>
    <col min="4" max="4" width="9.7109375" style="0" customWidth="1"/>
    <col min="6" max="6" width="9.5742187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220</v>
      </c>
    </row>
    <row r="2" ht="12.75" hidden="1">
      <c r="A2" s="52">
        <v>21</v>
      </c>
    </row>
    <row r="3" spans="1:12" ht="12.75">
      <c r="A3" s="87" t="str">
        <f>"Table "&amp;A$2&amp;"-A"</f>
        <v>Table 21-A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VGS Equipment Installation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169</v>
      </c>
      <c r="B14" s="2">
        <v>2</v>
      </c>
      <c r="C14" s="2">
        <v>16</v>
      </c>
      <c r="D14" s="2">
        <f>B14*C14</f>
        <v>32</v>
      </c>
      <c r="E14" s="2">
        <v>4</v>
      </c>
      <c r="F14" s="2">
        <f>B14*E14</f>
        <v>8</v>
      </c>
      <c r="G14" s="42">
        <f>$D14*VLOOKUP($A14,'Const. Equip. Emission Factors'!$A$5:$N$25,10,FALSE)</f>
        <v>16.4008</v>
      </c>
      <c r="H14" s="42">
        <f>$D14*VLOOKUP($A14,'Const. Equip. Emission Factors'!$A$5:$N$25,11,FALSE)</f>
        <v>3.7848</v>
      </c>
      <c r="I14" s="42">
        <f>$D14*VLOOKUP($A14,'Const. Equip. Emission Factors'!$A$5:$N$25,12,FALSE)</f>
        <v>39.1096</v>
      </c>
      <c r="J14" s="42">
        <f>$D14*VLOOKUP($A14,'Const. Equip. Emission Factors'!$A$5:$N$25,13,FALSE)</f>
        <v>2.5232</v>
      </c>
      <c r="K14" s="42">
        <f>$D14*VLOOKUP($A14,'Const. Equip. Emission Factors'!$A$5:$N$25,14,FALSE)</f>
        <v>1.8924</v>
      </c>
      <c r="L14" s="43">
        <f>VLOOKUP(A14,'Const. Equip. Emission Factors'!$A$5:$P$23,16,FALSE)*D14</f>
        <v>63.08000000000001</v>
      </c>
    </row>
    <row r="15" spans="1:12" ht="12.75">
      <c r="A15" s="4" t="s">
        <v>283</v>
      </c>
      <c r="B15" s="2">
        <v>1</v>
      </c>
      <c r="C15" s="2">
        <v>16</v>
      </c>
      <c r="D15" s="2">
        <f>B15*C15</f>
        <v>16</v>
      </c>
      <c r="E15" s="2">
        <v>4</v>
      </c>
      <c r="F15" s="2">
        <f>B15*E15</f>
        <v>4</v>
      </c>
      <c r="G15" s="42">
        <f>$D15*VLOOKUP($A15,'Const. Equip. Emission Factors'!$A$5:$N$25,10,FALSE)</f>
        <v>8.8164</v>
      </c>
      <c r="H15" s="42">
        <f>$D15*VLOOKUP($A15,'Const. Equip. Emission Factors'!$A$5:$N$25,11,FALSE)</f>
        <v>1.76328</v>
      </c>
      <c r="I15" s="42">
        <f>$D15*VLOOKUP($A15,'Const. Equip. Emission Factors'!$A$5:$N$25,12,FALSE)</f>
        <v>12.930719999999999</v>
      </c>
      <c r="J15" s="42">
        <f>$D15*VLOOKUP($A15,'Const. Equip. Emission Factors'!$A$5:$N$25,13,FALSE)</f>
        <v>1.1755200000000001</v>
      </c>
      <c r="K15" s="42">
        <f>$D15*VLOOKUP($A15,'Const. Equip. Emission Factors'!$A$5:$N$25,14,FALSE)</f>
        <v>0.5877600000000001</v>
      </c>
      <c r="L15" s="43">
        <f>VLOOKUP(A15,'Const. Equip. Emission Factors'!$A$5:$P$23,16,FALSE)*D15</f>
        <v>29.388</v>
      </c>
    </row>
    <row r="16" spans="1:12" ht="12.75">
      <c r="A16" s="4" t="s">
        <v>284</v>
      </c>
      <c r="B16" s="2"/>
      <c r="C16" s="2"/>
      <c r="D16" s="2"/>
      <c r="E16" s="2"/>
      <c r="F16" s="2"/>
      <c r="G16" s="42"/>
      <c r="H16" s="42"/>
      <c r="I16" s="42"/>
      <c r="J16" s="42"/>
      <c r="K16" s="42"/>
      <c r="L16" s="43"/>
    </row>
    <row r="17" spans="1:12" ht="12.75">
      <c r="A17" s="4" t="s">
        <v>289</v>
      </c>
      <c r="B17" s="2"/>
      <c r="C17" s="2"/>
      <c r="D17" s="2"/>
      <c r="E17" s="2"/>
      <c r="F17" s="2"/>
      <c r="G17" s="42"/>
      <c r="H17" s="42"/>
      <c r="I17" s="42"/>
      <c r="J17" s="42"/>
      <c r="K17" s="42"/>
      <c r="L17" s="43"/>
    </row>
    <row r="18" spans="1:12" ht="12.75">
      <c r="A18" s="4" t="s">
        <v>285</v>
      </c>
      <c r="B18" s="2">
        <v>5</v>
      </c>
      <c r="C18" s="2">
        <v>12</v>
      </c>
      <c r="D18" s="2">
        <f aca="true" t="shared" si="0" ref="D18:D23">B18*C18</f>
        <v>60</v>
      </c>
      <c r="E18" s="2" t="s">
        <v>84</v>
      </c>
      <c r="F18" s="2" t="str">
        <f>IF(E18&lt;&gt;"N/A",B18*E18,"N/A")</f>
        <v>N/A</v>
      </c>
      <c r="G18" s="42">
        <f>$D18*VLOOKUP($A18,'Const. Equip. Emission Factors'!$A$5:$N$25,10,FALSE)</f>
        <v>10.1184</v>
      </c>
      <c r="H18" s="42">
        <f>$D18*VLOOKUP($A18,'Const. Equip. Emission Factors'!$A$5:$N$25,11,FALSE)</f>
        <v>1.51776</v>
      </c>
      <c r="I18" s="42">
        <f>$D18*VLOOKUP($A18,'Const. Equip. Emission Factors'!$A$5:$N$25,12,FALSE)</f>
        <v>12.14208</v>
      </c>
      <c r="J18" s="42">
        <f>$D18*VLOOKUP($A18,'Const. Equip. Emission Factors'!$A$5:$N$25,13,FALSE)</f>
        <v>1.01184</v>
      </c>
      <c r="K18" s="42">
        <f>$D18*VLOOKUP($A18,'Const. Equip. Emission Factors'!$A$5:$N$25,14,FALSE)</f>
        <v>0.75888</v>
      </c>
      <c r="L18" s="43">
        <f>VLOOKUP(A18,'Const. Equip. Emission Factors'!$A$5:$P$23,16,FALSE)*D18</f>
        <v>25.296000000000003</v>
      </c>
    </row>
    <row r="19" spans="1:12" ht="12.75">
      <c r="A19" s="4" t="s">
        <v>364</v>
      </c>
      <c r="B19" s="2">
        <v>2</v>
      </c>
      <c r="C19" s="2">
        <v>16</v>
      </c>
      <c r="D19" s="2">
        <f t="shared" si="0"/>
        <v>32</v>
      </c>
      <c r="E19" s="2" t="s">
        <v>84</v>
      </c>
      <c r="F19" s="2" t="str">
        <f>IF(E19&lt;&gt;"N/A",B19*E19,"N/A")</f>
        <v>N/A</v>
      </c>
      <c r="G19" s="42">
        <f>$D19*VLOOKUP($A19,'Const. Equip. Emission Factors'!$A$5:$N$25,10,FALSE)</f>
        <v>6.251519999999999</v>
      </c>
      <c r="H19" s="42">
        <f>$D19*VLOOKUP($A19,'Const. Equip. Emission Factors'!$A$5:$N$25,11,FALSE)</f>
        <v>1.13664</v>
      </c>
      <c r="I19" s="42">
        <f>$D19*VLOOKUP($A19,'Const. Equip. Emission Factors'!$A$5:$N$25,12,FALSE)</f>
        <v>10.229759999999999</v>
      </c>
      <c r="J19" s="42">
        <f>$D19*VLOOKUP($A19,'Const. Equip. Emission Factors'!$A$5:$N$25,13,FALSE)</f>
        <v>1.13664</v>
      </c>
      <c r="K19" s="42">
        <f>$D19*VLOOKUP($A19,'Const. Equip. Emission Factors'!$A$5:$N$25,14,FALSE)</f>
        <v>0.56832</v>
      </c>
      <c r="L19" s="43">
        <f>VLOOKUP(A19,'Const. Equip. Emission Factors'!$A$5:$P$23,16,FALSE)*D19</f>
        <v>28.416000000000004</v>
      </c>
    </row>
    <row r="20" spans="1:12" ht="12.75">
      <c r="A20" s="4" t="s">
        <v>286</v>
      </c>
      <c r="B20" s="2">
        <v>2</v>
      </c>
      <c r="C20" s="2">
        <v>16</v>
      </c>
      <c r="D20" s="2">
        <f t="shared" si="0"/>
        <v>32</v>
      </c>
      <c r="E20" s="2" t="s">
        <v>84</v>
      </c>
      <c r="F20" s="2" t="str">
        <f>IF(E20&lt;&gt;"N/A",B20*E20,"N/A")</f>
        <v>N/A</v>
      </c>
      <c r="G20" s="42">
        <f>$D20*VLOOKUP($A20,'Const. Equip. Emission Factors'!$A$5:$N$25,10,FALSE)</f>
        <v>5.544</v>
      </c>
      <c r="H20" s="42">
        <f>$D20*VLOOKUP($A20,'Const. Equip. Emission Factors'!$A$5:$N$25,11,FALSE)</f>
        <v>1.008</v>
      </c>
      <c r="I20" s="42">
        <f>$D20*VLOOKUP($A20,'Const. Equip. Emission Factors'!$A$5:$N$25,12,FALSE)</f>
        <v>9.072</v>
      </c>
      <c r="J20" s="42">
        <f>$D20*VLOOKUP($A20,'Const. Equip. Emission Factors'!$A$5:$N$25,13,FALSE)</f>
        <v>1.008</v>
      </c>
      <c r="K20" s="42">
        <f>$D20*VLOOKUP($A20,'Const. Equip. Emission Factors'!$A$5:$N$25,14,FALSE)</f>
        <v>0.504</v>
      </c>
      <c r="L20" s="43">
        <f>VLOOKUP(A20,'Const. Equip. Emission Factors'!$A$5:$P$23,16,FALSE)*D20</f>
        <v>25.2</v>
      </c>
    </row>
    <row r="21" spans="1:12" ht="12.75">
      <c r="A21" s="4" t="s">
        <v>287</v>
      </c>
      <c r="B21" s="2">
        <v>1</v>
      </c>
      <c r="C21" s="2">
        <v>16</v>
      </c>
      <c r="D21" s="2">
        <f t="shared" si="0"/>
        <v>16</v>
      </c>
      <c r="E21" s="2" t="s">
        <v>84</v>
      </c>
      <c r="F21" s="2" t="str">
        <f>IF(E21&lt;&gt;"N/A",B21*E21,"N/A")</f>
        <v>N/A</v>
      </c>
      <c r="G21" s="42">
        <f>$D21*VLOOKUP($A21,'Const. Equip. Emission Factors'!$A$5:$N$25,10,FALSE)</f>
        <v>13.344000000000001</v>
      </c>
      <c r="H21" s="42">
        <f>$D21*VLOOKUP($A21,'Const. Equip. Emission Factors'!$A$5:$N$25,11,FALSE)</f>
        <v>2.0016</v>
      </c>
      <c r="I21" s="42">
        <f>$D21*VLOOKUP($A21,'Const. Equip. Emission Factors'!$A$5:$N$25,12,FALSE)</f>
        <v>14.6784</v>
      </c>
      <c r="J21" s="42">
        <f>$D21*VLOOKUP($A21,'Const. Equip. Emission Factors'!$A$5:$N$25,13,FALSE)</f>
        <v>1.3344</v>
      </c>
      <c r="K21" s="42">
        <f>$D21*VLOOKUP($A21,'Const. Equip. Emission Factors'!$A$5:$N$25,14,FALSE)</f>
        <v>1.0008</v>
      </c>
      <c r="L21" s="43">
        <f>VLOOKUP(A21,'Const. Equip. Emission Factors'!$A$5:$P$23,16,FALSE)*D21</f>
        <v>33.36</v>
      </c>
    </row>
    <row r="22" spans="1:12" ht="12.75">
      <c r="A22" s="4" t="s">
        <v>288</v>
      </c>
      <c r="B22" s="2">
        <v>1</v>
      </c>
      <c r="C22" s="2">
        <v>16</v>
      </c>
      <c r="D22" s="2">
        <f t="shared" si="0"/>
        <v>16</v>
      </c>
      <c r="E22" s="2" t="s">
        <v>84</v>
      </c>
      <c r="F22" s="2" t="str">
        <f>IF(E22&lt;&gt;"N/A",B22*E22,"N/A")</f>
        <v>N/A</v>
      </c>
      <c r="G22" s="42">
        <f>$D22*VLOOKUP($A22,'Const. Equip. Emission Factors'!$A$5:$N$25,10,FALSE)</f>
        <v>0.4928</v>
      </c>
      <c r="H22" s="42">
        <f>$D22*VLOOKUP($A22,'Const. Equip. Emission Factors'!$A$5:$N$25,11,FALSE)</f>
        <v>0.1408</v>
      </c>
      <c r="I22" s="42">
        <f>$D22*VLOOKUP($A22,'Const. Equip. Emission Factors'!$A$5:$N$25,12,FALSE)</f>
        <v>1.4080000000000001</v>
      </c>
      <c r="J22" s="42">
        <f>$D22*VLOOKUP($A22,'Const. Equip. Emission Factors'!$A$5:$N$25,13,FALSE)</f>
        <v>0.1408</v>
      </c>
      <c r="K22" s="42">
        <f>$D22*VLOOKUP($A22,'Const. Equip. Emission Factors'!$A$5:$N$25,14,FALSE)</f>
        <v>0.0704</v>
      </c>
      <c r="L22" s="43">
        <f>VLOOKUP(A22,'Const. Equip. Emission Factors'!$A$5:$P$23,16,FALSE)*D22</f>
        <v>3.52</v>
      </c>
    </row>
    <row r="23" spans="1:12" ht="12.75">
      <c r="A23" s="4" t="s">
        <v>27</v>
      </c>
      <c r="B23" s="2">
        <v>1</v>
      </c>
      <c r="C23" s="2">
        <v>16</v>
      </c>
      <c r="D23" s="2">
        <f t="shared" si="0"/>
        <v>16</v>
      </c>
      <c r="E23" s="2" t="s">
        <v>84</v>
      </c>
      <c r="F23" s="2" t="s">
        <v>84</v>
      </c>
      <c r="G23" s="42">
        <f>$D23*VLOOKUP($A23,'Const. Equip. Emission Factors'!$A$5:$N$25,10,FALSE)</f>
        <v>12.012479999999998</v>
      </c>
      <c r="H23" s="42">
        <f>$D23*VLOOKUP($A23,'Const. Equip. Emission Factors'!$A$5:$N$25,11,FALSE)</f>
        <v>4.00416</v>
      </c>
      <c r="I23" s="42">
        <f>$D23*VLOOKUP($A23,'Const. Equip. Emission Factors'!$A$5:$N$25,12,FALSE)</f>
        <v>30.698559999999997</v>
      </c>
      <c r="J23" s="42">
        <f>$D23*VLOOKUP($A23,'Const. Equip. Emission Factors'!$A$5:$N$25,13,FALSE)</f>
        <v>2.6694400000000003</v>
      </c>
      <c r="K23" s="42">
        <f>$D23*VLOOKUP($A23,'Const. Equip. Emission Factors'!$A$5:$N$25,14,FALSE)</f>
        <v>2.00208</v>
      </c>
      <c r="L23" s="43">
        <f>VLOOKUP(A23,'Const. Equip. Emission Factors'!$A$5:$P$23,16,FALSE)*D23</f>
        <v>66.736</v>
      </c>
    </row>
    <row r="24" spans="1:12" ht="12.75">
      <c r="A24" s="15" t="s">
        <v>24</v>
      </c>
      <c r="B24" s="18"/>
      <c r="C24" s="18"/>
      <c r="D24" s="18"/>
      <c r="E24" s="18"/>
      <c r="F24" s="18"/>
      <c r="G24" s="46">
        <f aca="true" t="shared" si="1" ref="G24:L24">SUM(G6:G23)</f>
        <v>72.9804</v>
      </c>
      <c r="H24" s="46">
        <f t="shared" si="1"/>
        <v>15.357040000000001</v>
      </c>
      <c r="I24" s="46">
        <f t="shared" si="1"/>
        <v>130.26912</v>
      </c>
      <c r="J24" s="46">
        <f t="shared" si="1"/>
        <v>10.99984</v>
      </c>
      <c r="K24" s="46">
        <f t="shared" si="1"/>
        <v>7.384640000000001</v>
      </c>
      <c r="L24" s="46">
        <f t="shared" si="1"/>
        <v>274.99600000000004</v>
      </c>
    </row>
    <row r="26" spans="1:4" ht="12.75">
      <c r="A26" s="87" t="str">
        <f>"Table "&amp;A$2&amp;"-B"</f>
        <v>Table 21-B</v>
      </c>
      <c r="B26" s="87"/>
      <c r="C26" s="87"/>
      <c r="D26" s="87"/>
    </row>
    <row r="27" spans="1:4" ht="12.75">
      <c r="A27" s="85" t="str">
        <f>A$1&amp;" Fugitive Dust Emissions (Pre-Mitigation)"</f>
        <v>VGS Equipment Installation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SUM(F6:F23)-F8+E55+E56+E57+E58</f>
        <v>22</v>
      </c>
      <c r="C31" s="2" t="s">
        <v>46</v>
      </c>
      <c r="D31" s="43">
        <f>B31*'Fug. Dust Emission Factors'!C50</f>
        <v>6.683095730696113</v>
      </c>
    </row>
    <row r="32" spans="1:4" ht="12.75">
      <c r="A32" s="4" t="s">
        <v>110</v>
      </c>
      <c r="B32" s="14">
        <f>E54</f>
        <v>4</v>
      </c>
      <c r="C32" s="2" t="s">
        <v>46</v>
      </c>
      <c r="D32" s="43">
        <f>B32*'Fug. Dust Emission Factors'!C65</f>
        <v>1.1993017802191646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2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0</v>
      </c>
      <c r="C35" s="2" t="s">
        <v>166</v>
      </c>
      <c r="D35" s="43">
        <f>B35*'Fug. Dust Emission Factors'!C129</f>
        <v>0</v>
      </c>
    </row>
    <row r="36" spans="1:4" ht="12.75">
      <c r="A36" s="15" t="s">
        <v>24</v>
      </c>
      <c r="B36" s="4"/>
      <c r="C36" s="4"/>
      <c r="D36" s="44">
        <f>SUM(D29:D35)</f>
        <v>7.882397510915277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21-C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VGS Equipment Installation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21-D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VGS Equipment Installation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100</v>
      </c>
      <c r="B47" s="2">
        <v>2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7</v>
      </c>
      <c r="C49" s="33"/>
      <c r="D49" s="31"/>
      <c r="E49" s="31"/>
      <c r="F49" s="31"/>
      <c r="G49" s="32"/>
    </row>
    <row r="50" ht="12.75">
      <c r="A50" s="39" t="s">
        <v>278</v>
      </c>
    </row>
    <row r="51" spans="1:12" ht="12.75">
      <c r="A51" s="87" t="str">
        <f>"Table "&amp;A$2&amp;"-E"</f>
        <v>Table 21-E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VGS Equipment Installation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2</v>
      </c>
      <c r="C54" s="2">
        <v>2</v>
      </c>
      <c r="D54" s="2">
        <v>4</v>
      </c>
      <c r="E54" s="14">
        <f>B54*C54</f>
        <v>4</v>
      </c>
      <c r="F54" s="14">
        <f>B54*D54</f>
        <v>8</v>
      </c>
      <c r="G54" s="42">
        <f>(E54*VLOOKUP(A54,'Motor Vehicle Emission Factors'!$A$6:$T$42,7,FALSE)+F54*VLOOKUP(A54,'Motor Vehicle Emission Factors'!$A$6:$T$42,8,FALSE))/453.6</f>
        <v>0.7594356261022928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0.126005291005291</v>
      </c>
      <c r="I54" s="42">
        <f>(E54*VLOOKUP(A54,'Motor Vehicle Emission Factors'!$A$6:$T$42,15,FALSE)+F54*VLOOKUP(A54,'Motor Vehicle Emission Factors'!$A$6:$T$42,16,FALSE))/453.6</f>
        <v>0.06393298059964726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8.818342151675484E-05</v>
      </c>
      <c r="L54" s="42">
        <f>J54+K54</f>
        <v>8.818342151675484E-05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10</v>
      </c>
      <c r="C58" s="2">
        <v>1</v>
      </c>
      <c r="D58" s="2"/>
      <c r="E58" s="14">
        <f>B58*C58</f>
        <v>10</v>
      </c>
      <c r="F58" s="14"/>
      <c r="G58" s="42">
        <f>(E58*VLOOKUP(A58,'Motor Vehicle Emission Factors'!$A$6:$T$42,7,FALSE)+F58*VLOOKUP(A58,'Motor Vehicle Emission Factors'!$A$6:$T$42,8,FALSE))/453.6</f>
        <v>0.7407407407407407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0.07694003527336861</v>
      </c>
      <c r="I58" s="42">
        <f>(E58*VLOOKUP(A58,'Motor Vehicle Emission Factors'!$A$6:$T$42,15,FALSE)+F58*VLOOKUP(A58,'Motor Vehicle Emission Factors'!$A$6:$T$42,16,FALSE))/453.6</f>
        <v>0.34788359788359785</v>
      </c>
      <c r="J58" s="42">
        <f>E58*VLOOKUP(A58,'Motor Vehicle Emission Factors'!$A$6:$T$42,17,FALSE)/453.6</f>
        <v>0.013007054673721338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0.0002204585537918871</v>
      </c>
      <c r="L58" s="42">
        <f>J58+K58</f>
        <v>0.013227513227513225</v>
      </c>
    </row>
    <row r="59" spans="1:12" ht="12.75">
      <c r="A59" s="4" t="s">
        <v>105</v>
      </c>
      <c r="B59" s="2">
        <v>105</v>
      </c>
      <c r="C59" s="2">
        <v>40</v>
      </c>
      <c r="D59" s="2">
        <v>2</v>
      </c>
      <c r="E59" s="14">
        <f>B59*C59</f>
        <v>4200</v>
      </c>
      <c r="F59" s="14">
        <f>B59*D59</f>
        <v>210</v>
      </c>
      <c r="G59" s="42">
        <f>(E59*VLOOKUP(A59,'Motor Vehicle Emission Factors'!$A$6:$T$42,7,FALSE)+F59*VLOOKUP(A59,'Motor Vehicle Emission Factors'!$A$6:$T$42,8,FALSE))/453.6</f>
        <v>50.81481481481481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6.643518518518518</v>
      </c>
      <c r="I59" s="42">
        <f>(E59*VLOOKUP(A59,'Motor Vehicle Emission Factors'!$A$6:$T$42,15,FALSE)+F59*VLOOKUP(A59,'Motor Vehicle Emission Factors'!$A$6:$T$42,16,FALSE))/453.6</f>
        <v>7.347222222222221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5.208968468966581</v>
      </c>
      <c r="L59" s="42">
        <f>J59+K59</f>
        <v>5.208968468966581</v>
      </c>
    </row>
    <row r="60" spans="1:12" ht="12.75">
      <c r="A60" s="4" t="s">
        <v>129</v>
      </c>
      <c r="B60" s="2">
        <v>10</v>
      </c>
      <c r="C60" s="2">
        <v>40</v>
      </c>
      <c r="D60" s="2">
        <v>2</v>
      </c>
      <c r="E60" s="14">
        <f>B60*C60</f>
        <v>400</v>
      </c>
      <c r="F60" s="14">
        <f>B60*D60</f>
        <v>20</v>
      </c>
      <c r="G60" s="42">
        <f>(E60*VLOOKUP(A60,'Motor Vehicle Emission Factors'!$A$6:$T$42,7,FALSE)+F60*VLOOKUP(A60,'Motor Vehicle Emission Factors'!$A$6:$T$42,8,FALSE))/453.6</f>
        <v>8.800705467372133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1.3315696649029982</v>
      </c>
      <c r="I60" s="42">
        <f>(E60*VLOOKUP(A60,'Motor Vehicle Emission Factors'!$A$6:$T$42,15,FALSE)+F60*VLOOKUP(A60,'Motor Vehicle Emission Factors'!$A$6:$T$42,16,FALSE))/453.6</f>
        <v>8.156966490299823</v>
      </c>
      <c r="J60" s="42">
        <f>E60*VLOOKUP(A60,'Motor Vehicle Emission Factors'!$A$6:$T$42,17,FALSE)/453.6</f>
        <v>0.5202821869488536</v>
      </c>
      <c r="K60" s="42">
        <f>E60*(VLOOKUP(A60,'Motor Vehicle Emission Factors'!$A$6:$T$42,18,FALSE)+VLOOKUP(A60,'Motor Vehicle Emission Factors'!$A$6:$T$42,19,FALSE)+VLOOKUP(A60,'Motor Vehicle Emission Factors'!$A$6:$T$42,20,FALSE))/453.6</f>
        <v>23.3383937513463</v>
      </c>
      <c r="L60" s="42">
        <f>J60+K60</f>
        <v>23.858675938295153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2" ref="G62:L62">SUM(G54:G61)</f>
        <v>61.11569664902998</v>
      </c>
      <c r="H62" s="46">
        <f t="shared" si="2"/>
        <v>8.178033509700176</v>
      </c>
      <c r="I62" s="46">
        <f t="shared" si="2"/>
        <v>15.91600529100529</v>
      </c>
      <c r="J62" s="46">
        <f t="shared" si="2"/>
        <v>0.533289241622575</v>
      </c>
      <c r="K62" s="46">
        <f t="shared" si="2"/>
        <v>28.54767086228819</v>
      </c>
      <c r="L62" s="46">
        <f t="shared" si="2"/>
        <v>29.080960103910762</v>
      </c>
      <c r="M62" s="71">
        <f>E54+E59</f>
        <v>4204</v>
      </c>
      <c r="N62" s="71">
        <f>SUM(E54:E61)-M62</f>
        <v>410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21-F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VGS Equipment Installation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G24</f>
        <v>72.9804</v>
      </c>
      <c r="C69" s="43">
        <f>H24</f>
        <v>15.357040000000001</v>
      </c>
      <c r="D69" s="43">
        <f>I24</f>
        <v>130.26912</v>
      </c>
      <c r="E69" s="43">
        <f>J24</f>
        <v>10.99984</v>
      </c>
      <c r="F69" s="43">
        <f>K24</f>
        <v>7.384640000000001</v>
      </c>
      <c r="G69" s="43"/>
      <c r="H69" s="43">
        <f aca="true" t="shared" si="3" ref="H69:H77">F69+G69</f>
        <v>7.384640000000001</v>
      </c>
    </row>
    <row r="70" spans="1:8" ht="12.75">
      <c r="A70" s="51" t="s">
        <v>127</v>
      </c>
      <c r="B70" s="43">
        <f>SUM(G54:G58)</f>
        <v>1.5001763668430335</v>
      </c>
      <c r="C70" s="43">
        <f>SUM(H54:H58)</f>
        <v>0.20294532627865963</v>
      </c>
      <c r="D70" s="43">
        <f>SUM(I54:I58)</f>
        <v>0.4118165784832451</v>
      </c>
      <c r="E70" s="43">
        <v>0</v>
      </c>
      <c r="F70" s="43">
        <f>SUM(J54:J58)</f>
        <v>0.013007054673721338</v>
      </c>
      <c r="G70" s="43"/>
      <c r="H70" s="43">
        <f t="shared" si="3"/>
        <v>0.013007054673721338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7.882397510915277</v>
      </c>
      <c r="H71" s="43">
        <f t="shared" si="3"/>
        <v>7.882397510915277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3"/>
        <v>0</v>
      </c>
    </row>
    <row r="73" spans="1:8" ht="12.75">
      <c r="A73" s="51" t="s">
        <v>97</v>
      </c>
      <c r="B73" s="43"/>
      <c r="C73" s="43">
        <f>B49</f>
        <v>7</v>
      </c>
      <c r="D73" s="43"/>
      <c r="E73" s="43"/>
      <c r="F73" s="43"/>
      <c r="G73" s="43"/>
      <c r="H73" s="43">
        <f t="shared" si="3"/>
        <v>0</v>
      </c>
    </row>
    <row r="74" spans="1:8" ht="12.75">
      <c r="A74" s="15" t="s">
        <v>98</v>
      </c>
      <c r="B74" s="44">
        <f aca="true" t="shared" si="4" ref="B74:G74">SUM(B69:B73)</f>
        <v>74.48057636684304</v>
      </c>
      <c r="C74" s="44">
        <f t="shared" si="4"/>
        <v>22.55998532627866</v>
      </c>
      <c r="D74" s="44">
        <f t="shared" si="4"/>
        <v>130.68093657848323</v>
      </c>
      <c r="E74" s="44">
        <f t="shared" si="4"/>
        <v>10.99984</v>
      </c>
      <c r="F74" s="44">
        <f t="shared" si="4"/>
        <v>7.3976470546737225</v>
      </c>
      <c r="G74" s="44">
        <f t="shared" si="4"/>
        <v>7.882397510915277</v>
      </c>
      <c r="H74" s="44">
        <f t="shared" si="3"/>
        <v>15.280044565589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0</v>
      </c>
      <c r="H75" s="45">
        <f t="shared" si="3"/>
        <v>0</v>
      </c>
    </row>
    <row r="76" spans="1:8" ht="12.75">
      <c r="A76" s="51" t="s">
        <v>99</v>
      </c>
      <c r="B76" s="45">
        <f>SUM(G59:G61)</f>
        <v>59.61552028218694</v>
      </c>
      <c r="C76" s="45">
        <f>SUM(H59:H61)</f>
        <v>7.975088183421517</v>
      </c>
      <c r="D76" s="45">
        <f>SUM(I59:I61)</f>
        <v>15.504188712522044</v>
      </c>
      <c r="E76" s="45">
        <v>0</v>
      </c>
      <c r="F76" s="45">
        <f>SUM(J59:J61)</f>
        <v>0.5202821869488536</v>
      </c>
      <c r="G76" s="45">
        <f>SUM(K59:K61)</f>
        <v>28.54736222031288</v>
      </c>
      <c r="H76" s="45">
        <f t="shared" si="3"/>
        <v>29.067644407261735</v>
      </c>
    </row>
    <row r="77" spans="1:8" ht="12.75">
      <c r="A77" s="15" t="s">
        <v>168</v>
      </c>
      <c r="B77" s="44">
        <f aca="true" t="shared" si="5" ref="B77:G77">SUM(B75:B76)</f>
        <v>59.61552028218694</v>
      </c>
      <c r="C77" s="44">
        <f t="shared" si="5"/>
        <v>7.975088183421517</v>
      </c>
      <c r="D77" s="44">
        <f t="shared" si="5"/>
        <v>15.504188712522044</v>
      </c>
      <c r="E77" s="44">
        <f t="shared" si="5"/>
        <v>0</v>
      </c>
      <c r="F77" s="44">
        <f t="shared" si="5"/>
        <v>0.5202821869488536</v>
      </c>
      <c r="G77" s="44">
        <f t="shared" si="5"/>
        <v>28.54736222031288</v>
      </c>
      <c r="H77" s="44">
        <f t="shared" si="3"/>
        <v>29.067644407261735</v>
      </c>
    </row>
    <row r="78" spans="1:8" ht="12.75">
      <c r="A78" s="15" t="s">
        <v>24</v>
      </c>
      <c r="B78" s="44">
        <f aca="true" t="shared" si="6" ref="B78:H78">B74+B77</f>
        <v>134.09609664903</v>
      </c>
      <c r="C78" s="44">
        <f t="shared" si="6"/>
        <v>30.535073509700176</v>
      </c>
      <c r="D78" s="44">
        <f t="shared" si="6"/>
        <v>146.18512529100528</v>
      </c>
      <c r="E78" s="44">
        <f t="shared" si="6"/>
        <v>10.99984</v>
      </c>
      <c r="F78" s="44">
        <f t="shared" si="6"/>
        <v>7.917929241622576</v>
      </c>
      <c r="G78" s="44">
        <f t="shared" si="6"/>
        <v>36.42975973122816</v>
      </c>
      <c r="H78" s="44">
        <f t="shared" si="6"/>
        <v>44.34768897285073</v>
      </c>
    </row>
    <row r="79" ht="12.75">
      <c r="A79" s="39" t="s">
        <v>132</v>
      </c>
    </row>
    <row r="80" ht="12.75">
      <c r="A80" s="39"/>
    </row>
    <row r="81" spans="1:8" ht="12.75">
      <c r="A81" s="87" t="str">
        <f>"Table "&amp;A$2&amp;"-G"</f>
        <v>Table 21-G</v>
      </c>
      <c r="B81" s="87"/>
      <c r="C81" s="87"/>
      <c r="D81" s="87"/>
      <c r="E81" s="87"/>
      <c r="F81" s="87"/>
      <c r="G81" s="87"/>
      <c r="H81" s="87"/>
    </row>
    <row r="82" spans="1:8" ht="12.75">
      <c r="A82" s="87" t="str">
        <f>A$1&amp;" Emissions Summary (Mitigated)"</f>
        <v>VGS Equipment Installation Emissions Summary (Mitigated)</v>
      </c>
      <c r="B82" s="87"/>
      <c r="C82" s="87"/>
      <c r="D82" s="87"/>
      <c r="E82" s="87"/>
      <c r="F82" s="87"/>
      <c r="G82" s="87"/>
      <c r="H82" s="87"/>
    </row>
    <row r="83" spans="1:8" ht="42">
      <c r="A83" s="2" t="s">
        <v>131</v>
      </c>
      <c r="B83" s="3" t="s">
        <v>193</v>
      </c>
      <c r="C83" s="3" t="s">
        <v>194</v>
      </c>
      <c r="D83" s="3" t="s">
        <v>199</v>
      </c>
      <c r="E83" s="3" t="s">
        <v>200</v>
      </c>
      <c r="F83" s="3" t="s">
        <v>208</v>
      </c>
      <c r="G83" s="3" t="s">
        <v>209</v>
      </c>
      <c r="H83" s="3" t="s">
        <v>210</v>
      </c>
    </row>
    <row r="84" spans="1:8" ht="12.75">
      <c r="A84" s="15" t="s">
        <v>94</v>
      </c>
      <c r="B84" s="43">
        <f>B69</f>
        <v>72.9804</v>
      </c>
      <c r="C84" s="43">
        <f>C69</f>
        <v>15.357040000000001</v>
      </c>
      <c r="D84" s="43">
        <f>D69</f>
        <v>130.26912</v>
      </c>
      <c r="E84" s="43">
        <f>E69</f>
        <v>10.99984</v>
      </c>
      <c r="F84" s="43">
        <f>F69</f>
        <v>7.384640000000001</v>
      </c>
      <c r="G84" s="43"/>
      <c r="H84" s="43">
        <f>F84+G84</f>
        <v>7.384640000000001</v>
      </c>
    </row>
    <row r="85" spans="1:8" ht="12.75">
      <c r="A85" s="4" t="s">
        <v>123</v>
      </c>
      <c r="B85" s="40">
        <v>0</v>
      </c>
      <c r="C85" s="40">
        <v>0.05</v>
      </c>
      <c r="D85" s="40">
        <v>0.05</v>
      </c>
      <c r="E85" s="40">
        <v>0.05</v>
      </c>
      <c r="F85" s="40">
        <v>0.05</v>
      </c>
      <c r="G85" s="40"/>
      <c r="H85" s="43"/>
    </row>
    <row r="86" spans="1:8" ht="12.75">
      <c r="A86" s="4" t="s">
        <v>124</v>
      </c>
      <c r="B86" s="43">
        <f>-B85*B84</f>
        <v>0</v>
      </c>
      <c r="C86" s="43">
        <f>-C85*C84</f>
        <v>-0.7678520000000001</v>
      </c>
      <c r="D86" s="43">
        <f>-D85*D84</f>
        <v>-6.513456</v>
      </c>
      <c r="E86" s="43">
        <f>-E85*E84</f>
        <v>-0.549992</v>
      </c>
      <c r="F86" s="43">
        <f>-F85*F84</f>
        <v>-0.36923200000000006</v>
      </c>
      <c r="G86" s="43"/>
      <c r="H86" s="43">
        <f>F86+G86</f>
        <v>-0.36923200000000006</v>
      </c>
    </row>
    <row r="87" spans="1:8" ht="12.75">
      <c r="A87" s="15" t="s">
        <v>125</v>
      </c>
      <c r="B87" s="44">
        <f>B84+B86</f>
        <v>72.9804</v>
      </c>
      <c r="C87" s="44">
        <f>C84+C86</f>
        <v>14.589188000000002</v>
      </c>
      <c r="D87" s="44">
        <f>D84+D86</f>
        <v>123.75566399999998</v>
      </c>
      <c r="E87" s="44">
        <f>E84+E86</f>
        <v>10.449848000000001</v>
      </c>
      <c r="F87" s="44">
        <f>F84+F86</f>
        <v>7.015408000000001</v>
      </c>
      <c r="G87" s="44"/>
      <c r="H87" s="44">
        <f>F87+G87</f>
        <v>7.015408000000001</v>
      </c>
    </row>
    <row r="88" spans="1:8" ht="12.75">
      <c r="A88" s="15" t="s">
        <v>127</v>
      </c>
      <c r="B88" s="45">
        <f>B70</f>
        <v>1.5001763668430335</v>
      </c>
      <c r="C88" s="45">
        <f>C70</f>
        <v>0.20294532627865963</v>
      </c>
      <c r="D88" s="45">
        <f>D70</f>
        <v>0.4118165784832451</v>
      </c>
      <c r="E88" s="45">
        <f>E70</f>
        <v>0</v>
      </c>
      <c r="F88" s="45">
        <f>F70</f>
        <v>0.013007054673721338</v>
      </c>
      <c r="G88" s="45"/>
      <c r="H88" s="43">
        <f>F88+G88</f>
        <v>0.013007054673721338</v>
      </c>
    </row>
    <row r="89" spans="1:8" ht="12.75">
      <c r="A89" s="4" t="s">
        <v>123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/>
      <c r="H89" s="44"/>
    </row>
    <row r="90" spans="1:8" ht="12.75">
      <c r="A90" s="4" t="s">
        <v>124</v>
      </c>
      <c r="B90" s="43">
        <f>-B89*B88</f>
        <v>0</v>
      </c>
      <c r="C90" s="43">
        <f>-C89*C88</f>
        <v>0</v>
      </c>
      <c r="D90" s="43">
        <f>-D89*D88</f>
        <v>0</v>
      </c>
      <c r="E90" s="43">
        <f>-E89*E88</f>
        <v>0</v>
      </c>
      <c r="F90" s="43">
        <f>-F89*F88</f>
        <v>0</v>
      </c>
      <c r="G90" s="43"/>
      <c r="H90" s="43">
        <f>F90+G90</f>
        <v>0</v>
      </c>
    </row>
    <row r="91" spans="1:8" ht="12.75">
      <c r="A91" s="15" t="s">
        <v>125</v>
      </c>
      <c r="B91" s="44">
        <f>B88+B90</f>
        <v>1.5001763668430335</v>
      </c>
      <c r="C91" s="44">
        <f>C88+C90</f>
        <v>0.20294532627865963</v>
      </c>
      <c r="D91" s="44">
        <f>D88+D90</f>
        <v>0.4118165784832451</v>
      </c>
      <c r="E91" s="44">
        <f>E88+E90</f>
        <v>0</v>
      </c>
      <c r="F91" s="44">
        <f>F88+F90</f>
        <v>0.013007054673721338</v>
      </c>
      <c r="G91" s="44"/>
      <c r="H91" s="44">
        <f>F91+G91</f>
        <v>0.013007054673721338</v>
      </c>
    </row>
    <row r="92" spans="1:8" ht="12.75">
      <c r="A92" s="15" t="s">
        <v>95</v>
      </c>
      <c r="B92" s="43"/>
      <c r="C92" s="43"/>
      <c r="D92" s="43"/>
      <c r="E92" s="43"/>
      <c r="F92" s="43"/>
      <c r="G92" s="43">
        <f>G71</f>
        <v>7.882397510915277</v>
      </c>
      <c r="H92" s="43">
        <f>F92+G92</f>
        <v>7.882397510915277</v>
      </c>
    </row>
    <row r="93" spans="1:8" ht="12.75">
      <c r="A93" s="4" t="s">
        <v>123</v>
      </c>
      <c r="B93" s="40"/>
      <c r="C93" s="40"/>
      <c r="D93" s="40"/>
      <c r="E93" s="40"/>
      <c r="F93" s="40"/>
      <c r="G93" s="40">
        <v>0.16</v>
      </c>
      <c r="H93" s="43"/>
    </row>
    <row r="94" spans="1:8" ht="12.75">
      <c r="A94" s="4" t="s">
        <v>124</v>
      </c>
      <c r="B94" s="43"/>
      <c r="C94" s="43"/>
      <c r="D94" s="43"/>
      <c r="E94" s="43"/>
      <c r="F94" s="43"/>
      <c r="G94" s="43">
        <f>-G93*G92</f>
        <v>-1.2611836017464444</v>
      </c>
      <c r="H94" s="43">
        <f>F94+G94</f>
        <v>-1.2611836017464444</v>
      </c>
    </row>
    <row r="95" spans="1:8" ht="12.75">
      <c r="A95" s="15" t="s">
        <v>125</v>
      </c>
      <c r="B95" s="44"/>
      <c r="C95" s="44"/>
      <c r="D95" s="44"/>
      <c r="E95" s="44"/>
      <c r="F95" s="44"/>
      <c r="G95" s="44">
        <f>G92+G94</f>
        <v>6.621213909168833</v>
      </c>
      <c r="H95" s="44">
        <f>F95+G95</f>
        <v>6.621213909168833</v>
      </c>
    </row>
    <row r="96" spans="1:8" ht="12.75">
      <c r="A96" s="15" t="s">
        <v>96</v>
      </c>
      <c r="B96" s="43"/>
      <c r="C96" s="43">
        <f>C72</f>
        <v>0</v>
      </c>
      <c r="D96" s="43"/>
      <c r="E96" s="43"/>
      <c r="F96" s="43"/>
      <c r="G96" s="43"/>
      <c r="H96" s="43"/>
    </row>
    <row r="97" spans="1:8" ht="12.75">
      <c r="A97" s="4" t="s">
        <v>123</v>
      </c>
      <c r="B97" s="40"/>
      <c r="C97" s="40">
        <v>0</v>
      </c>
      <c r="D97" s="40"/>
      <c r="E97" s="40"/>
      <c r="F97" s="40"/>
      <c r="G97" s="40"/>
      <c r="H97" s="43"/>
    </row>
    <row r="98" spans="1:8" ht="12.75">
      <c r="A98" s="4" t="s">
        <v>124</v>
      </c>
      <c r="B98" s="43"/>
      <c r="C98" s="43">
        <f>-C97*C96</f>
        <v>0</v>
      </c>
      <c r="D98" s="43"/>
      <c r="E98" s="43"/>
      <c r="F98" s="43"/>
      <c r="G98" s="43"/>
      <c r="H98" s="43"/>
    </row>
    <row r="99" spans="1:8" ht="12.75">
      <c r="A99" s="15" t="s">
        <v>125</v>
      </c>
      <c r="B99" s="44"/>
      <c r="C99" s="44">
        <f>C96+C98</f>
        <v>0</v>
      </c>
      <c r="D99" s="44"/>
      <c r="E99" s="44"/>
      <c r="F99" s="44"/>
      <c r="G99" s="44"/>
      <c r="H99" s="44"/>
    </row>
    <row r="100" spans="1:8" ht="12.75">
      <c r="A100" s="15" t="s">
        <v>97</v>
      </c>
      <c r="B100" s="43"/>
      <c r="C100" s="43">
        <f>C73</f>
        <v>7</v>
      </c>
      <c r="D100" s="43"/>
      <c r="E100" s="43"/>
      <c r="F100" s="43"/>
      <c r="G100" s="43"/>
      <c r="H100" s="43"/>
    </row>
    <row r="101" spans="1:8" ht="12.75">
      <c r="A101" s="4" t="s">
        <v>123</v>
      </c>
      <c r="B101" s="40"/>
      <c r="C101" s="40">
        <v>0</v>
      </c>
      <c r="D101" s="40"/>
      <c r="E101" s="40"/>
      <c r="F101" s="40"/>
      <c r="G101" s="40"/>
      <c r="H101" s="43"/>
    </row>
    <row r="102" spans="1:8" ht="12.75">
      <c r="A102" s="4" t="s">
        <v>124</v>
      </c>
      <c r="B102" s="43"/>
      <c r="C102" s="43">
        <f>-C101*C100</f>
        <v>0</v>
      </c>
      <c r="D102" s="43"/>
      <c r="E102" s="43"/>
      <c r="F102" s="43"/>
      <c r="G102" s="43"/>
      <c r="H102" s="43"/>
    </row>
    <row r="103" spans="1:8" ht="12.75">
      <c r="A103" s="15" t="s">
        <v>125</v>
      </c>
      <c r="B103" s="44"/>
      <c r="C103" s="44">
        <f>C100+C102</f>
        <v>7</v>
      </c>
      <c r="D103" s="44"/>
      <c r="E103" s="44"/>
      <c r="F103" s="44"/>
      <c r="G103" s="44"/>
      <c r="H103" s="44"/>
    </row>
    <row r="104" spans="1:8" ht="12.75">
      <c r="A104" s="15" t="s">
        <v>98</v>
      </c>
      <c r="B104" s="44">
        <f aca="true" t="shared" si="7" ref="B104:G104">B87+B91+B95+B99+B103</f>
        <v>74.48057636684304</v>
      </c>
      <c r="C104" s="44">
        <f t="shared" si="7"/>
        <v>21.79213332627866</v>
      </c>
      <c r="D104" s="44">
        <f t="shared" si="7"/>
        <v>124.16748057848322</v>
      </c>
      <c r="E104" s="44">
        <f t="shared" si="7"/>
        <v>10.449848000000001</v>
      </c>
      <c r="F104" s="44">
        <f t="shared" si="7"/>
        <v>7.028415054673722</v>
      </c>
      <c r="G104" s="44">
        <f t="shared" si="7"/>
        <v>6.621213909168833</v>
      </c>
      <c r="H104" s="44">
        <f>H87+H95+H99+H103</f>
        <v>13.636621909168834</v>
      </c>
    </row>
    <row r="105" spans="1:8" ht="15">
      <c r="A105" s="15" t="s">
        <v>227</v>
      </c>
      <c r="B105" s="44"/>
      <c r="C105" s="44"/>
      <c r="D105" s="44"/>
      <c r="E105" s="44"/>
      <c r="F105" s="44"/>
      <c r="G105" s="44">
        <f>G75*2</f>
        <v>0</v>
      </c>
      <c r="H105" s="44">
        <f>F105+G105</f>
        <v>0</v>
      </c>
    </row>
    <row r="106" spans="1:8" ht="12.75">
      <c r="A106" s="4" t="s">
        <v>123</v>
      </c>
      <c r="B106" s="44"/>
      <c r="C106" s="44"/>
      <c r="D106" s="44"/>
      <c r="E106" s="44"/>
      <c r="F106" s="44"/>
      <c r="G106" s="61">
        <v>0.9</v>
      </c>
      <c r="H106" s="44"/>
    </row>
    <row r="107" spans="1:8" ht="12.75">
      <c r="A107" s="4" t="s">
        <v>124</v>
      </c>
      <c r="B107" s="44"/>
      <c r="C107" s="44"/>
      <c r="D107" s="44"/>
      <c r="E107" s="44"/>
      <c r="F107" s="44"/>
      <c r="G107" s="43">
        <f>-G106*G105</f>
        <v>0</v>
      </c>
      <c r="H107" s="43">
        <f>F107+G107</f>
        <v>0</v>
      </c>
    </row>
    <row r="108" spans="1:8" ht="12.75">
      <c r="A108" s="15" t="s">
        <v>125</v>
      </c>
      <c r="B108" s="44"/>
      <c r="C108" s="44"/>
      <c r="D108" s="44"/>
      <c r="E108" s="44"/>
      <c r="F108" s="44"/>
      <c r="G108" s="44">
        <f>G105+G107</f>
        <v>0</v>
      </c>
      <c r="H108" s="44">
        <f>F108+G108</f>
        <v>0</v>
      </c>
    </row>
    <row r="109" spans="1:8" ht="12.75">
      <c r="A109" s="15" t="s">
        <v>99</v>
      </c>
      <c r="B109" s="44">
        <f aca="true" t="shared" si="8" ref="B109:H109">B76</f>
        <v>59.61552028218694</v>
      </c>
      <c r="C109" s="44">
        <f t="shared" si="8"/>
        <v>7.975088183421517</v>
      </c>
      <c r="D109" s="44">
        <f t="shared" si="8"/>
        <v>15.504188712522044</v>
      </c>
      <c r="E109" s="44">
        <f t="shared" si="8"/>
        <v>0</v>
      </c>
      <c r="F109" s="44">
        <f t="shared" si="8"/>
        <v>0.5202821869488536</v>
      </c>
      <c r="G109" s="44">
        <f t="shared" si="8"/>
        <v>28.54736222031288</v>
      </c>
      <c r="H109" s="44">
        <f t="shared" si="8"/>
        <v>29.067644407261735</v>
      </c>
    </row>
    <row r="110" spans="1:8" ht="12.75">
      <c r="A110" s="4" t="s">
        <v>123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3"/>
    </row>
    <row r="111" spans="1:8" ht="12.75">
      <c r="A111" s="4" t="s">
        <v>124</v>
      </c>
      <c r="B111" s="43">
        <f aca="true" t="shared" si="9" ref="B111:G111">-B110*B109</f>
        <v>0</v>
      </c>
      <c r="C111" s="43">
        <f t="shared" si="9"/>
        <v>0</v>
      </c>
      <c r="D111" s="43">
        <f t="shared" si="9"/>
        <v>0</v>
      </c>
      <c r="E111" s="43">
        <f t="shared" si="9"/>
        <v>0</v>
      </c>
      <c r="F111" s="43">
        <f t="shared" si="9"/>
        <v>0</v>
      </c>
      <c r="G111" s="43">
        <f t="shared" si="9"/>
        <v>0</v>
      </c>
      <c r="H111" s="43">
        <f>F111+G111</f>
        <v>0</v>
      </c>
    </row>
    <row r="112" spans="1:8" ht="12.75">
      <c r="A112" s="15" t="s">
        <v>125</v>
      </c>
      <c r="B112" s="44">
        <f aca="true" t="shared" si="10" ref="B112:G112">B109+B111</f>
        <v>59.61552028218694</v>
      </c>
      <c r="C112" s="44">
        <f t="shared" si="10"/>
        <v>7.975088183421517</v>
      </c>
      <c r="D112" s="44">
        <f t="shared" si="10"/>
        <v>15.504188712522044</v>
      </c>
      <c r="E112" s="44">
        <f t="shared" si="10"/>
        <v>0</v>
      </c>
      <c r="F112" s="44">
        <f t="shared" si="10"/>
        <v>0.5202821869488536</v>
      </c>
      <c r="G112" s="44">
        <f t="shared" si="10"/>
        <v>28.54736222031288</v>
      </c>
      <c r="H112" s="44">
        <f>F112+G112</f>
        <v>29.067644407261735</v>
      </c>
    </row>
    <row r="113" spans="1:8" ht="12.75">
      <c r="A113" s="15" t="s">
        <v>168</v>
      </c>
      <c r="B113" s="44">
        <f aca="true" t="shared" si="11" ref="B113:H113">B112+B108</f>
        <v>59.61552028218694</v>
      </c>
      <c r="C113" s="44">
        <f t="shared" si="11"/>
        <v>7.975088183421517</v>
      </c>
      <c r="D113" s="44">
        <f t="shared" si="11"/>
        <v>15.504188712522044</v>
      </c>
      <c r="E113" s="44">
        <f t="shared" si="11"/>
        <v>0</v>
      </c>
      <c r="F113" s="44">
        <f t="shared" si="11"/>
        <v>0.5202821869488536</v>
      </c>
      <c r="G113" s="44">
        <f t="shared" si="11"/>
        <v>28.54736222031288</v>
      </c>
      <c r="H113" s="44">
        <f t="shared" si="11"/>
        <v>29.067644407261735</v>
      </c>
    </row>
    <row r="114" spans="1:8" ht="12.75">
      <c r="A114" s="15" t="s">
        <v>24</v>
      </c>
      <c r="B114" s="44">
        <f aca="true" t="shared" si="12" ref="B114:H114">B104+B113</f>
        <v>134.09609664903</v>
      </c>
      <c r="C114" s="44">
        <f t="shared" si="12"/>
        <v>29.767221509700175</v>
      </c>
      <c r="D114" s="44">
        <f t="shared" si="12"/>
        <v>139.67166929100526</v>
      </c>
      <c r="E114" s="44">
        <f t="shared" si="12"/>
        <v>10.449848000000001</v>
      </c>
      <c r="F114" s="44">
        <f t="shared" si="12"/>
        <v>7.548697241622576</v>
      </c>
      <c r="G114" s="44">
        <f t="shared" si="12"/>
        <v>35.168576129481714</v>
      </c>
      <c r="H114" s="44">
        <f t="shared" si="12"/>
        <v>42.70426631643057</v>
      </c>
    </row>
    <row r="115" ht="12.75">
      <c r="A115" s="39" t="s">
        <v>132</v>
      </c>
    </row>
    <row r="116" ht="12.75">
      <c r="A116" s="13" t="s">
        <v>228</v>
      </c>
    </row>
  </sheetData>
  <sheetProtection/>
  <mergeCells count="14">
    <mergeCell ref="A40:F40"/>
    <mergeCell ref="A26:D26"/>
    <mergeCell ref="A27:D27"/>
    <mergeCell ref="A3:L3"/>
    <mergeCell ref="A4:L4"/>
    <mergeCell ref="A39:F39"/>
    <mergeCell ref="A45:G45"/>
    <mergeCell ref="A46:G46"/>
    <mergeCell ref="A81:H81"/>
    <mergeCell ref="A82:H82"/>
    <mergeCell ref="A51:L51"/>
    <mergeCell ref="A52:L52"/>
    <mergeCell ref="A66:H66"/>
    <mergeCell ref="A67:H67"/>
  </mergeCells>
  <printOptions horizontalCentered="1"/>
  <pageMargins left="0.75" right="0.75" top="1" bottom="1" header="0.5" footer="0.5"/>
  <pageSetup fitToHeight="21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11"/>
  <dimension ref="A1:N117"/>
  <sheetViews>
    <sheetView zoomScalePageLayoutView="0" workbookViewId="0" topLeftCell="A3">
      <selection activeCell="L17" sqref="L17"/>
    </sheetView>
  </sheetViews>
  <sheetFormatPr defaultColWidth="9.140625" defaultRowHeight="12.75"/>
  <cols>
    <col min="1" max="1" width="37.57421875" style="0" bestFit="1" customWidth="1"/>
    <col min="2" max="2" width="7.7109375" style="0" customWidth="1"/>
    <col min="3" max="3" width="10.421875" style="0" customWidth="1"/>
    <col min="4" max="4" width="9.7109375" style="0" customWidth="1"/>
    <col min="6" max="6" width="10.003906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221</v>
      </c>
    </row>
    <row r="2" ht="12.75" hidden="1">
      <c r="A2" s="52">
        <v>22</v>
      </c>
    </row>
    <row r="3" spans="1:12" ht="12.75">
      <c r="A3" s="87" t="str">
        <f>"Table "&amp;A$2&amp;"-A"</f>
        <v>Table 22-A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VGS Paving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>
        <v>1</v>
      </c>
      <c r="C13" s="2">
        <v>16</v>
      </c>
      <c r="D13" s="2">
        <f>B13*C13</f>
        <v>16</v>
      </c>
      <c r="E13" s="2">
        <v>1</v>
      </c>
      <c r="F13" s="2">
        <f>IF(E13&lt;&gt;"N/A",B13*E13,"N/A")</f>
        <v>1</v>
      </c>
      <c r="G13" s="42">
        <f>$D13*VLOOKUP($A13,'Const. Equip. Emission Factors'!$A$5:$N$25,10,FALSE)</f>
        <v>6.01328</v>
      </c>
      <c r="H13" s="42">
        <f>$D13*VLOOKUP($A13,'Const. Equip. Emission Factors'!$A$5:$N$25,11,FALSE)</f>
        <v>0.8590399999999999</v>
      </c>
      <c r="I13" s="42">
        <f>$D13*VLOOKUP($A13,'Const. Equip. Emission Factors'!$A$5:$N$25,12,FALSE)</f>
        <v>19.75792</v>
      </c>
      <c r="J13" s="42">
        <f>$D13*VLOOKUP($A13,'Const. Equip. Emission Factors'!$A$5:$N$25,13,FALSE)</f>
        <v>1.7180799999999998</v>
      </c>
      <c r="K13" s="42">
        <f>$D13*VLOOKUP($A13,'Const. Equip. Emission Factors'!$A$5:$N$25,14,FALSE)</f>
        <v>0.8590399999999999</v>
      </c>
      <c r="L13" s="43">
        <f>VLOOKUP(A13,'Const. Equip. Emission Factors'!$A$5:$P$23,16,FALSE)*D13</f>
        <v>42.952</v>
      </c>
    </row>
    <row r="14" spans="1:12" ht="12.75">
      <c r="A14" s="4" t="s">
        <v>283</v>
      </c>
      <c r="B14" s="2"/>
      <c r="C14" s="2"/>
      <c r="D14" s="2"/>
      <c r="E14" s="2"/>
      <c r="F14" s="2"/>
      <c r="G14" s="42"/>
      <c r="H14" s="42"/>
      <c r="I14" s="42"/>
      <c r="J14" s="42"/>
      <c r="K14" s="42"/>
      <c r="L14" s="43"/>
    </row>
    <row r="15" spans="1:12" ht="12.75">
      <c r="A15" s="4" t="s">
        <v>284</v>
      </c>
      <c r="B15" s="2"/>
      <c r="C15" s="2"/>
      <c r="D15" s="2"/>
      <c r="E15" s="2"/>
      <c r="F15" s="2"/>
      <c r="G15" s="42"/>
      <c r="H15" s="42"/>
      <c r="I15" s="42"/>
      <c r="J15" s="42"/>
      <c r="K15" s="42"/>
      <c r="L15" s="43"/>
    </row>
    <row r="16" spans="1:12" ht="12.75">
      <c r="A16" s="4" t="s">
        <v>289</v>
      </c>
      <c r="B16" s="2"/>
      <c r="C16" s="2"/>
      <c r="D16" s="2"/>
      <c r="E16" s="2"/>
      <c r="F16" s="2"/>
      <c r="G16" s="42"/>
      <c r="H16" s="42"/>
      <c r="I16" s="42"/>
      <c r="J16" s="42"/>
      <c r="K16" s="42"/>
      <c r="L16" s="43"/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/>
      <c r="C18" s="2"/>
      <c r="D18" s="2"/>
      <c r="E18" s="2"/>
      <c r="F18" s="2"/>
      <c r="G18" s="42"/>
      <c r="H18" s="42"/>
      <c r="I18" s="42"/>
      <c r="J18" s="42"/>
      <c r="K18" s="42"/>
      <c r="L18" s="43"/>
    </row>
    <row r="19" spans="1:12" ht="12.75">
      <c r="A19" s="4" t="s">
        <v>286</v>
      </c>
      <c r="B19" s="2"/>
      <c r="C19" s="2"/>
      <c r="D19" s="2"/>
      <c r="E19" s="2"/>
      <c r="F19" s="2"/>
      <c r="G19" s="42"/>
      <c r="H19" s="42"/>
      <c r="I19" s="42"/>
      <c r="J19" s="42"/>
      <c r="K19" s="42"/>
      <c r="L19" s="43"/>
    </row>
    <row r="20" spans="1:12" ht="12.75">
      <c r="A20" s="4" t="s">
        <v>287</v>
      </c>
      <c r="B20" s="2"/>
      <c r="C20" s="2"/>
      <c r="D20" s="2"/>
      <c r="E20" s="2"/>
      <c r="F20" s="2"/>
      <c r="G20" s="42"/>
      <c r="H20" s="42"/>
      <c r="I20" s="42"/>
      <c r="J20" s="42"/>
      <c r="K20" s="42"/>
      <c r="L20" s="43"/>
    </row>
    <row r="21" spans="1:12" ht="12.75">
      <c r="A21" s="4" t="s">
        <v>288</v>
      </c>
      <c r="B21" s="2"/>
      <c r="C21" s="2"/>
      <c r="D21" s="2"/>
      <c r="E21" s="2"/>
      <c r="F21" s="2"/>
      <c r="G21" s="42"/>
      <c r="H21" s="42"/>
      <c r="I21" s="42"/>
      <c r="J21" s="42"/>
      <c r="K21" s="42"/>
      <c r="L21" s="43"/>
    </row>
    <row r="22" spans="1:12" ht="12.75">
      <c r="A22" s="4" t="s">
        <v>27</v>
      </c>
      <c r="B22" s="2"/>
      <c r="C22" s="2"/>
      <c r="D22" s="2"/>
      <c r="E22" s="2"/>
      <c r="F22" s="2"/>
      <c r="G22" s="14"/>
      <c r="H22" s="14"/>
      <c r="I22" s="14"/>
      <c r="J22" s="14"/>
      <c r="K22" s="14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16.13168</v>
      </c>
      <c r="H23" s="46">
        <f t="shared" si="0"/>
        <v>2.3768</v>
      </c>
      <c r="I23" s="46">
        <f t="shared" si="0"/>
        <v>31.9</v>
      </c>
      <c r="J23" s="46">
        <f t="shared" si="0"/>
        <v>2.72992</v>
      </c>
      <c r="K23" s="46">
        <f t="shared" si="0"/>
        <v>1.6179199999999998</v>
      </c>
      <c r="L23" s="46">
        <f t="shared" si="0"/>
        <v>68.248</v>
      </c>
    </row>
    <row r="25" spans="1:4" ht="12.75">
      <c r="A25" s="87" t="str">
        <f>"Table "&amp;A$2&amp;"-B"</f>
        <v>Table 22-B</v>
      </c>
      <c r="B25" s="87"/>
      <c r="C25" s="87"/>
      <c r="D25" s="87"/>
    </row>
    <row r="26" spans="1:4" ht="12.75">
      <c r="A26" s="85" t="str">
        <f>A$1&amp;" Fugitive Dust Emissions (Pre-Mitigation)"</f>
        <v>VGS Paving Fugitive Dust Emissions (Pre-Mitigation)</v>
      </c>
      <c r="B26" s="85"/>
      <c r="C26" s="85"/>
      <c r="D26" s="85"/>
    </row>
    <row r="27" spans="1:4" ht="28.5">
      <c r="A27" s="2" t="s">
        <v>87</v>
      </c>
      <c r="B27" s="3" t="s">
        <v>81</v>
      </c>
      <c r="C27" s="2" t="s">
        <v>82</v>
      </c>
      <c r="D27" s="3" t="s">
        <v>201</v>
      </c>
    </row>
    <row r="28" spans="1:4" ht="12.75">
      <c r="A28" s="4" t="s">
        <v>44</v>
      </c>
      <c r="B28" s="2">
        <f>SUM(D6:D7)</f>
        <v>0</v>
      </c>
      <c r="C28" s="2" t="s">
        <v>83</v>
      </c>
      <c r="D28" s="43">
        <f>B28*'Fug. Dust Emission Factors'!C15</f>
        <v>0</v>
      </c>
    </row>
    <row r="29" spans="1:4" ht="12.75">
      <c r="A29" s="4" t="s">
        <v>45</v>
      </c>
      <c r="B29" s="14">
        <f>F8</f>
        <v>0</v>
      </c>
      <c r="C29" s="2" t="s">
        <v>83</v>
      </c>
      <c r="D29" s="43">
        <f>B29*'Fug. Dust Emission Factors'!C30</f>
        <v>0</v>
      </c>
    </row>
    <row r="30" spans="1:4" ht="12.75">
      <c r="A30" s="4" t="s">
        <v>109</v>
      </c>
      <c r="B30" s="14">
        <f>SUM(F6:F22)-F8+E55+E56+E57+E58</f>
        <v>9</v>
      </c>
      <c r="C30" s="2" t="s">
        <v>46</v>
      </c>
      <c r="D30" s="43">
        <f>B30*'Fug. Dust Emission Factors'!C50</f>
        <v>2.733993708012046</v>
      </c>
    </row>
    <row r="31" spans="1:4" ht="12.75">
      <c r="A31" s="4" t="s">
        <v>110</v>
      </c>
      <c r="B31" s="14">
        <f>E54</f>
        <v>2</v>
      </c>
      <c r="C31" s="2" t="s">
        <v>46</v>
      </c>
      <c r="D31" s="43">
        <f>B31*'Fug. Dust Emission Factors'!C65</f>
        <v>0.5996508901095823</v>
      </c>
    </row>
    <row r="32" spans="1:4" ht="12.75">
      <c r="A32" s="4" t="s">
        <v>69</v>
      </c>
      <c r="B32" s="11">
        <v>0</v>
      </c>
      <c r="C32" s="2" t="s">
        <v>85</v>
      </c>
      <c r="D32" s="43">
        <f>B32*'Fug. Dust Emission Factors'!C84</f>
        <v>0</v>
      </c>
    </row>
    <row r="33" spans="1:4" ht="12.75">
      <c r="A33" s="4" t="s">
        <v>75</v>
      </c>
      <c r="B33" s="2">
        <v>0</v>
      </c>
      <c r="C33" s="2" t="s">
        <v>86</v>
      </c>
      <c r="D33" s="43">
        <f>B33*'Fug. Dust Emission Factors'!C99</f>
        <v>0</v>
      </c>
    </row>
    <row r="34" spans="1:4" ht="12.75">
      <c r="A34" s="4" t="s">
        <v>148</v>
      </c>
      <c r="B34" s="2">
        <f>B61</f>
        <v>0</v>
      </c>
      <c r="C34" s="2" t="s">
        <v>166</v>
      </c>
      <c r="D34" s="43">
        <f>B34*'Fug. Dust Emission Factors'!C129</f>
        <v>0</v>
      </c>
    </row>
    <row r="35" spans="1:4" ht="12.75">
      <c r="A35" s="15" t="s">
        <v>24</v>
      </c>
      <c r="B35" s="4"/>
      <c r="C35" s="4"/>
      <c r="D35" s="44">
        <f>SUM(D28:D34)</f>
        <v>3.3336445981216283</v>
      </c>
    </row>
    <row r="36" ht="12.75">
      <c r="A36" s="39" t="s">
        <v>132</v>
      </c>
    </row>
    <row r="37" ht="12.75">
      <c r="A37" s="39"/>
    </row>
    <row r="38" spans="1:6" ht="12.75">
      <c r="A38" s="87" t="str">
        <f>"Table "&amp;A$2&amp;"-C"</f>
        <v>Table 22-C</v>
      </c>
      <c r="B38" s="87"/>
      <c r="C38" s="87"/>
      <c r="D38" s="87"/>
      <c r="E38" s="87"/>
      <c r="F38" s="87"/>
    </row>
    <row r="39" spans="1:6" ht="12.75">
      <c r="A39" s="85" t="str">
        <f>A$1&amp;" Asphaltic Paving Emissions (Pre-Mitigation)"</f>
        <v>VGS Paving Asphaltic Paving Emissions (Pre-Mitigation)</v>
      </c>
      <c r="B39" s="85"/>
      <c r="C39" s="85"/>
      <c r="D39" s="85"/>
      <c r="E39" s="85"/>
      <c r="F39" s="85"/>
    </row>
    <row r="40" spans="1:6" ht="12.75">
      <c r="A40" s="4" t="s">
        <v>88</v>
      </c>
      <c r="B40" s="12">
        <f>8640/43650</f>
        <v>0.1979381443298969</v>
      </c>
      <c r="C40" s="33"/>
      <c r="D40" s="31"/>
      <c r="E40" s="31"/>
      <c r="F40" s="32"/>
    </row>
    <row r="41" spans="1:6" ht="12.75">
      <c r="A41" s="4" t="s">
        <v>89</v>
      </c>
      <c r="B41" s="2">
        <v>2.62</v>
      </c>
      <c r="C41" s="33" t="s">
        <v>90</v>
      </c>
      <c r="D41" s="31"/>
      <c r="E41" s="31"/>
      <c r="F41" s="32"/>
    </row>
    <row r="42" spans="1:6" ht="12.75">
      <c r="A42" s="15" t="s">
        <v>92</v>
      </c>
      <c r="B42" s="44">
        <f>B41*B40</f>
        <v>0.5185979381443299</v>
      </c>
      <c r="C42" s="33"/>
      <c r="D42" s="31"/>
      <c r="E42" s="31"/>
      <c r="F42" s="32"/>
    </row>
    <row r="43" spans="1:6" ht="12.75">
      <c r="A43" s="50"/>
      <c r="B43" s="49"/>
      <c r="C43" s="29"/>
      <c r="D43" s="29"/>
      <c r="E43" s="29"/>
      <c r="F43" s="29"/>
    </row>
    <row r="45" spans="1:7" ht="12.75">
      <c r="A45" s="87" t="str">
        <f>"Table "&amp;A$2&amp;"-D"</f>
        <v>Table 22-D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VGS Paving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22-E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VGS Paving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</v>
      </c>
      <c r="C54" s="2">
        <v>2</v>
      </c>
      <c r="D54" s="2">
        <v>4</v>
      </c>
      <c r="E54" s="14">
        <f>B54*C54</f>
        <v>2</v>
      </c>
      <c r="F54" s="14">
        <f>B54*D54</f>
        <v>4</v>
      </c>
      <c r="G54" s="42">
        <f>(E54*VLOOKUP(A54,'Motor Vehicle Emission Factors'!$A$6:$T$42,7,FALSE)+F54*VLOOKUP(A54,'Motor Vehicle Emission Factors'!$A$6:$T$42,8,FALSE))/453.6</f>
        <v>0.3797178130511464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0.0630026455026455</v>
      </c>
      <c r="I54" s="42">
        <f>(E54*VLOOKUP(A54,'Motor Vehicle Emission Factors'!$A$6:$T$42,15,FALSE)+F54*VLOOKUP(A54,'Motor Vehicle Emission Factors'!$A$6:$T$42,16,FALSE))/453.6</f>
        <v>0.03196649029982363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4.409171075837742E-05</v>
      </c>
      <c r="L54" s="42">
        <f>J54+K54</f>
        <v>4.409171075837742E-05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8</v>
      </c>
      <c r="C58" s="2">
        <v>1</v>
      </c>
      <c r="D58" s="2">
        <v>1</v>
      </c>
      <c r="E58" s="14">
        <f>B58*C58</f>
        <v>8</v>
      </c>
      <c r="F58" s="14">
        <f>B58*D58</f>
        <v>8</v>
      </c>
      <c r="G58" s="42">
        <f>(E58*VLOOKUP(A58,'Motor Vehicle Emission Factors'!$A$6:$T$42,7,FALSE)+F58*VLOOKUP(A58,'Motor Vehicle Emission Factors'!$A$6:$T$42,8,FALSE))/453.6</f>
        <v>0.5925925925925926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0.06155202821869488</v>
      </c>
      <c r="I58" s="42">
        <f>(E58*VLOOKUP(A58,'Motor Vehicle Emission Factors'!$A$6:$T$42,15,FALSE)+F58*VLOOKUP(A58,'Motor Vehicle Emission Factors'!$A$6:$T$42,16,FALSE))/453.6</f>
        <v>0.2783068783068783</v>
      </c>
      <c r="J58" s="42">
        <f>E58*VLOOKUP(A58,'Motor Vehicle Emission Factors'!$A$6:$T$42,17,FALSE)/453.6</f>
        <v>0.010405643738977071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0.00017636684303350968</v>
      </c>
      <c r="L58" s="42">
        <f>J58+K58</f>
        <v>0.010582010582010581</v>
      </c>
    </row>
    <row r="59" spans="1:12" ht="12.75">
      <c r="A59" s="4" t="s">
        <v>105</v>
      </c>
      <c r="B59" s="2">
        <v>3</v>
      </c>
      <c r="C59" s="2">
        <v>40</v>
      </c>
      <c r="D59" s="2">
        <v>2</v>
      </c>
      <c r="E59" s="14">
        <f>B59*C59</f>
        <v>120</v>
      </c>
      <c r="F59" s="14">
        <f>B59*D59</f>
        <v>6</v>
      </c>
      <c r="G59" s="42">
        <f>(E59*VLOOKUP(A59,'Motor Vehicle Emission Factors'!$A$6:$T$42,7,FALSE)+F59*VLOOKUP(A59,'Motor Vehicle Emission Factors'!$A$6:$T$42,8,FALSE))/453.6</f>
        <v>1.4518518518518517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0.1898148148148148</v>
      </c>
      <c r="I59" s="42">
        <f>(E59*VLOOKUP(A59,'Motor Vehicle Emission Factors'!$A$6:$T$42,15,FALSE)+F59*VLOOKUP(A59,'Motor Vehicle Emission Factors'!$A$6:$T$42,16,FALSE))/453.6</f>
        <v>0.20992063492063495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0.14882767054190232</v>
      </c>
      <c r="L59" s="42">
        <f>J59+K59</f>
        <v>0.14882767054190232</v>
      </c>
    </row>
    <row r="60" spans="1:12" ht="12.75">
      <c r="A60" s="4" t="s">
        <v>129</v>
      </c>
      <c r="B60" s="2">
        <v>8</v>
      </c>
      <c r="C60" s="2">
        <v>40</v>
      </c>
      <c r="D60" s="2">
        <v>2</v>
      </c>
      <c r="E60" s="14">
        <f>B60*C60</f>
        <v>320</v>
      </c>
      <c r="F60" s="14">
        <f>B60*D60</f>
        <v>16</v>
      </c>
      <c r="G60" s="42">
        <f>(E60*VLOOKUP(A60,'Motor Vehicle Emission Factors'!$A$6:$T$42,7,FALSE)+F60*VLOOKUP(A60,'Motor Vehicle Emission Factors'!$A$6:$T$42,8,FALSE))/453.6</f>
        <v>7.040564373897707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1.0652557319223985</v>
      </c>
      <c r="I60" s="42">
        <f>(E60*VLOOKUP(A60,'Motor Vehicle Emission Factors'!$A$6:$T$42,15,FALSE)+F60*VLOOKUP(A60,'Motor Vehicle Emission Factors'!$A$6:$T$42,16,FALSE))/453.6</f>
        <v>6.525573192239858</v>
      </c>
      <c r="J60" s="42">
        <f>E60*VLOOKUP(A60,'Motor Vehicle Emission Factors'!$A$6:$T$42,17,FALSE)/453.6</f>
        <v>0.4162257495590828</v>
      </c>
      <c r="K60" s="42">
        <f>E60*(VLOOKUP(A60,'Motor Vehicle Emission Factors'!$A$6:$T$42,18,FALSE)+VLOOKUP(A60,'Motor Vehicle Emission Factors'!$A$6:$T$42,19,FALSE)+VLOOKUP(A60,'Motor Vehicle Emission Factors'!$A$6:$T$42,20,FALSE))/453.6</f>
        <v>18.67071500107704</v>
      </c>
      <c r="L60" s="42">
        <f>J60+K60</f>
        <v>19.08694075063612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9.464726631393297</v>
      </c>
      <c r="H62" s="46">
        <f t="shared" si="1"/>
        <v>1.3796252204585537</v>
      </c>
      <c r="I62" s="46">
        <f t="shared" si="1"/>
        <v>7.045767195767195</v>
      </c>
      <c r="J62" s="46">
        <f t="shared" si="1"/>
        <v>0.4266313932980599</v>
      </c>
      <c r="K62" s="46">
        <f t="shared" si="1"/>
        <v>18.81976313017273</v>
      </c>
      <c r="L62" s="46">
        <f t="shared" si="1"/>
        <v>19.24639452347079</v>
      </c>
      <c r="M62" s="71">
        <f>E54+E59</f>
        <v>122</v>
      </c>
      <c r="N62" s="71">
        <f>SUM(E54:E61)-M62</f>
        <v>328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22-F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VGS Paving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16.13168</v>
      </c>
      <c r="C69" s="43">
        <f>H23</f>
        <v>2.3768</v>
      </c>
      <c r="D69" s="43">
        <f>I23</f>
        <v>31.9</v>
      </c>
      <c r="E69" s="43">
        <f>J23</f>
        <v>2.72992</v>
      </c>
      <c r="F69" s="43">
        <f>K23</f>
        <v>1.6179199999999998</v>
      </c>
      <c r="G69" s="43"/>
      <c r="H69" s="43">
        <f aca="true" t="shared" si="2" ref="H69:H77">F69+G69</f>
        <v>1.6179199999999998</v>
      </c>
    </row>
    <row r="70" spans="1:8" ht="12.75">
      <c r="A70" s="51" t="s">
        <v>127</v>
      </c>
      <c r="B70" s="43">
        <f>SUM(G54:G58)</f>
        <v>0.9723104056437389</v>
      </c>
      <c r="C70" s="43">
        <f>SUM(H54:H58)</f>
        <v>0.12455467372134038</v>
      </c>
      <c r="D70" s="43">
        <f>SUM(I54:I58)</f>
        <v>0.3102733686067019</v>
      </c>
      <c r="E70" s="43">
        <v>0</v>
      </c>
      <c r="F70" s="43">
        <f>SUM(J54:J58)</f>
        <v>0.010405643738977071</v>
      </c>
      <c r="G70" s="43"/>
      <c r="H70" s="43">
        <f t="shared" si="2"/>
        <v>0.010405643738977071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D35-D34</f>
        <v>3.3336445981216283</v>
      </c>
      <c r="H71" s="43">
        <f t="shared" si="2"/>
        <v>3.3336445981216283</v>
      </c>
    </row>
    <row r="72" spans="1:8" ht="12.75">
      <c r="A72" s="51" t="s">
        <v>96</v>
      </c>
      <c r="B72" s="43"/>
      <c r="C72" s="43">
        <f>B42</f>
        <v>0.5185979381443299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17.10399040564374</v>
      </c>
      <c r="C74" s="44">
        <f t="shared" si="3"/>
        <v>3.01995261186567</v>
      </c>
      <c r="D74" s="44">
        <f t="shared" si="3"/>
        <v>32.2102733686067</v>
      </c>
      <c r="E74" s="44">
        <f t="shared" si="3"/>
        <v>2.72992</v>
      </c>
      <c r="F74" s="44">
        <f t="shared" si="3"/>
        <v>1.6283256437389768</v>
      </c>
      <c r="G74" s="44">
        <f t="shared" si="3"/>
        <v>3.3336445981216283</v>
      </c>
      <c r="H74" s="44">
        <f t="shared" si="2"/>
        <v>4.961970241860605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D34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8.492416225749558</v>
      </c>
      <c r="C76" s="45">
        <f>SUM(H59:H61)</f>
        <v>1.2550705467372134</v>
      </c>
      <c r="D76" s="45">
        <f>SUM(I59:I61)</f>
        <v>6.735493827160493</v>
      </c>
      <c r="E76" s="45">
        <v>0</v>
      </c>
      <c r="F76" s="45">
        <f>SUM(J59:J61)</f>
        <v>0.4162257495590828</v>
      </c>
      <c r="G76" s="45">
        <f>SUM(K59:K61)</f>
        <v>18.81954267161894</v>
      </c>
      <c r="H76" s="45">
        <f t="shared" si="2"/>
        <v>19.235768421178022</v>
      </c>
    </row>
    <row r="77" spans="1:8" ht="12.75">
      <c r="A77" s="15" t="s">
        <v>168</v>
      </c>
      <c r="B77" s="44">
        <f aca="true" t="shared" si="4" ref="B77:G77">SUM(B75:B76)</f>
        <v>8.492416225749558</v>
      </c>
      <c r="C77" s="44">
        <f t="shared" si="4"/>
        <v>1.2550705467372134</v>
      </c>
      <c r="D77" s="44">
        <f t="shared" si="4"/>
        <v>6.735493827160493</v>
      </c>
      <c r="E77" s="44">
        <f t="shared" si="4"/>
        <v>0</v>
      </c>
      <c r="F77" s="44">
        <f t="shared" si="4"/>
        <v>0.4162257495590828</v>
      </c>
      <c r="G77" s="44">
        <f t="shared" si="4"/>
        <v>18.81954267161894</v>
      </c>
      <c r="H77" s="44">
        <f t="shared" si="2"/>
        <v>19.235768421178022</v>
      </c>
    </row>
    <row r="78" spans="1:8" ht="12.75">
      <c r="A78" s="15" t="s">
        <v>24</v>
      </c>
      <c r="B78" s="44">
        <f aca="true" t="shared" si="5" ref="B78:H78">B74+B77</f>
        <v>25.596406631393297</v>
      </c>
      <c r="C78" s="44">
        <f t="shared" si="5"/>
        <v>4.275023158602884</v>
      </c>
      <c r="D78" s="44">
        <f t="shared" si="5"/>
        <v>38.94576719576719</v>
      </c>
      <c r="E78" s="44">
        <f t="shared" si="5"/>
        <v>2.72992</v>
      </c>
      <c r="F78" s="44">
        <f t="shared" si="5"/>
        <v>2.0445513932980597</v>
      </c>
      <c r="G78" s="44">
        <f t="shared" si="5"/>
        <v>22.15318726974057</v>
      </c>
      <c r="H78" s="44">
        <f t="shared" si="5"/>
        <v>24.197738663038628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22-G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VGS Paving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16.13168</v>
      </c>
      <c r="C85" s="43">
        <f>C69</f>
        <v>2.3768</v>
      </c>
      <c r="D85" s="43">
        <f>D69</f>
        <v>31.9</v>
      </c>
      <c r="E85" s="43">
        <f>E69</f>
        <v>2.72992</v>
      </c>
      <c r="F85" s="43">
        <f>F69</f>
        <v>1.6179199999999998</v>
      </c>
      <c r="G85" s="43"/>
      <c r="H85" s="43">
        <f>F85+G85</f>
        <v>1.6179199999999998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-0.11884</v>
      </c>
      <c r="D87" s="43">
        <f>-D86*D85</f>
        <v>-1.595</v>
      </c>
      <c r="E87" s="43">
        <f>-E86*E85</f>
        <v>-0.136496</v>
      </c>
      <c r="F87" s="43">
        <f>-F86*F85</f>
        <v>-0.080896</v>
      </c>
      <c r="G87" s="43"/>
      <c r="H87" s="43">
        <f>F87+G87</f>
        <v>-0.080896</v>
      </c>
    </row>
    <row r="88" spans="1:8" ht="12.75">
      <c r="A88" s="15" t="s">
        <v>125</v>
      </c>
      <c r="B88" s="44">
        <f>B85+B87</f>
        <v>16.13168</v>
      </c>
      <c r="C88" s="44">
        <f>C85+C87</f>
        <v>2.2579599999999997</v>
      </c>
      <c r="D88" s="44">
        <f>D85+D87</f>
        <v>30.305</v>
      </c>
      <c r="E88" s="44">
        <f>E85+E87</f>
        <v>2.5934239999999997</v>
      </c>
      <c r="F88" s="44">
        <f>F85+F87</f>
        <v>1.5370239999999997</v>
      </c>
      <c r="G88" s="44"/>
      <c r="H88" s="44">
        <f>F88+G88</f>
        <v>1.5370239999999997</v>
      </c>
    </row>
    <row r="89" spans="1:8" ht="12.75">
      <c r="A89" s="15" t="s">
        <v>127</v>
      </c>
      <c r="B89" s="45">
        <f>B70</f>
        <v>0.9723104056437389</v>
      </c>
      <c r="C89" s="45">
        <f>C70</f>
        <v>0.12455467372134038</v>
      </c>
      <c r="D89" s="45">
        <f>D70</f>
        <v>0.3102733686067019</v>
      </c>
      <c r="E89" s="45">
        <f>E70</f>
        <v>0</v>
      </c>
      <c r="F89" s="45">
        <f>F70</f>
        <v>0.010405643738977071</v>
      </c>
      <c r="G89" s="45"/>
      <c r="H89" s="43">
        <f>F89+G89</f>
        <v>0.010405643738977071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0.9723104056437389</v>
      </c>
      <c r="C92" s="44">
        <f>C89+C91</f>
        <v>0.12455467372134038</v>
      </c>
      <c r="D92" s="44">
        <f>D89+D91</f>
        <v>0.3102733686067019</v>
      </c>
      <c r="E92" s="44">
        <f>E89+E91</f>
        <v>0</v>
      </c>
      <c r="F92" s="44">
        <f>F89+F91</f>
        <v>0.010405643738977071</v>
      </c>
      <c r="G92" s="44"/>
      <c r="H92" s="44">
        <f>F92+G92</f>
        <v>0.010405643738977071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3.3336445981216283</v>
      </c>
      <c r="H93" s="43">
        <f>F93+G93</f>
        <v>3.3336445981216283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-0.5333831356994605</v>
      </c>
      <c r="H95" s="43">
        <f>F95+G95</f>
        <v>-0.5333831356994605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2.800261462422168</v>
      </c>
      <c r="H96" s="44">
        <f>F96+G96</f>
        <v>2.800261462422168</v>
      </c>
    </row>
    <row r="97" spans="1:8" ht="12.75">
      <c r="A97" s="15" t="s">
        <v>96</v>
      </c>
      <c r="B97" s="43"/>
      <c r="C97" s="43">
        <f>C72</f>
        <v>0.5185979381443299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0.5185979381443299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17.10399040564374</v>
      </c>
      <c r="C105" s="44">
        <f t="shared" si="6"/>
        <v>2.90111261186567</v>
      </c>
      <c r="D105" s="44">
        <f t="shared" si="6"/>
        <v>30.6152733686067</v>
      </c>
      <c r="E105" s="44">
        <f t="shared" si="6"/>
        <v>2.5934239999999997</v>
      </c>
      <c r="F105" s="44">
        <f t="shared" si="6"/>
        <v>1.5474296437389767</v>
      </c>
      <c r="G105" s="44">
        <f t="shared" si="6"/>
        <v>2.800261462422168</v>
      </c>
      <c r="H105" s="44">
        <f>H88+H96+H100+H104</f>
        <v>4.337285462422168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 aca="true" t="shared" si="7" ref="B110:H110">B76</f>
        <v>8.492416225749558</v>
      </c>
      <c r="C110" s="44">
        <f t="shared" si="7"/>
        <v>1.2550705467372134</v>
      </c>
      <c r="D110" s="44">
        <f t="shared" si="7"/>
        <v>6.735493827160493</v>
      </c>
      <c r="E110" s="44">
        <f t="shared" si="7"/>
        <v>0</v>
      </c>
      <c r="F110" s="44">
        <f t="shared" si="7"/>
        <v>0.4162257495590828</v>
      </c>
      <c r="G110" s="44">
        <f t="shared" si="7"/>
        <v>18.81954267161894</v>
      </c>
      <c r="H110" s="44">
        <f t="shared" si="7"/>
        <v>19.235768421178022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8.492416225749558</v>
      </c>
      <c r="C113" s="44">
        <f t="shared" si="9"/>
        <v>1.2550705467372134</v>
      </c>
      <c r="D113" s="44">
        <f t="shared" si="9"/>
        <v>6.735493827160493</v>
      </c>
      <c r="E113" s="44">
        <f t="shared" si="9"/>
        <v>0</v>
      </c>
      <c r="F113" s="44">
        <f t="shared" si="9"/>
        <v>0.4162257495590828</v>
      </c>
      <c r="G113" s="44">
        <f t="shared" si="9"/>
        <v>18.81954267161894</v>
      </c>
      <c r="H113" s="44">
        <f>F113+G113</f>
        <v>19.235768421178022</v>
      </c>
    </row>
    <row r="114" spans="1:8" ht="12.75">
      <c r="A114" s="15" t="s">
        <v>168</v>
      </c>
      <c r="B114" s="44">
        <f aca="true" t="shared" si="10" ref="B114:H114">B113+B109</f>
        <v>8.492416225749558</v>
      </c>
      <c r="C114" s="44">
        <f t="shared" si="10"/>
        <v>1.2550705467372134</v>
      </c>
      <c r="D114" s="44">
        <f t="shared" si="10"/>
        <v>6.735493827160493</v>
      </c>
      <c r="E114" s="44">
        <f t="shared" si="10"/>
        <v>0</v>
      </c>
      <c r="F114" s="44">
        <f t="shared" si="10"/>
        <v>0.4162257495590828</v>
      </c>
      <c r="G114" s="44">
        <f t="shared" si="10"/>
        <v>18.81954267161894</v>
      </c>
      <c r="H114" s="44">
        <f t="shared" si="10"/>
        <v>19.235768421178022</v>
      </c>
    </row>
    <row r="115" spans="1:8" ht="12.75">
      <c r="A115" s="15" t="s">
        <v>24</v>
      </c>
      <c r="B115" s="44">
        <f aca="true" t="shared" si="11" ref="B115:H115">B105+B114</f>
        <v>25.596406631393297</v>
      </c>
      <c r="C115" s="44">
        <f t="shared" si="11"/>
        <v>4.156183158602883</v>
      </c>
      <c r="D115" s="44">
        <f t="shared" si="11"/>
        <v>37.35076719576719</v>
      </c>
      <c r="E115" s="44">
        <f t="shared" si="11"/>
        <v>2.5934239999999997</v>
      </c>
      <c r="F115" s="44">
        <f t="shared" si="11"/>
        <v>1.9636553932980596</v>
      </c>
      <c r="G115" s="44">
        <f t="shared" si="11"/>
        <v>21.619804134041107</v>
      </c>
      <c r="H115" s="44">
        <f t="shared" si="11"/>
        <v>23.57305388360019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39:F39"/>
    <mergeCell ref="A25:D25"/>
    <mergeCell ref="A26:D26"/>
    <mergeCell ref="A3:L3"/>
    <mergeCell ref="A4:L4"/>
    <mergeCell ref="A38:F38"/>
    <mergeCell ref="A45:G45"/>
    <mergeCell ref="A46:G46"/>
    <mergeCell ref="A82:H82"/>
    <mergeCell ref="A83:H83"/>
    <mergeCell ref="A51:L51"/>
    <mergeCell ref="A52:L52"/>
    <mergeCell ref="A66:H66"/>
    <mergeCell ref="A67:H67"/>
  </mergeCells>
  <printOptions horizontalCentered="1"/>
  <pageMargins left="0.75" right="0.75" top="1" bottom="1" header="0.5" footer="0.5"/>
  <pageSetup fitToHeight="21" horizontalDpi="300" verticalDpi="300" orientation="landscape" scale="76" r:id="rId1"/>
  <headerFooter alignWithMargins="0">
    <oddFooter>&amp;CPage &amp;P of &amp;N&amp;R&amp;D</oddFooter>
  </headerFooter>
  <rowBreaks count="2" manualBreakCount="2">
    <brk id="37" max="255" man="1"/>
    <brk id="8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9.57421875" style="0" bestFit="1" customWidth="1"/>
    <col min="3" max="3" width="10.7109375" style="0" bestFit="1" customWidth="1"/>
    <col min="4" max="4" width="10.8515625" style="0" bestFit="1" customWidth="1"/>
    <col min="5" max="9" width="8.140625" style="0" customWidth="1"/>
    <col min="10" max="14" width="7.421875" style="0" customWidth="1"/>
  </cols>
  <sheetData>
    <row r="1" spans="1:16" ht="12.75">
      <c r="A1" s="87" t="s">
        <v>249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87" t="s">
        <v>136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3:16" ht="15">
      <c r="C3" s="16"/>
      <c r="D3" s="16"/>
      <c r="E3" s="25" t="s">
        <v>9</v>
      </c>
      <c r="F3" s="27" t="s">
        <v>137</v>
      </c>
      <c r="G3" s="21" t="s">
        <v>368</v>
      </c>
      <c r="H3" s="27" t="s">
        <v>369</v>
      </c>
      <c r="I3" s="21" t="s">
        <v>370</v>
      </c>
      <c r="J3" s="27" t="s">
        <v>9</v>
      </c>
      <c r="K3" s="21" t="s">
        <v>137</v>
      </c>
      <c r="L3" s="21" t="s">
        <v>368</v>
      </c>
      <c r="M3" s="27" t="s">
        <v>369</v>
      </c>
      <c r="N3" s="21" t="s">
        <v>370</v>
      </c>
      <c r="O3" s="27" t="s">
        <v>254</v>
      </c>
      <c r="P3" s="27" t="s">
        <v>254</v>
      </c>
    </row>
    <row r="4" spans="1:16" ht="12.75">
      <c r="A4" s="19" t="s">
        <v>26</v>
      </c>
      <c r="B4" s="2" t="s">
        <v>28</v>
      </c>
      <c r="C4" s="20" t="s">
        <v>29</v>
      </c>
      <c r="D4" s="2" t="s">
        <v>30</v>
      </c>
      <c r="E4" s="26" t="s">
        <v>119</v>
      </c>
      <c r="F4" s="26" t="s">
        <v>119</v>
      </c>
      <c r="G4" s="26" t="s">
        <v>119</v>
      </c>
      <c r="H4" s="26" t="s">
        <v>119</v>
      </c>
      <c r="I4" s="26" t="s">
        <v>119</v>
      </c>
      <c r="J4" s="26" t="s">
        <v>32</v>
      </c>
      <c r="K4" s="26" t="s">
        <v>32</v>
      </c>
      <c r="L4" s="26" t="s">
        <v>32</v>
      </c>
      <c r="M4" s="26" t="s">
        <v>32</v>
      </c>
      <c r="N4" s="58" t="s">
        <v>32</v>
      </c>
      <c r="O4" s="58" t="s">
        <v>255</v>
      </c>
      <c r="P4" s="58" t="s">
        <v>256</v>
      </c>
    </row>
    <row r="5" spans="1:16" ht="12.75">
      <c r="A5" s="4" t="s">
        <v>106</v>
      </c>
      <c r="B5" s="2" t="s">
        <v>31</v>
      </c>
      <c r="C5" s="2">
        <v>305</v>
      </c>
      <c r="D5" s="2">
        <v>59</v>
      </c>
      <c r="E5" s="11">
        <v>0.011</v>
      </c>
      <c r="F5" s="11">
        <v>0.002</v>
      </c>
      <c r="G5" s="11">
        <v>0.023</v>
      </c>
      <c r="H5" s="11">
        <v>0.002</v>
      </c>
      <c r="I5" s="11">
        <v>0.001</v>
      </c>
      <c r="J5" s="11">
        <f>$C5*$D5*E5/100</f>
        <v>1.97945</v>
      </c>
      <c r="K5" s="11">
        <f>$C5*$D5*F5/100</f>
        <v>0.3599</v>
      </c>
      <c r="L5" s="11">
        <f>$C5*$D5*G5/100</f>
        <v>4.13885</v>
      </c>
      <c r="M5" s="11">
        <f>$C5*$D5*H5/100</f>
        <v>0.3599</v>
      </c>
      <c r="N5" s="11">
        <f>$C5*$D5*I5/100</f>
        <v>0.17995</v>
      </c>
      <c r="O5" s="11">
        <v>0.05</v>
      </c>
      <c r="P5" s="12">
        <f>O5*C5*D5/100</f>
        <v>8.9975</v>
      </c>
    </row>
    <row r="6" spans="1:16" ht="12.75">
      <c r="A6" s="4" t="s">
        <v>47</v>
      </c>
      <c r="B6" s="2" t="s">
        <v>31</v>
      </c>
      <c r="C6" s="2">
        <v>165</v>
      </c>
      <c r="D6" s="2">
        <v>59</v>
      </c>
      <c r="E6" s="11">
        <v>0.011</v>
      </c>
      <c r="F6" s="11">
        <v>0.002</v>
      </c>
      <c r="G6" s="11">
        <v>0.023</v>
      </c>
      <c r="H6" s="11">
        <v>0.002</v>
      </c>
      <c r="I6" s="11">
        <v>0.001</v>
      </c>
      <c r="J6" s="11">
        <f aca="true" t="shared" si="0" ref="J6:J12">$C6*$D6*E6/100</f>
        <v>1.0708499999999999</v>
      </c>
      <c r="K6" s="11">
        <f aca="true" t="shared" si="1" ref="K6:K12">$C6*$D6*F6/100</f>
        <v>0.19469999999999998</v>
      </c>
      <c r="L6" s="11">
        <f aca="true" t="shared" si="2" ref="L6:L12">$C6*$D6*G6/100</f>
        <v>2.23905</v>
      </c>
      <c r="M6" s="11">
        <f aca="true" t="shared" si="3" ref="M6:M12">$C6*$D6*H6/100</f>
        <v>0.19469999999999998</v>
      </c>
      <c r="N6" s="11">
        <f aca="true" t="shared" si="4" ref="N6:N12">$C6*$D6*I6/100</f>
        <v>0.09734999999999999</v>
      </c>
      <c r="O6" s="11">
        <v>0.05</v>
      </c>
      <c r="P6" s="12">
        <f aca="true" t="shared" si="5" ref="P6:P22">O6*C6*D6/100</f>
        <v>4.8675</v>
      </c>
    </row>
    <row r="7" spans="1:16" ht="12.75">
      <c r="A7" s="4" t="s">
        <v>43</v>
      </c>
      <c r="B7" s="2" t="s">
        <v>31</v>
      </c>
      <c r="C7" s="2">
        <v>156.6</v>
      </c>
      <c r="D7" s="2">
        <v>57.5</v>
      </c>
      <c r="E7" s="11">
        <v>0.008</v>
      </c>
      <c r="F7" s="11">
        <v>0.003</v>
      </c>
      <c r="G7" s="11">
        <v>0.021</v>
      </c>
      <c r="H7" s="11">
        <v>0.002</v>
      </c>
      <c r="I7" s="11">
        <v>0.001</v>
      </c>
      <c r="J7" s="11">
        <f t="shared" si="0"/>
        <v>0.72036</v>
      </c>
      <c r="K7" s="11">
        <f t="shared" si="1"/>
        <v>0.270135</v>
      </c>
      <c r="L7" s="11">
        <f t="shared" si="2"/>
        <v>1.890945</v>
      </c>
      <c r="M7" s="11">
        <f t="shared" si="3"/>
        <v>0.18009</v>
      </c>
      <c r="N7" s="11">
        <f t="shared" si="4"/>
        <v>0.090045</v>
      </c>
      <c r="O7" s="11">
        <v>0.05</v>
      </c>
      <c r="P7" s="12">
        <f t="shared" si="5"/>
        <v>4.50225</v>
      </c>
    </row>
    <row r="8" spans="1:16" ht="12.75">
      <c r="A8" s="4" t="s">
        <v>33</v>
      </c>
      <c r="B8" s="2" t="s">
        <v>31</v>
      </c>
      <c r="C8" s="2">
        <v>147</v>
      </c>
      <c r="D8" s="2">
        <v>46.5</v>
      </c>
      <c r="E8" s="11">
        <v>0.015</v>
      </c>
      <c r="F8" s="11">
        <v>0.003</v>
      </c>
      <c r="G8" s="11">
        <v>0.022</v>
      </c>
      <c r="H8" s="11">
        <v>0.002</v>
      </c>
      <c r="I8" s="11">
        <v>0.001</v>
      </c>
      <c r="J8" s="11">
        <f t="shared" si="0"/>
        <v>1.025325</v>
      </c>
      <c r="K8" s="11">
        <f t="shared" si="1"/>
        <v>0.205065</v>
      </c>
      <c r="L8" s="11">
        <f t="shared" si="2"/>
        <v>1.50381</v>
      </c>
      <c r="M8" s="11">
        <f t="shared" si="3"/>
        <v>0.13671</v>
      </c>
      <c r="N8" s="11">
        <f t="shared" si="4"/>
        <v>0.068355</v>
      </c>
      <c r="O8" s="11">
        <v>0.05</v>
      </c>
      <c r="P8" s="12">
        <f t="shared" si="5"/>
        <v>3.4177500000000003</v>
      </c>
    </row>
    <row r="9" spans="1:16" ht="12.75">
      <c r="A9" s="4" t="s">
        <v>48</v>
      </c>
      <c r="B9" s="2" t="s">
        <v>31</v>
      </c>
      <c r="C9" s="2">
        <v>55</v>
      </c>
      <c r="D9" s="2">
        <v>46.5</v>
      </c>
      <c r="E9" s="11">
        <v>0.02</v>
      </c>
      <c r="F9" s="11">
        <v>0.004</v>
      </c>
      <c r="G9" s="11">
        <v>0.021</v>
      </c>
      <c r="H9" s="11">
        <v>0.002</v>
      </c>
      <c r="I9" s="11">
        <v>0.0015</v>
      </c>
      <c r="J9" s="11">
        <f t="shared" si="0"/>
        <v>0.5115</v>
      </c>
      <c r="K9" s="11">
        <f t="shared" si="1"/>
        <v>0.1023</v>
      </c>
      <c r="L9" s="11">
        <f t="shared" si="2"/>
        <v>0.5370750000000001</v>
      </c>
      <c r="M9" s="11">
        <f t="shared" si="3"/>
        <v>0.05115</v>
      </c>
      <c r="N9" s="11">
        <f t="shared" si="4"/>
        <v>0.0383625</v>
      </c>
      <c r="O9" s="11">
        <v>0.05</v>
      </c>
      <c r="P9" s="12">
        <f t="shared" si="5"/>
        <v>1.27875</v>
      </c>
    </row>
    <row r="10" spans="1:16" ht="12.75">
      <c r="A10" s="4" t="s">
        <v>49</v>
      </c>
      <c r="B10" s="2" t="s">
        <v>31</v>
      </c>
      <c r="C10" s="2">
        <v>161</v>
      </c>
      <c r="D10" s="2">
        <v>57.5</v>
      </c>
      <c r="E10" s="11">
        <v>0.007</v>
      </c>
      <c r="F10" s="11">
        <v>0.002</v>
      </c>
      <c r="G10" s="11">
        <v>0.02</v>
      </c>
      <c r="H10" s="11">
        <v>0.002</v>
      </c>
      <c r="I10" s="11">
        <v>0.001</v>
      </c>
      <c r="J10" s="11">
        <f t="shared" si="0"/>
        <v>0.648025</v>
      </c>
      <c r="K10" s="11">
        <f t="shared" si="1"/>
        <v>0.18515</v>
      </c>
      <c r="L10" s="11">
        <f t="shared" si="2"/>
        <v>1.8515000000000001</v>
      </c>
      <c r="M10" s="11">
        <f t="shared" si="3"/>
        <v>0.18515</v>
      </c>
      <c r="N10" s="11">
        <f t="shared" si="4"/>
        <v>0.092575</v>
      </c>
      <c r="O10" s="11">
        <v>0.05</v>
      </c>
      <c r="P10" s="12">
        <f t="shared" si="5"/>
        <v>4.62875</v>
      </c>
    </row>
    <row r="11" spans="1:16" ht="12.75">
      <c r="A11" s="4" t="s">
        <v>50</v>
      </c>
      <c r="B11" s="2" t="s">
        <v>31</v>
      </c>
      <c r="C11" s="2">
        <v>151.7</v>
      </c>
      <c r="D11" s="2">
        <v>58</v>
      </c>
      <c r="E11" s="11">
        <v>0.011</v>
      </c>
      <c r="F11" s="11">
        <v>0.001</v>
      </c>
      <c r="G11" s="11">
        <v>0.024</v>
      </c>
      <c r="H11" s="11">
        <v>0.002</v>
      </c>
      <c r="I11" s="11">
        <v>0.0015</v>
      </c>
      <c r="J11" s="11">
        <f t="shared" si="0"/>
        <v>0.9678459999999999</v>
      </c>
      <c r="K11" s="11">
        <f t="shared" si="1"/>
        <v>0.08798599999999998</v>
      </c>
      <c r="L11" s="11">
        <f t="shared" si="2"/>
        <v>2.1116639999999998</v>
      </c>
      <c r="M11" s="11">
        <f t="shared" si="3"/>
        <v>0.17597199999999996</v>
      </c>
      <c r="N11" s="11">
        <f t="shared" si="4"/>
        <v>0.13197899999999999</v>
      </c>
      <c r="O11" s="11">
        <v>0.05</v>
      </c>
      <c r="P11" s="12">
        <f t="shared" si="5"/>
        <v>4.3993</v>
      </c>
    </row>
    <row r="12" spans="1:16" ht="12.75">
      <c r="A12" s="4" t="s">
        <v>51</v>
      </c>
      <c r="B12" s="2" t="s">
        <v>31</v>
      </c>
      <c r="C12" s="2">
        <v>91</v>
      </c>
      <c r="D12" s="2">
        <v>59</v>
      </c>
      <c r="E12" s="11">
        <v>0.007</v>
      </c>
      <c r="F12" s="11">
        <v>0.001</v>
      </c>
      <c r="G12" s="11">
        <v>0.023</v>
      </c>
      <c r="H12" s="11">
        <v>0.002</v>
      </c>
      <c r="I12" s="11">
        <v>0.001</v>
      </c>
      <c r="J12" s="11">
        <f t="shared" si="0"/>
        <v>0.37583</v>
      </c>
      <c r="K12" s="11">
        <f t="shared" si="1"/>
        <v>0.053689999999999995</v>
      </c>
      <c r="L12" s="11">
        <f t="shared" si="2"/>
        <v>1.23487</v>
      </c>
      <c r="M12" s="11">
        <f t="shared" si="3"/>
        <v>0.10737999999999999</v>
      </c>
      <c r="N12" s="11">
        <f t="shared" si="4"/>
        <v>0.053689999999999995</v>
      </c>
      <c r="O12" s="11">
        <v>0.05</v>
      </c>
      <c r="P12" s="12">
        <f t="shared" si="5"/>
        <v>2.6845</v>
      </c>
    </row>
    <row r="13" spans="1:16" ht="12.75">
      <c r="A13" s="4" t="s">
        <v>169</v>
      </c>
      <c r="B13" s="2" t="s">
        <v>31</v>
      </c>
      <c r="C13" s="2">
        <v>83</v>
      </c>
      <c r="D13" s="2">
        <v>47.5</v>
      </c>
      <c r="E13" s="11">
        <v>0.013</v>
      </c>
      <c r="F13" s="11">
        <v>0.003</v>
      </c>
      <c r="G13" s="11">
        <v>0.031</v>
      </c>
      <c r="H13" s="11">
        <v>0.002</v>
      </c>
      <c r="I13" s="11">
        <v>0.0015</v>
      </c>
      <c r="J13" s="11">
        <f aca="true" t="shared" si="6" ref="J13:N15">$C13*$D13*E13/100</f>
        <v>0.512525</v>
      </c>
      <c r="K13" s="11">
        <f t="shared" si="6"/>
        <v>0.118275</v>
      </c>
      <c r="L13" s="11">
        <f t="shared" si="6"/>
        <v>1.222175</v>
      </c>
      <c r="M13" s="11">
        <f t="shared" si="6"/>
        <v>0.07885</v>
      </c>
      <c r="N13" s="11">
        <f t="shared" si="6"/>
        <v>0.0591375</v>
      </c>
      <c r="O13" s="11">
        <v>0.05</v>
      </c>
      <c r="P13" s="12">
        <f t="shared" si="5"/>
        <v>1.9712500000000004</v>
      </c>
    </row>
    <row r="14" spans="1:16" ht="12.75">
      <c r="A14" s="4" t="s">
        <v>283</v>
      </c>
      <c r="B14" s="2" t="s">
        <v>31</v>
      </c>
      <c r="C14" s="2">
        <v>79</v>
      </c>
      <c r="D14" s="2">
        <v>46.5</v>
      </c>
      <c r="E14" s="11">
        <v>0.015</v>
      </c>
      <c r="F14" s="11">
        <v>0.003</v>
      </c>
      <c r="G14" s="11">
        <v>0.022</v>
      </c>
      <c r="H14" s="11">
        <v>0.002</v>
      </c>
      <c r="I14" s="11">
        <v>0.001</v>
      </c>
      <c r="J14" s="11">
        <f t="shared" si="6"/>
        <v>0.551025</v>
      </c>
      <c r="K14" s="11">
        <f t="shared" si="6"/>
        <v>0.110205</v>
      </c>
      <c r="L14" s="11">
        <f t="shared" si="6"/>
        <v>0.8081699999999999</v>
      </c>
      <c r="M14" s="11">
        <f t="shared" si="6"/>
        <v>0.07347000000000001</v>
      </c>
      <c r="N14" s="11">
        <f t="shared" si="6"/>
        <v>0.036735000000000004</v>
      </c>
      <c r="O14" s="11">
        <v>0.05</v>
      </c>
      <c r="P14" s="12">
        <f>O14*C14*D14/100</f>
        <v>1.83675</v>
      </c>
    </row>
    <row r="15" spans="1:16" ht="12.75">
      <c r="A15" s="4" t="s">
        <v>284</v>
      </c>
      <c r="B15" s="2" t="s">
        <v>290</v>
      </c>
      <c r="C15" s="2">
        <v>2.5</v>
      </c>
      <c r="D15" s="2">
        <v>62</v>
      </c>
      <c r="E15" s="11">
        <v>0.57</v>
      </c>
      <c r="F15" s="11">
        <v>0.025</v>
      </c>
      <c r="G15" s="11">
        <v>0.011</v>
      </c>
      <c r="H15" s="11">
        <v>0.0005</v>
      </c>
      <c r="I15" s="11">
        <v>5E-05</v>
      </c>
      <c r="J15" s="11">
        <f t="shared" si="6"/>
        <v>0.8835</v>
      </c>
      <c r="K15" s="11">
        <f t="shared" si="6"/>
        <v>0.03875</v>
      </c>
      <c r="L15" s="11">
        <f t="shared" si="6"/>
        <v>0.01705</v>
      </c>
      <c r="M15" s="11">
        <f t="shared" si="6"/>
        <v>0.000775</v>
      </c>
      <c r="N15" s="11">
        <f t="shared" si="6"/>
        <v>7.75E-05</v>
      </c>
      <c r="O15" s="11">
        <v>0.12</v>
      </c>
      <c r="P15" s="12">
        <f>O15*C15*D15/100</f>
        <v>0.18599999999999997</v>
      </c>
    </row>
    <row r="16" spans="1:16" ht="12.75">
      <c r="A16" s="4" t="s">
        <v>289</v>
      </c>
      <c r="B16" s="2" t="s">
        <v>31</v>
      </c>
      <c r="C16" s="2">
        <v>33</v>
      </c>
      <c r="D16" s="2">
        <v>62</v>
      </c>
      <c r="E16" s="11">
        <v>0.02</v>
      </c>
      <c r="F16" s="11">
        <v>0.003</v>
      </c>
      <c r="G16" s="11">
        <v>0.024</v>
      </c>
      <c r="H16" s="11">
        <v>0.002</v>
      </c>
      <c r="I16" s="11">
        <v>0.0015</v>
      </c>
      <c r="J16" s="11">
        <f aca="true" t="shared" si="7" ref="J16:J21">$C16*$D16*E16/100</f>
        <v>0.4092</v>
      </c>
      <c r="K16" s="11">
        <f aca="true" t="shared" si="8" ref="K16:K21">$C16*$D16*F16/100</f>
        <v>0.06138</v>
      </c>
      <c r="L16" s="11">
        <f aca="true" t="shared" si="9" ref="L16:L21">$C16*$D16*G16/100</f>
        <v>0.49104</v>
      </c>
      <c r="M16" s="11">
        <f aca="true" t="shared" si="10" ref="M16:M21">$C16*$D16*H16/100</f>
        <v>0.040920000000000005</v>
      </c>
      <c r="N16" s="11">
        <f aca="true" t="shared" si="11" ref="N16:N21">$C16*$D16*I16/100</f>
        <v>0.03069</v>
      </c>
      <c r="O16" s="11">
        <v>0.05</v>
      </c>
      <c r="P16" s="12">
        <f aca="true" t="shared" si="12" ref="P16:P21">O16*C16*D16/100</f>
        <v>1.0230000000000001</v>
      </c>
    </row>
    <row r="17" spans="1:16" ht="12.75">
      <c r="A17" s="4" t="s">
        <v>285</v>
      </c>
      <c r="B17" s="2" t="s">
        <v>31</v>
      </c>
      <c r="C17" s="2">
        <v>13.6</v>
      </c>
      <c r="D17" s="2">
        <v>62</v>
      </c>
      <c r="E17" s="11">
        <v>0.02</v>
      </c>
      <c r="F17" s="11">
        <v>0.003</v>
      </c>
      <c r="G17" s="11">
        <v>0.024</v>
      </c>
      <c r="H17" s="11">
        <v>0.002</v>
      </c>
      <c r="I17" s="11">
        <v>0.0015</v>
      </c>
      <c r="J17" s="11">
        <f t="shared" si="7"/>
        <v>0.16863999999999998</v>
      </c>
      <c r="K17" s="11">
        <f t="shared" si="8"/>
        <v>0.025296</v>
      </c>
      <c r="L17" s="11">
        <f t="shared" si="9"/>
        <v>0.202368</v>
      </c>
      <c r="M17" s="11">
        <f t="shared" si="10"/>
        <v>0.016864</v>
      </c>
      <c r="N17" s="11">
        <f t="shared" si="11"/>
        <v>0.012648</v>
      </c>
      <c r="O17" s="11">
        <v>0.05</v>
      </c>
      <c r="P17" s="12">
        <f t="shared" si="12"/>
        <v>0.42160000000000003</v>
      </c>
    </row>
    <row r="18" spans="1:16" ht="12.75">
      <c r="A18" s="4" t="s">
        <v>364</v>
      </c>
      <c r="B18" s="2" t="s">
        <v>31</v>
      </c>
      <c r="C18" s="2">
        <v>37</v>
      </c>
      <c r="D18" s="2">
        <v>48</v>
      </c>
      <c r="E18" s="11">
        <v>0.011</v>
      </c>
      <c r="F18" s="11">
        <v>0.002</v>
      </c>
      <c r="G18" s="11">
        <v>0.018</v>
      </c>
      <c r="H18" s="11">
        <v>0.002</v>
      </c>
      <c r="I18" s="11">
        <v>0.001</v>
      </c>
      <c r="J18" s="11">
        <f t="shared" si="7"/>
        <v>0.19535999999999998</v>
      </c>
      <c r="K18" s="11">
        <f t="shared" si="8"/>
        <v>0.03552</v>
      </c>
      <c r="L18" s="11">
        <f t="shared" si="9"/>
        <v>0.31967999999999996</v>
      </c>
      <c r="M18" s="11">
        <f t="shared" si="10"/>
        <v>0.03552</v>
      </c>
      <c r="N18" s="11">
        <f t="shared" si="11"/>
        <v>0.01776</v>
      </c>
      <c r="O18" s="11">
        <v>0.05</v>
      </c>
      <c r="P18" s="12">
        <f t="shared" si="12"/>
        <v>0.8880000000000001</v>
      </c>
    </row>
    <row r="19" spans="1:16" ht="12.75">
      <c r="A19" s="4" t="s">
        <v>286</v>
      </c>
      <c r="B19" s="2" t="s">
        <v>31</v>
      </c>
      <c r="C19" s="2">
        <v>35</v>
      </c>
      <c r="D19" s="2">
        <v>45</v>
      </c>
      <c r="E19" s="11">
        <v>0.011</v>
      </c>
      <c r="F19" s="11">
        <v>0.002</v>
      </c>
      <c r="G19" s="11">
        <v>0.018</v>
      </c>
      <c r="H19" s="11">
        <v>0.002</v>
      </c>
      <c r="I19" s="11">
        <v>0.001</v>
      </c>
      <c r="J19" s="11">
        <f t="shared" si="7"/>
        <v>0.17325</v>
      </c>
      <c r="K19" s="11">
        <f t="shared" si="8"/>
        <v>0.0315</v>
      </c>
      <c r="L19" s="11">
        <f t="shared" si="9"/>
        <v>0.2835</v>
      </c>
      <c r="M19" s="11">
        <f t="shared" si="10"/>
        <v>0.0315</v>
      </c>
      <c r="N19" s="11">
        <f t="shared" si="11"/>
        <v>0.01575</v>
      </c>
      <c r="O19" s="11">
        <v>0.05</v>
      </c>
      <c r="P19" s="12">
        <f t="shared" si="12"/>
        <v>0.7875</v>
      </c>
    </row>
    <row r="20" spans="1:16" ht="12.75">
      <c r="A20" s="4" t="s">
        <v>287</v>
      </c>
      <c r="B20" s="2" t="s">
        <v>31</v>
      </c>
      <c r="C20" s="2">
        <v>60</v>
      </c>
      <c r="D20" s="2">
        <v>69.5</v>
      </c>
      <c r="E20" s="11">
        <v>0.02</v>
      </c>
      <c r="F20" s="11">
        <v>0.003</v>
      </c>
      <c r="G20" s="11">
        <v>0.022</v>
      </c>
      <c r="H20" s="11">
        <v>0.002</v>
      </c>
      <c r="I20" s="11">
        <v>0.0015</v>
      </c>
      <c r="J20" s="11">
        <f t="shared" si="7"/>
        <v>0.8340000000000001</v>
      </c>
      <c r="K20" s="11">
        <f t="shared" si="8"/>
        <v>0.1251</v>
      </c>
      <c r="L20" s="11">
        <f t="shared" si="9"/>
        <v>0.9174</v>
      </c>
      <c r="M20" s="11">
        <f t="shared" si="10"/>
        <v>0.0834</v>
      </c>
      <c r="N20" s="11">
        <f t="shared" si="11"/>
        <v>0.06255</v>
      </c>
      <c r="O20" s="11">
        <v>0.05</v>
      </c>
      <c r="P20" s="12">
        <f t="shared" si="12"/>
        <v>2.085</v>
      </c>
    </row>
    <row r="21" spans="1:16" ht="12.75">
      <c r="A21" s="4" t="s">
        <v>288</v>
      </c>
      <c r="B21" s="2" t="s">
        <v>31</v>
      </c>
      <c r="C21" s="2">
        <v>8</v>
      </c>
      <c r="D21" s="2">
        <v>55</v>
      </c>
      <c r="E21" s="11">
        <v>0.007</v>
      </c>
      <c r="F21" s="11">
        <v>0.002</v>
      </c>
      <c r="G21" s="11">
        <v>0.02</v>
      </c>
      <c r="H21" s="11">
        <v>0.002</v>
      </c>
      <c r="I21" s="11">
        <v>0.001</v>
      </c>
      <c r="J21" s="11">
        <f t="shared" si="7"/>
        <v>0.0308</v>
      </c>
      <c r="K21" s="11">
        <f t="shared" si="8"/>
        <v>0.0088</v>
      </c>
      <c r="L21" s="11">
        <f t="shared" si="9"/>
        <v>0.08800000000000001</v>
      </c>
      <c r="M21" s="11">
        <f t="shared" si="10"/>
        <v>0.0088</v>
      </c>
      <c r="N21" s="11">
        <f t="shared" si="11"/>
        <v>0.0044</v>
      </c>
      <c r="O21" s="11">
        <v>0.05</v>
      </c>
      <c r="P21" s="12">
        <f t="shared" si="12"/>
        <v>0.22</v>
      </c>
    </row>
    <row r="22" spans="1:16" ht="12.75">
      <c r="A22" s="4" t="s">
        <v>27</v>
      </c>
      <c r="B22" s="2" t="s">
        <v>31</v>
      </c>
      <c r="C22" s="2">
        <v>194</v>
      </c>
      <c r="D22" s="2">
        <v>43</v>
      </c>
      <c r="E22" s="11">
        <v>0.009</v>
      </c>
      <c r="F22" s="11">
        <v>0.003</v>
      </c>
      <c r="G22" s="11">
        <v>0.023</v>
      </c>
      <c r="H22" s="11">
        <v>0.002</v>
      </c>
      <c r="I22" s="11">
        <v>0.0015</v>
      </c>
      <c r="J22" s="11">
        <f>$C22*$D22*E22/100</f>
        <v>0.7507799999999999</v>
      </c>
      <c r="K22" s="11">
        <f>$C22*$D22*F22/100</f>
        <v>0.25026</v>
      </c>
      <c r="L22" s="11">
        <f>$C22*$D22*G22/100</f>
        <v>1.9186599999999998</v>
      </c>
      <c r="M22" s="11">
        <f>$C22*$D22*H22/100</f>
        <v>0.16684000000000002</v>
      </c>
      <c r="N22" s="11">
        <f>$C22*$D22*I22/100</f>
        <v>0.12513</v>
      </c>
      <c r="O22" s="11">
        <v>0.05</v>
      </c>
      <c r="P22" s="12">
        <f t="shared" si="5"/>
        <v>4.171</v>
      </c>
    </row>
    <row r="23" spans="1:14" ht="12.75">
      <c r="A23" s="39" t="s">
        <v>291</v>
      </c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62" t="s">
        <v>292</v>
      </c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ht="12.75">
      <c r="A25" s="39" t="s">
        <v>293</v>
      </c>
    </row>
    <row r="26" ht="12.75">
      <c r="A26" s="39" t="s">
        <v>294</v>
      </c>
    </row>
    <row r="27" ht="12.75">
      <c r="A27" s="39" t="s">
        <v>295</v>
      </c>
    </row>
  </sheetData>
  <sheetProtection/>
  <mergeCells count="2">
    <mergeCell ref="A2:P2"/>
    <mergeCell ref="A1:P1"/>
  </mergeCells>
  <printOptions horizontalCentered="1"/>
  <pageMargins left="0.75" right="0.75" top="1" bottom="1" header="0.5" footer="0.5"/>
  <pageSetup fitToHeight="1" fitToWidth="1" horizontalDpi="300" verticalDpi="300" orientation="landscape" scale="79" r:id="rId1"/>
  <headerFooter alignWithMargins="0">
    <oddFooter>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/>
  <dimension ref="A1:K13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1.28125" style="0" bestFit="1" customWidth="1"/>
    <col min="3" max="3" width="12.421875" style="0" bestFit="1" customWidth="1"/>
  </cols>
  <sheetData>
    <row r="1" spans="1:10" ht="12.75">
      <c r="A1" s="87" t="s">
        <v>250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7" t="s">
        <v>135</v>
      </c>
      <c r="B2" s="87"/>
      <c r="C2" s="87"/>
      <c r="D2" s="87"/>
      <c r="E2" s="87"/>
      <c r="F2" s="87"/>
      <c r="G2" s="87"/>
      <c r="H2" s="87"/>
      <c r="I2" s="87"/>
      <c r="J2" s="87"/>
    </row>
    <row r="4" ht="12.75">
      <c r="A4" s="17" t="s">
        <v>44</v>
      </c>
    </row>
    <row r="6" ht="15">
      <c r="A6" t="s">
        <v>53</v>
      </c>
    </row>
    <row r="7" ht="12.75">
      <c r="A7" t="s">
        <v>54</v>
      </c>
    </row>
    <row r="9" spans="1:10" ht="12.75">
      <c r="A9" s="18" t="s">
        <v>55</v>
      </c>
      <c r="B9" s="18" t="s">
        <v>56</v>
      </c>
      <c r="C9" s="30" t="s">
        <v>57</v>
      </c>
      <c r="D9" s="31"/>
      <c r="E9" s="31"/>
      <c r="F9" s="31"/>
      <c r="G9" s="31"/>
      <c r="H9" s="31"/>
      <c r="I9" s="31"/>
      <c r="J9" s="32"/>
    </row>
    <row r="10" spans="1:10" ht="12.75">
      <c r="A10" s="2" t="s">
        <v>58</v>
      </c>
      <c r="B10" s="2">
        <v>7.5</v>
      </c>
      <c r="C10" s="33" t="s">
        <v>102</v>
      </c>
      <c r="D10" s="31"/>
      <c r="E10" s="31"/>
      <c r="F10" s="31"/>
      <c r="G10" s="31"/>
      <c r="H10" s="31"/>
      <c r="I10" s="31"/>
      <c r="J10" s="32"/>
    </row>
    <row r="11" spans="1:10" ht="25.5" customHeight="1">
      <c r="A11" s="2" t="s">
        <v>59</v>
      </c>
      <c r="B11" s="2">
        <v>5.9</v>
      </c>
      <c r="C11" s="88" t="s">
        <v>120</v>
      </c>
      <c r="D11" s="89"/>
      <c r="E11" s="89"/>
      <c r="F11" s="89"/>
      <c r="G11" s="89"/>
      <c r="H11" s="89"/>
      <c r="I11" s="89"/>
      <c r="J11" s="90"/>
    </row>
    <row r="13" spans="1:4" ht="12.75">
      <c r="A13" t="s">
        <v>113</v>
      </c>
      <c r="C13" s="1">
        <f>0.75*B10^1.5/B11^1.4</f>
        <v>1.2836905442704956</v>
      </c>
      <c r="D13" t="s">
        <v>32</v>
      </c>
    </row>
    <row r="14" spans="1:3" ht="12.75">
      <c r="A14" t="s">
        <v>114</v>
      </c>
      <c r="C14" s="38">
        <v>0.5</v>
      </c>
    </row>
    <row r="15" spans="1:4" ht="12.75">
      <c r="A15" t="s">
        <v>115</v>
      </c>
      <c r="C15" s="1">
        <f>C13*(1-C14)</f>
        <v>0.6418452721352478</v>
      </c>
      <c r="D15" t="str">
        <f>D13</f>
        <v>lb/hr</v>
      </c>
    </row>
    <row r="16" ht="12.75">
      <c r="C16" s="1"/>
    </row>
    <row r="17" ht="12.75">
      <c r="C17" s="1"/>
    </row>
    <row r="18" ht="12.75">
      <c r="A18" s="17" t="s">
        <v>45</v>
      </c>
    </row>
    <row r="20" ht="15">
      <c r="A20" t="s">
        <v>60</v>
      </c>
    </row>
    <row r="21" ht="12.75">
      <c r="A21" t="s">
        <v>54</v>
      </c>
    </row>
    <row r="24" spans="1:10" ht="12.75">
      <c r="A24" s="18" t="s">
        <v>55</v>
      </c>
      <c r="B24" s="18" t="s">
        <v>56</v>
      </c>
      <c r="C24" s="30" t="s">
        <v>57</v>
      </c>
      <c r="D24" s="31"/>
      <c r="E24" s="31"/>
      <c r="F24" s="31"/>
      <c r="G24" s="31"/>
      <c r="H24" s="31"/>
      <c r="I24" s="31"/>
      <c r="J24" s="32"/>
    </row>
    <row r="25" spans="1:10" ht="12.75">
      <c r="A25" s="2" t="s">
        <v>61</v>
      </c>
      <c r="B25" s="2">
        <v>5</v>
      </c>
      <c r="C25" s="33" t="s">
        <v>62</v>
      </c>
      <c r="D25" s="31"/>
      <c r="E25" s="31"/>
      <c r="F25" s="31"/>
      <c r="G25" s="31"/>
      <c r="H25" s="31"/>
      <c r="I25" s="31"/>
      <c r="J25" s="32"/>
    </row>
    <row r="27" spans="1:4" ht="12.75">
      <c r="A27" t="s">
        <v>113</v>
      </c>
      <c r="C27" s="1">
        <f>0.0306*B25^2</f>
        <v>0.765</v>
      </c>
      <c r="D27" t="s">
        <v>63</v>
      </c>
    </row>
    <row r="28" spans="3:4" ht="12.75">
      <c r="C28">
        <f>C27*B25</f>
        <v>3.825</v>
      </c>
      <c r="D28" t="s">
        <v>32</v>
      </c>
    </row>
    <row r="29" spans="1:3" ht="12.75">
      <c r="A29" t="s">
        <v>114</v>
      </c>
      <c r="C29" s="38">
        <v>0.5</v>
      </c>
    </row>
    <row r="30" spans="1:4" ht="12.75">
      <c r="A30" t="s">
        <v>115</v>
      </c>
      <c r="C30" s="1">
        <f>C28*(1-C29)</f>
        <v>1.9125</v>
      </c>
      <c r="D30" t="str">
        <f>D28</f>
        <v>lb/hr</v>
      </c>
    </row>
    <row r="33" spans="1:11" ht="12.75">
      <c r="A33" s="87" t="str">
        <f>A1&amp;" (continued)"</f>
        <v>Table 24 (continued)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>
      <c r="A34" s="87" t="str">
        <f>A2</f>
        <v>Fugitive Dust PM10 Emission Factors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6" ht="12.75">
      <c r="A36" s="17" t="s">
        <v>117</v>
      </c>
    </row>
    <row r="38" ht="15">
      <c r="A38" t="s">
        <v>108</v>
      </c>
    </row>
    <row r="39" ht="12.75">
      <c r="A39" t="s">
        <v>65</v>
      </c>
    </row>
    <row r="42" spans="1:10" ht="12.75">
      <c r="A42" s="18" t="s">
        <v>55</v>
      </c>
      <c r="B42" s="18" t="s">
        <v>56</v>
      </c>
      <c r="C42" s="30" t="s">
        <v>57</v>
      </c>
      <c r="D42" s="31"/>
      <c r="E42" s="31"/>
      <c r="F42" s="31"/>
      <c r="G42" s="31"/>
      <c r="H42" s="31"/>
      <c r="I42" s="31"/>
      <c r="J42" s="32"/>
    </row>
    <row r="43" spans="1:10" ht="12.75">
      <c r="A43" s="2" t="s">
        <v>58</v>
      </c>
      <c r="B43" s="2">
        <v>7.5</v>
      </c>
      <c r="C43" s="33" t="s">
        <v>102</v>
      </c>
      <c r="D43" s="31"/>
      <c r="E43" s="31"/>
      <c r="F43" s="31"/>
      <c r="G43" s="31"/>
      <c r="H43" s="31"/>
      <c r="I43" s="31"/>
      <c r="J43" s="32"/>
    </row>
    <row r="44" spans="1:10" ht="24.75" customHeight="1">
      <c r="A44" s="2" t="s">
        <v>59</v>
      </c>
      <c r="B44" s="2">
        <v>5.9</v>
      </c>
      <c r="C44" s="88" t="s">
        <v>120</v>
      </c>
      <c r="D44" s="89"/>
      <c r="E44" s="89"/>
      <c r="F44" s="89"/>
      <c r="G44" s="89"/>
      <c r="H44" s="89"/>
      <c r="I44" s="89"/>
      <c r="J44" s="90"/>
    </row>
    <row r="45" spans="1:10" ht="12.75">
      <c r="A45" s="2" t="s">
        <v>66</v>
      </c>
      <c r="B45" s="2">
        <v>40</v>
      </c>
      <c r="C45" s="33" t="s">
        <v>67</v>
      </c>
      <c r="D45" s="31"/>
      <c r="E45" s="31"/>
      <c r="F45" s="31"/>
      <c r="G45" s="31"/>
      <c r="H45" s="31"/>
      <c r="I45" s="31"/>
      <c r="J45" s="32"/>
    </row>
    <row r="46" spans="1:10" ht="12.75">
      <c r="A46" s="2" t="s">
        <v>68</v>
      </c>
      <c r="B46" s="2">
        <v>5</v>
      </c>
      <c r="C46" s="33" t="s">
        <v>62</v>
      </c>
      <c r="D46" s="31"/>
      <c r="E46" s="31"/>
      <c r="F46" s="31"/>
      <c r="G46" s="31"/>
      <c r="H46" s="31"/>
      <c r="I46" s="31"/>
      <c r="J46" s="32"/>
    </row>
    <row r="48" spans="1:4" ht="12.75">
      <c r="A48" t="s">
        <v>113</v>
      </c>
      <c r="C48" s="1">
        <f>2.6*B46/15*(B43/12)^0.8*(B45/3)^0.4/(B44/0.2)^0.3</f>
        <v>0.6075541573360103</v>
      </c>
      <c r="D48" t="s">
        <v>63</v>
      </c>
    </row>
    <row r="49" spans="1:3" ht="12.75">
      <c r="A49" t="s">
        <v>114</v>
      </c>
      <c r="C49" s="38">
        <v>0.5</v>
      </c>
    </row>
    <row r="50" spans="1:4" ht="12.75">
      <c r="A50" t="s">
        <v>115</v>
      </c>
      <c r="C50" s="1">
        <f>C48*(1-C49)</f>
        <v>0.30377707866800513</v>
      </c>
      <c r="D50" t="str">
        <f>D48</f>
        <v>lb/mi</v>
      </c>
    </row>
    <row r="52" ht="12.75">
      <c r="A52" s="17" t="s">
        <v>107</v>
      </c>
    </row>
    <row r="54" ht="15">
      <c r="A54" t="s">
        <v>64</v>
      </c>
    </row>
    <row r="55" ht="12.75">
      <c r="A55" t="s">
        <v>65</v>
      </c>
    </row>
    <row r="57" spans="1:10" ht="12.75">
      <c r="A57" s="18" t="s">
        <v>55</v>
      </c>
      <c r="B57" s="18" t="s">
        <v>56</v>
      </c>
      <c r="C57" s="30" t="s">
        <v>57</v>
      </c>
      <c r="D57" s="31"/>
      <c r="E57" s="31"/>
      <c r="F57" s="31"/>
      <c r="G57" s="31"/>
      <c r="H57" s="31"/>
      <c r="I57" s="31"/>
      <c r="J57" s="32"/>
    </row>
    <row r="58" spans="1:10" ht="12.75">
      <c r="A58" s="2" t="s">
        <v>58</v>
      </c>
      <c r="B58" s="2">
        <v>7.5</v>
      </c>
      <c r="C58" s="33" t="s">
        <v>102</v>
      </c>
      <c r="D58" s="31"/>
      <c r="E58" s="31"/>
      <c r="F58" s="31"/>
      <c r="G58" s="31"/>
      <c r="H58" s="31"/>
      <c r="I58" s="31"/>
      <c r="J58" s="32"/>
    </row>
    <row r="59" spans="1:10" ht="24.75" customHeight="1">
      <c r="A59" s="2" t="s">
        <v>59</v>
      </c>
      <c r="B59" s="2">
        <v>15</v>
      </c>
      <c r="C59" s="88" t="s">
        <v>120</v>
      </c>
      <c r="D59" s="89"/>
      <c r="E59" s="89"/>
      <c r="F59" s="89"/>
      <c r="G59" s="89"/>
      <c r="H59" s="89"/>
      <c r="I59" s="89"/>
      <c r="J59" s="90"/>
    </row>
    <row r="60" spans="1:10" ht="12.75">
      <c r="A60" s="2" t="s">
        <v>66</v>
      </c>
      <c r="B60" s="2">
        <v>5</v>
      </c>
      <c r="C60" s="33" t="s">
        <v>67</v>
      </c>
      <c r="D60" s="31"/>
      <c r="E60" s="31"/>
      <c r="F60" s="31"/>
      <c r="G60" s="31"/>
      <c r="H60" s="31"/>
      <c r="I60" s="31"/>
      <c r="J60" s="32"/>
    </row>
    <row r="61" spans="1:10" ht="12.75">
      <c r="A61" s="2" t="s">
        <v>68</v>
      </c>
      <c r="B61" s="2">
        <v>15</v>
      </c>
      <c r="C61" s="33" t="s">
        <v>62</v>
      </c>
      <c r="D61" s="31"/>
      <c r="E61" s="31"/>
      <c r="F61" s="31"/>
      <c r="G61" s="31"/>
      <c r="H61" s="31"/>
      <c r="I61" s="31"/>
      <c r="J61" s="32"/>
    </row>
    <row r="63" spans="1:4" ht="12.75">
      <c r="A63" t="s">
        <v>113</v>
      </c>
      <c r="C63" s="1">
        <f>2.6*(B58/12)^0.8*(B60/3)^0.4/(B59/0.2)^0.3</f>
        <v>0.5996508901095823</v>
      </c>
      <c r="D63" t="s">
        <v>63</v>
      </c>
    </row>
    <row r="64" spans="1:3" ht="12.75">
      <c r="A64" t="s">
        <v>114</v>
      </c>
      <c r="C64" s="38">
        <v>0.5</v>
      </c>
    </row>
    <row r="65" spans="1:4" ht="12.75">
      <c r="A65" t="s">
        <v>115</v>
      </c>
      <c r="C65" s="1">
        <f>C63*(1-C64)</f>
        <v>0.29982544505479114</v>
      </c>
      <c r="D65" t="str">
        <f>D63</f>
        <v>lb/mi</v>
      </c>
    </row>
    <row r="66" ht="12.75">
      <c r="C66" s="1"/>
    </row>
    <row r="67" ht="12.75">
      <c r="C67" s="1"/>
    </row>
    <row r="68" spans="1:11" ht="12.75">
      <c r="A68" s="87" t="str">
        <f>A1&amp;" (continued)"</f>
        <v>Table 24 (continued)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1:11" ht="12.75">
      <c r="A69" s="87" t="str">
        <f>A34</f>
        <v>Fugitive Dust PM10 Emission Factors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ht="12.75">
      <c r="C70" s="1"/>
    </row>
    <row r="71" ht="12.75">
      <c r="A71" s="17" t="s">
        <v>69</v>
      </c>
    </row>
    <row r="73" ht="12.75">
      <c r="A73" t="s">
        <v>70</v>
      </c>
    </row>
    <row r="74" ht="12.75">
      <c r="A74" t="s">
        <v>71</v>
      </c>
    </row>
    <row r="75" ht="12.75">
      <c r="A75" t="s">
        <v>72</v>
      </c>
    </row>
    <row r="78" spans="1:10" ht="12.75">
      <c r="A78" s="18" t="s">
        <v>55</v>
      </c>
      <c r="B78" s="18" t="s">
        <v>56</v>
      </c>
      <c r="C78" s="30" t="s">
        <v>57</v>
      </c>
      <c r="D78" s="31"/>
      <c r="E78" s="31"/>
      <c r="F78" s="31"/>
      <c r="G78" s="31"/>
      <c r="H78" s="31"/>
      <c r="I78" s="31"/>
      <c r="J78" s="32"/>
    </row>
    <row r="79" spans="1:10" ht="12.75">
      <c r="A79" s="2" t="s">
        <v>58</v>
      </c>
      <c r="B79" s="2">
        <v>7.5</v>
      </c>
      <c r="C79" s="33" t="s">
        <v>102</v>
      </c>
      <c r="D79" s="31"/>
      <c r="E79" s="31"/>
      <c r="F79" s="31"/>
      <c r="G79" s="31"/>
      <c r="H79" s="31"/>
      <c r="I79" s="31"/>
      <c r="J79" s="32"/>
    </row>
    <row r="80" spans="1:10" ht="12.75">
      <c r="A80" s="2" t="s">
        <v>73</v>
      </c>
      <c r="B80" s="2">
        <v>100</v>
      </c>
      <c r="C80" s="33" t="s">
        <v>67</v>
      </c>
      <c r="D80" s="31"/>
      <c r="E80" s="31"/>
      <c r="F80" s="31"/>
      <c r="G80" s="31"/>
      <c r="H80" s="31"/>
      <c r="I80" s="31"/>
      <c r="J80" s="32"/>
    </row>
    <row r="82" spans="1:4" ht="12.75">
      <c r="A82" t="s">
        <v>113</v>
      </c>
      <c r="C82" s="34">
        <f>0.85*B79/1.5*365/235*B80/15</f>
        <v>44.00709219858156</v>
      </c>
      <c r="D82" t="s">
        <v>74</v>
      </c>
    </row>
    <row r="83" spans="1:3" ht="12.75">
      <c r="A83" t="s">
        <v>114</v>
      </c>
      <c r="C83" s="38">
        <v>0.5</v>
      </c>
    </row>
    <row r="84" spans="1:4" ht="12.75">
      <c r="A84" t="s">
        <v>115</v>
      </c>
      <c r="C84" s="34">
        <f>C82*(1-C83)</f>
        <v>22.00354609929078</v>
      </c>
      <c r="D84" t="str">
        <f>D82</f>
        <v>lb/day-acre</v>
      </c>
    </row>
    <row r="87" ht="12.75">
      <c r="A87" s="17" t="s">
        <v>75</v>
      </c>
    </row>
    <row r="89" ht="15">
      <c r="A89" t="s">
        <v>149</v>
      </c>
    </row>
    <row r="91" spans="1:10" ht="12.75">
      <c r="A91" s="18" t="s">
        <v>55</v>
      </c>
      <c r="B91" s="18" t="s">
        <v>56</v>
      </c>
      <c r="C91" s="30" t="s">
        <v>57</v>
      </c>
      <c r="D91" s="31"/>
      <c r="E91" s="31"/>
      <c r="F91" s="31"/>
      <c r="G91" s="31"/>
      <c r="H91" s="31"/>
      <c r="I91" s="31"/>
      <c r="J91" s="32"/>
    </row>
    <row r="92" spans="1:10" ht="12.75">
      <c r="A92" s="2" t="s">
        <v>76</v>
      </c>
      <c r="B92" s="2">
        <v>12</v>
      </c>
      <c r="C92" s="33" t="s">
        <v>103</v>
      </c>
      <c r="D92" s="31"/>
      <c r="E92" s="31"/>
      <c r="F92" s="31"/>
      <c r="G92" s="31"/>
      <c r="H92" s="31"/>
      <c r="I92" s="31"/>
      <c r="J92" s="32"/>
    </row>
    <row r="93" spans="1:10" ht="25.5" customHeight="1">
      <c r="A93" s="2" t="s">
        <v>59</v>
      </c>
      <c r="B93" s="2">
        <v>15</v>
      </c>
      <c r="C93" s="88" t="s">
        <v>120</v>
      </c>
      <c r="D93" s="89"/>
      <c r="E93" s="89"/>
      <c r="F93" s="89"/>
      <c r="G93" s="89"/>
      <c r="H93" s="89"/>
      <c r="I93" s="89"/>
      <c r="J93" s="90"/>
    </row>
    <row r="94" spans="1:10" ht="12.75">
      <c r="A94" s="2" t="s">
        <v>77</v>
      </c>
      <c r="B94" s="2">
        <v>4</v>
      </c>
      <c r="C94" s="33" t="s">
        <v>67</v>
      </c>
      <c r="D94" s="31"/>
      <c r="E94" s="31"/>
      <c r="F94" s="31"/>
      <c r="G94" s="31"/>
      <c r="H94" s="31"/>
      <c r="I94" s="31"/>
      <c r="J94" s="32"/>
    </row>
    <row r="95" spans="1:10" ht="12.75">
      <c r="A95" s="2" t="s">
        <v>78</v>
      </c>
      <c r="B95" s="36">
        <v>1.215</v>
      </c>
      <c r="C95" s="33" t="s">
        <v>79</v>
      </c>
      <c r="D95" s="31" t="s">
        <v>79</v>
      </c>
      <c r="E95" s="31"/>
      <c r="F95" s="31"/>
      <c r="G95" s="31"/>
      <c r="H95" s="31"/>
      <c r="I95" s="31"/>
      <c r="J95" s="32"/>
    </row>
    <row r="97" spans="1:4" ht="12.75">
      <c r="A97" t="s">
        <v>113</v>
      </c>
      <c r="C97" s="35">
        <f>0.0011*(B92/5)^1.3/(B93/2)^1.4*B94*B95</f>
        <v>0.0009936142238043068</v>
      </c>
      <c r="D97" t="s">
        <v>80</v>
      </c>
    </row>
    <row r="98" spans="1:3" ht="12.75">
      <c r="A98" t="s">
        <v>114</v>
      </c>
      <c r="C98" s="38">
        <v>0.5</v>
      </c>
    </row>
    <row r="99" spans="1:4" ht="12.75">
      <c r="A99" t="s">
        <v>115</v>
      </c>
      <c r="C99" s="35">
        <f>C97*(1-C98)</f>
        <v>0.0004968071119021534</v>
      </c>
      <c r="D99" t="str">
        <f>D97</f>
        <v>lb/cu. yd</v>
      </c>
    </row>
    <row r="100" ht="12.75">
      <c r="C100" s="35"/>
    </row>
    <row r="101" ht="12.75">
      <c r="C101" s="35"/>
    </row>
    <row r="102" spans="1:11" ht="12.75">
      <c r="A102" s="87" t="str">
        <f>A1&amp;" (concluded)"</f>
        <v>Table 24 (concluded)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1:11" ht="12.75">
      <c r="A103" s="87" t="str">
        <f>A2</f>
        <v>Fugitive Dust PM10 Emission Factors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ht="12.75">
      <c r="A104" s="17" t="s">
        <v>148</v>
      </c>
    </row>
    <row r="106" ht="15">
      <c r="A106" t="s">
        <v>165</v>
      </c>
    </row>
    <row r="107" ht="15">
      <c r="A107" t="s">
        <v>150</v>
      </c>
    </row>
    <row r="108" ht="12.75">
      <c r="A108" t="s">
        <v>152</v>
      </c>
    </row>
    <row r="109" ht="12.75">
      <c r="A109" t="s">
        <v>151</v>
      </c>
    </row>
    <row r="111" spans="1:10" ht="12.75">
      <c r="A111" s="18" t="s">
        <v>55</v>
      </c>
      <c r="B111" s="18" t="s">
        <v>56</v>
      </c>
      <c r="C111" s="30" t="s">
        <v>57</v>
      </c>
      <c r="D111" s="31"/>
      <c r="E111" s="31"/>
      <c r="F111" s="31"/>
      <c r="G111" s="31"/>
      <c r="H111" s="31"/>
      <c r="I111" s="31"/>
      <c r="J111" s="32"/>
    </row>
    <row r="112" spans="1:10" ht="12.75">
      <c r="A112" s="2" t="s">
        <v>153</v>
      </c>
      <c r="B112" s="2">
        <v>60</v>
      </c>
      <c r="C112" s="33" t="s">
        <v>154</v>
      </c>
      <c r="D112" s="31"/>
      <c r="E112" s="31"/>
      <c r="F112" s="31"/>
      <c r="G112" s="31"/>
      <c r="H112" s="31"/>
      <c r="I112" s="31"/>
      <c r="J112" s="32"/>
    </row>
    <row r="113" spans="1:10" ht="12.75">
      <c r="A113" s="2" t="s">
        <v>155</v>
      </c>
      <c r="B113" s="2">
        <f>2.54*12</f>
        <v>30.48</v>
      </c>
      <c r="C113" s="88" t="s">
        <v>156</v>
      </c>
      <c r="D113" s="89"/>
      <c r="E113" s="89"/>
      <c r="F113" s="89"/>
      <c r="G113" s="89"/>
      <c r="H113" s="89"/>
      <c r="I113" s="89"/>
      <c r="J113" s="90"/>
    </row>
    <row r="114" spans="1:10" ht="12.75">
      <c r="A114" s="2" t="s">
        <v>157</v>
      </c>
      <c r="B114" s="2">
        <v>0.3</v>
      </c>
      <c r="C114" s="33" t="s">
        <v>158</v>
      </c>
      <c r="D114" s="31"/>
      <c r="E114" s="31"/>
      <c r="F114" s="31"/>
      <c r="G114" s="31"/>
      <c r="H114" s="31"/>
      <c r="I114" s="31"/>
      <c r="J114" s="32"/>
    </row>
    <row r="115" spans="1:10" ht="12.75">
      <c r="A115" s="2" t="s">
        <v>162</v>
      </c>
      <c r="B115" s="2">
        <v>1.61</v>
      </c>
      <c r="C115" s="33" t="s">
        <v>163</v>
      </c>
      <c r="D115" s="31"/>
      <c r="E115" s="31"/>
      <c r="F115" s="31"/>
      <c r="G115" s="31"/>
      <c r="H115" s="31"/>
      <c r="I115" s="31"/>
      <c r="J115" s="32"/>
    </row>
    <row r="116" spans="1:10" ht="25.5" customHeight="1">
      <c r="A116" s="2" t="s">
        <v>59</v>
      </c>
      <c r="B116" s="2">
        <v>15</v>
      </c>
      <c r="C116" s="88" t="s">
        <v>120</v>
      </c>
      <c r="D116" s="89"/>
      <c r="E116" s="89"/>
      <c r="F116" s="89"/>
      <c r="G116" s="89"/>
      <c r="H116" s="89"/>
      <c r="I116" s="89"/>
      <c r="J116" s="90"/>
    </row>
    <row r="117" spans="1:10" ht="12.75">
      <c r="A117" s="2" t="s">
        <v>159</v>
      </c>
      <c r="B117" s="2">
        <v>0.5</v>
      </c>
      <c r="C117" s="33" t="s">
        <v>67</v>
      </c>
      <c r="D117" s="31"/>
      <c r="E117" s="31"/>
      <c r="F117" s="31"/>
      <c r="G117" s="31"/>
      <c r="H117" s="31"/>
      <c r="I117" s="31"/>
      <c r="J117" s="32"/>
    </row>
    <row r="118" spans="1:10" ht="12.75">
      <c r="A118" s="2" t="s">
        <v>160</v>
      </c>
      <c r="B118" s="2">
        <v>258</v>
      </c>
      <c r="C118" s="33" t="s">
        <v>161</v>
      </c>
      <c r="D118" s="31"/>
      <c r="E118" s="31"/>
      <c r="F118" s="31"/>
      <c r="G118" s="31"/>
      <c r="H118" s="31"/>
      <c r="I118" s="31"/>
      <c r="J118" s="32"/>
    </row>
    <row r="119" spans="1:10" ht="12.75" hidden="1">
      <c r="A119" s="2"/>
      <c r="B119" s="2"/>
      <c r="C119" s="33"/>
      <c r="D119" s="31"/>
      <c r="E119" s="31"/>
      <c r="F119" s="31"/>
      <c r="G119" s="31"/>
      <c r="H119" s="31"/>
      <c r="I119" s="31"/>
      <c r="J119" s="32"/>
    </row>
    <row r="120" spans="1:10" ht="12.75" hidden="1">
      <c r="A120" s="2"/>
      <c r="B120" s="2"/>
      <c r="C120" s="33"/>
      <c r="D120" s="31"/>
      <c r="E120" s="31"/>
      <c r="F120" s="31"/>
      <c r="G120" s="31"/>
      <c r="H120" s="31"/>
      <c r="I120" s="31"/>
      <c r="J120" s="32"/>
    </row>
    <row r="121" spans="1:10" ht="12.75" hidden="1">
      <c r="A121" s="2"/>
      <c r="B121" s="2"/>
      <c r="C121" s="33"/>
      <c r="D121" s="31"/>
      <c r="E121" s="31"/>
      <c r="F121" s="31"/>
      <c r="G121" s="31"/>
      <c r="H121" s="31"/>
      <c r="I121" s="31"/>
      <c r="J121" s="32"/>
    </row>
    <row r="122" spans="1:10" ht="12.75" hidden="1">
      <c r="A122" s="2"/>
      <c r="B122" s="2"/>
      <c r="C122" s="33"/>
      <c r="D122" s="31"/>
      <c r="E122" s="31"/>
      <c r="F122" s="31"/>
      <c r="G122" s="31"/>
      <c r="H122" s="31"/>
      <c r="I122" s="31"/>
      <c r="J122" s="32"/>
    </row>
    <row r="123" spans="1:10" ht="12.75" hidden="1">
      <c r="A123" s="2"/>
      <c r="B123" s="2"/>
      <c r="C123" s="33"/>
      <c r="D123" s="31"/>
      <c r="E123" s="31"/>
      <c r="F123" s="31"/>
      <c r="G123" s="31"/>
      <c r="H123" s="31"/>
      <c r="I123" s="31"/>
      <c r="J123" s="32"/>
    </row>
    <row r="124" spans="1:10" ht="12.75" hidden="1">
      <c r="A124" s="2"/>
      <c r="B124" s="2"/>
      <c r="C124" s="33"/>
      <c r="D124" s="31"/>
      <c r="E124" s="31"/>
      <c r="F124" s="31"/>
      <c r="G124" s="31"/>
      <c r="H124" s="31"/>
      <c r="I124" s="31"/>
      <c r="J124" s="32"/>
    </row>
    <row r="125" spans="1:10" ht="12.75" hidden="1">
      <c r="A125" s="2"/>
      <c r="B125" s="2"/>
      <c r="C125" s="33"/>
      <c r="D125" s="31"/>
      <c r="E125" s="31"/>
      <c r="F125" s="31"/>
      <c r="G125" s="31"/>
      <c r="H125" s="31"/>
      <c r="I125" s="31"/>
      <c r="J125" s="32"/>
    </row>
    <row r="126" spans="1:10" ht="12.75" hidden="1">
      <c r="A126" s="2"/>
      <c r="B126" s="36"/>
      <c r="C126" s="33"/>
      <c r="D126" s="31"/>
      <c r="E126" s="31"/>
      <c r="F126" s="31"/>
      <c r="G126" s="31"/>
      <c r="H126" s="31"/>
      <c r="I126" s="31"/>
      <c r="J126" s="32"/>
    </row>
    <row r="128" spans="1:3" ht="12.75">
      <c r="A128" t="s">
        <v>113</v>
      </c>
      <c r="C128" s="59">
        <f>(0.029*(A132-B115)^2+0.0125*(A132-B115))/(B116/2)^1.4*B117*B118</f>
        <v>3.2053454276515994</v>
      </c>
    </row>
    <row r="129" spans="1:3" ht="12.75">
      <c r="A129" t="s">
        <v>164</v>
      </c>
      <c r="C129" s="60">
        <v>0.5</v>
      </c>
    </row>
    <row r="130" spans="1:3" ht="12.75">
      <c r="A130" t="s">
        <v>115</v>
      </c>
      <c r="C130" s="59">
        <f>C128*(1-C129)</f>
        <v>1.6026727138257997</v>
      </c>
    </row>
    <row r="131" ht="12.75" hidden="1"/>
    <row r="132" ht="12.75" hidden="1">
      <c r="A132">
        <f>0.4*B112/LN(B113/B114)</f>
        <v>5.193632091425457</v>
      </c>
    </row>
  </sheetData>
  <sheetProtection/>
  <mergeCells count="14">
    <mergeCell ref="A1:J1"/>
    <mergeCell ref="A2:J2"/>
    <mergeCell ref="A33:K33"/>
    <mergeCell ref="A34:K34"/>
    <mergeCell ref="C11:J11"/>
    <mergeCell ref="C116:J116"/>
    <mergeCell ref="C44:J44"/>
    <mergeCell ref="C59:J59"/>
    <mergeCell ref="C93:J93"/>
    <mergeCell ref="A68:K68"/>
    <mergeCell ref="A69:K69"/>
    <mergeCell ref="A102:K102"/>
    <mergeCell ref="A103:K103"/>
    <mergeCell ref="C113:J113"/>
  </mergeCells>
  <printOptions horizontalCentered="1"/>
  <pageMargins left="0.75" right="0.75" top="1" bottom="1" header="0.5" footer="0.5"/>
  <pageSetup fitToHeight="20" horizontalDpi="300" verticalDpi="300" orientation="landscape" scale="98" r:id="rId1"/>
  <headerFooter alignWithMargins="0">
    <oddFooter>&amp;CPage &amp;P of &amp;N&amp;R&amp;D</oddFooter>
  </headerFooter>
  <rowBreaks count="3" manualBreakCount="3">
    <brk id="32" max="255" man="1"/>
    <brk id="67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N117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7.57421875" style="0" customWidth="1"/>
    <col min="2" max="2" width="8.421875" style="0" customWidth="1"/>
    <col min="3" max="3" width="11.00390625" style="0" customWidth="1"/>
    <col min="4" max="4" width="9.8515625" style="0" customWidth="1"/>
    <col min="6" max="6" width="9.8515625" style="0" customWidth="1"/>
    <col min="10" max="10" width="9.28125" style="0" customWidth="1"/>
    <col min="13" max="14" width="9.140625" style="0" hidden="1" customWidth="1"/>
  </cols>
  <sheetData>
    <row r="1" ht="12.75" hidden="1">
      <c r="A1" s="17" t="s">
        <v>170</v>
      </c>
    </row>
    <row r="2" ht="12.75" hidden="1">
      <c r="A2" s="53">
        <v>7</v>
      </c>
    </row>
    <row r="3" spans="1:12" ht="12.75">
      <c r="A3" s="87" t="str">
        <f>"Table "&amp;A$2&amp;"-A"</f>
        <v>Table 7-A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HGS Grading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42"/>
      <c r="H7" s="42"/>
      <c r="I7" s="42"/>
      <c r="J7" s="42"/>
      <c r="K7" s="42"/>
      <c r="L7" s="2"/>
    </row>
    <row r="8" spans="1:12" ht="12.75">
      <c r="A8" s="4" t="s">
        <v>43</v>
      </c>
      <c r="B8" s="2">
        <v>1</v>
      </c>
      <c r="C8" s="2">
        <v>16</v>
      </c>
      <c r="D8" s="2">
        <f>B8*C8</f>
        <v>16</v>
      </c>
      <c r="E8" s="2">
        <v>1</v>
      </c>
      <c r="F8" s="2">
        <f>IF(E8&lt;&gt;"N/A",B8*E8,"N/A")</f>
        <v>1</v>
      </c>
      <c r="G8" s="42">
        <f>$D8*VLOOKUP($A8,'Const. Equip. Emission Factors'!$A$5:$N$25,10,FALSE)</f>
        <v>11.52576</v>
      </c>
      <c r="H8" s="42">
        <f>$D8*VLOOKUP($A8,'Const. Equip. Emission Factors'!$A$5:$N$25,11,FALSE)</f>
        <v>4.32216</v>
      </c>
      <c r="I8" s="42">
        <f>$D8*VLOOKUP($A8,'Const. Equip. Emission Factors'!$A$5:$N$25,12,FALSE)</f>
        <v>30.25512</v>
      </c>
      <c r="J8" s="42">
        <f>$D8*VLOOKUP($A8,'Const. Equip. Emission Factors'!$A$5:$N$25,13,FALSE)</f>
        <v>2.88144</v>
      </c>
      <c r="K8" s="42">
        <f>$D8*VLOOKUP($A8,'Const. Equip. Emission Factors'!$A$5:$N$25,14,FALSE)</f>
        <v>1.44072</v>
      </c>
      <c r="L8" s="43">
        <f>VLOOKUP(A8,'Const. Equip. Emission Factors'!$A$5:$P$23,16,FALSE)*D8</f>
        <v>72.036</v>
      </c>
    </row>
    <row r="9" spans="1:12" ht="12.75">
      <c r="A9" s="4" t="s">
        <v>33</v>
      </c>
      <c r="B9" s="2"/>
      <c r="C9" s="2"/>
      <c r="D9" s="2"/>
      <c r="E9" s="2"/>
      <c r="F9" s="2"/>
      <c r="G9" s="42"/>
      <c r="H9" s="42"/>
      <c r="I9" s="42"/>
      <c r="J9" s="42"/>
      <c r="K9" s="42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42"/>
      <c r="H10" s="42"/>
      <c r="I10" s="42"/>
      <c r="J10" s="42"/>
      <c r="K10" s="42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42"/>
      <c r="H11" s="42"/>
      <c r="I11" s="42"/>
      <c r="J11" s="42"/>
      <c r="K11" s="42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42"/>
      <c r="H12" s="42"/>
      <c r="I12" s="42"/>
      <c r="J12" s="42"/>
      <c r="K12" s="42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20</v>
      </c>
      <c r="C17" s="2">
        <v>12</v>
      </c>
      <c r="D17" s="2">
        <f>B17*C17</f>
        <v>240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40.4736</v>
      </c>
      <c r="H17" s="42">
        <f>$D17*VLOOKUP($A17,'Const. Equip. Emission Factors'!$A$5:$N$25,11,FALSE)</f>
        <v>6.07104</v>
      </c>
      <c r="I17" s="42">
        <f>$D17*VLOOKUP($A17,'Const. Equip. Emission Factors'!$A$5:$N$25,12,FALSE)</f>
        <v>48.56832</v>
      </c>
      <c r="J17" s="42">
        <f>$D17*VLOOKUP($A17,'Const. Equip. Emission Factors'!$A$5:$N$25,13,FALSE)</f>
        <v>4.04736</v>
      </c>
      <c r="K17" s="42">
        <f>$D17*VLOOKUP($A17,'Const. Equip. Emission Factors'!$A$5:$N$25,14,FALSE)</f>
        <v>3.03552</v>
      </c>
      <c r="L17" s="43">
        <f>VLOOKUP(A17,'Const. Equip. Emission Factors'!$A$5:$P$23,16,FALSE)*D17</f>
        <v>101.18400000000001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14"/>
      <c r="H22" s="14"/>
      <c r="I22" s="14"/>
      <c r="J22" s="14"/>
      <c r="K22" s="14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51.999359999999996</v>
      </c>
      <c r="H23" s="46">
        <f t="shared" si="0"/>
        <v>10.3932</v>
      </c>
      <c r="I23" s="46">
        <f t="shared" si="0"/>
        <v>78.82344</v>
      </c>
      <c r="J23" s="46">
        <f t="shared" si="0"/>
        <v>6.928800000000001</v>
      </c>
      <c r="K23" s="46">
        <f t="shared" si="0"/>
        <v>4.47624</v>
      </c>
      <c r="L23" s="46">
        <f t="shared" si="0"/>
        <v>173.22000000000003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7-B</v>
      </c>
      <c r="B26" s="87"/>
      <c r="C26" s="87"/>
      <c r="D26" s="87"/>
    </row>
    <row r="27" spans="1:4" ht="12.75">
      <c r="A27" s="85" t="str">
        <f>A$1&amp;" Fugitive Dust Emissions (Pre-Mitigation)"</f>
        <v>HGS Grading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1</v>
      </c>
      <c r="C30" s="2" t="s">
        <v>46</v>
      </c>
      <c r="D30" s="43">
        <f>B30*'Fug. Dust Emission Factors'!C30</f>
        <v>1.9125</v>
      </c>
    </row>
    <row r="31" spans="1:4" ht="12.75">
      <c r="A31" s="4" t="s">
        <v>109</v>
      </c>
      <c r="B31" s="14">
        <f>SUM(F6:F22)-F8+E55+E56+E57+E58</f>
        <v>1</v>
      </c>
      <c r="C31" s="2" t="s">
        <v>46</v>
      </c>
      <c r="D31" s="43">
        <f>B31*'Fug. Dust Emission Factors'!C50</f>
        <v>0.30377707866800513</v>
      </c>
    </row>
    <row r="32" spans="1:4" ht="12.75">
      <c r="A32" s="4" t="s">
        <v>110</v>
      </c>
      <c r="B32" s="14">
        <f>E54</f>
        <v>0</v>
      </c>
      <c r="C32" s="2" t="s">
        <v>46</v>
      </c>
      <c r="D32" s="43">
        <f>B32*'Fug. Dust Emission Factors'!C65</f>
        <v>0</v>
      </c>
    </row>
    <row r="33" spans="1:4" ht="12.75">
      <c r="A33" s="4" t="s">
        <v>69</v>
      </c>
      <c r="B33" s="11">
        <f>1000/43650</f>
        <v>0.022909507445589918</v>
      </c>
      <c r="C33" s="2" t="s">
        <v>85</v>
      </c>
      <c r="D33" s="43">
        <f>B33*'Fug. Dust Emission Factors'!C84</f>
        <v>0.5040904031910831</v>
      </c>
    </row>
    <row r="34" spans="1:4" ht="12.75">
      <c r="A34" s="4" t="s">
        <v>75</v>
      </c>
      <c r="B34" s="14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0</v>
      </c>
      <c r="C35" s="2" t="s">
        <v>166</v>
      </c>
      <c r="D35" s="43">
        <f>B35*'Fug. Dust Emission Factors'!C130</f>
        <v>0</v>
      </c>
    </row>
    <row r="36" spans="1:4" ht="12.75">
      <c r="A36" s="15" t="s">
        <v>24</v>
      </c>
      <c r="B36" s="4"/>
      <c r="C36" s="4"/>
      <c r="D36" s="44">
        <f>SUM(D29:D35)</f>
        <v>2.720367481859088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7-C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HGS Grading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7-D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HGS Grading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7-E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HGS Grading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/>
      <c r="C54" s="2"/>
      <c r="D54" s="2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4" t="s">
        <v>52</v>
      </c>
      <c r="B55" s="2">
        <v>1</v>
      </c>
      <c r="C55" s="2">
        <v>1</v>
      </c>
      <c r="D55" s="2">
        <v>2</v>
      </c>
      <c r="E55" s="14">
        <f>B55*C55</f>
        <v>1</v>
      </c>
      <c r="F55" s="14">
        <f>B55*D55</f>
        <v>2</v>
      </c>
      <c r="G55" s="42">
        <f>(E55*VLOOKUP(A55,'Motor Vehicle Emission Factors'!$A$6:$T$42,7,FALSE)+F55*VLOOKUP(A55,'Motor Vehicle Emission Factors'!$A$6:$T$42,8,FALSE))/453.6</f>
        <v>0.03095238095238095</v>
      </c>
      <c r="H55" s="42">
        <f>(E55*VLOOKUP(A55,'Motor Vehicle Emission Factors'!$A$6:$T$42,9,FALSE)+F55*VLOOKUP(A55,'Motor Vehicle Emission Factors'!$A$6:$T$42,10,FALSE)+F55*VLOOKUP(A55,'Motor Vehicle Emission Factors'!$A$6:$T$42,11,FALSE)+B55*12*VLOOKUP(A55,'Motor Vehicle Emission Factors'!$A$6:$T$42,12,FALSE)+E55*VLOOKUP(A55,'Motor Vehicle Emission Factors'!$A$6:$T$42,13,FALSE)+B55*12*VLOOKUP(A55,'Motor Vehicle Emission Factors'!$A$6:$T$42,14,FALSE))/453.6</f>
        <v>0.003880070546737213</v>
      </c>
      <c r="I55" s="42">
        <f>(E55*VLOOKUP(A55,'Motor Vehicle Emission Factors'!$A$6:$T$42,15,FALSE)+F55*VLOOKUP(A55,'Motor Vehicle Emission Factors'!$A$6:$T$42,16,FALSE))/453.6</f>
        <v>0.01801146384479718</v>
      </c>
      <c r="J55" s="42">
        <f>E55*VLOOKUP(A55,'Motor Vehicle Emission Factors'!$A$6:$T$42,17,FALSE)/453.6</f>
        <v>0.0009038800705467371</v>
      </c>
      <c r="K55" s="42">
        <f>E55*(VLOOKUP(A55,'Motor Vehicle Emission Factors'!$A$6:$T$42,18,FALSE)+VLOOKUP(A55,'Motor Vehicle Emission Factors'!$A$6:$T$42,19,FALSE)+VLOOKUP(A55,'Motor Vehicle Emission Factors'!$A$6:$T$42,20,FALSE))/453.6</f>
        <v>2.204585537918871E-05</v>
      </c>
      <c r="L55" s="42">
        <f>J55+K55</f>
        <v>0.0009259259259259259</v>
      </c>
    </row>
    <row r="56" spans="1:12" ht="12.75">
      <c r="A56" s="4" t="s">
        <v>130</v>
      </c>
      <c r="B56" s="2"/>
      <c r="C56" s="2"/>
      <c r="D56" s="2"/>
      <c r="E56" s="14"/>
      <c r="F56" s="14"/>
      <c r="G56" s="42"/>
      <c r="H56" s="42"/>
      <c r="I56" s="42"/>
      <c r="J56" s="42"/>
      <c r="K56" s="42"/>
      <c r="L56" s="42"/>
    </row>
    <row r="57" spans="1:12" ht="12.75">
      <c r="A57" s="4" t="s">
        <v>118</v>
      </c>
      <c r="B57" s="2"/>
      <c r="C57" s="2"/>
      <c r="D57" s="2"/>
      <c r="E57" s="14"/>
      <c r="F57" s="14"/>
      <c r="G57" s="42"/>
      <c r="H57" s="42"/>
      <c r="I57" s="42"/>
      <c r="J57" s="42"/>
      <c r="K57" s="42"/>
      <c r="L57" s="42"/>
    </row>
    <row r="58" spans="1:12" ht="12.75">
      <c r="A58" s="4" t="s">
        <v>116</v>
      </c>
      <c r="B58" s="2"/>
      <c r="C58" s="2"/>
      <c r="D58" s="2"/>
      <c r="E58" s="14"/>
      <c r="F58" s="14"/>
      <c r="G58" s="42"/>
      <c r="H58" s="42"/>
      <c r="I58" s="42"/>
      <c r="J58" s="42"/>
      <c r="K58" s="42"/>
      <c r="L58" s="42"/>
    </row>
    <row r="59" spans="1:12" ht="12.75">
      <c r="A59" s="4" t="s">
        <v>105</v>
      </c>
      <c r="B59" s="2">
        <v>3</v>
      </c>
      <c r="C59" s="2">
        <v>40</v>
      </c>
      <c r="D59" s="2">
        <v>2</v>
      </c>
      <c r="E59" s="14">
        <f>B59*C59</f>
        <v>120</v>
      </c>
      <c r="F59" s="14">
        <f>B59*D59</f>
        <v>6</v>
      </c>
      <c r="G59" s="42">
        <f>(E59*VLOOKUP(A59,'Motor Vehicle Emission Factors'!$A$6:$T$42,7,FALSE)+F59*VLOOKUP(A59,'Motor Vehicle Emission Factors'!$A$6:$T$42,8,FALSE))/453.6</f>
        <v>1.4518518518518517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0.1898148148148148</v>
      </c>
      <c r="I59" s="42">
        <f>(E59*VLOOKUP(A59,'Motor Vehicle Emission Factors'!$A$6:$T$42,15,FALSE)+F59*VLOOKUP(A59,'Motor Vehicle Emission Factors'!$A$6:$T$42,16,FALSE))/453.6</f>
        <v>0.20992063492063495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0.14882767054190232</v>
      </c>
      <c r="L59" s="42">
        <f>J59+K59</f>
        <v>0.14882767054190232</v>
      </c>
    </row>
    <row r="60" spans="1:12" ht="12.75">
      <c r="A60" s="4" t="s">
        <v>129</v>
      </c>
      <c r="B60" s="2"/>
      <c r="C60" s="2"/>
      <c r="D60" s="2"/>
      <c r="E60" s="14"/>
      <c r="F60" s="14"/>
      <c r="G60" s="42"/>
      <c r="H60" s="42"/>
      <c r="I60" s="42"/>
      <c r="J60" s="42"/>
      <c r="K60" s="42"/>
      <c r="L60" s="42"/>
    </row>
    <row r="61" spans="1:12" ht="12.75">
      <c r="A61" s="4" t="s">
        <v>128</v>
      </c>
      <c r="B61" s="2"/>
      <c r="C61" s="2"/>
      <c r="D61" s="2"/>
      <c r="E61" s="14"/>
      <c r="F61" s="14"/>
      <c r="G61" s="42"/>
      <c r="H61" s="42"/>
      <c r="I61" s="42"/>
      <c r="J61" s="42"/>
      <c r="K61" s="42"/>
      <c r="L61" s="42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1.4828042328042326</v>
      </c>
      <c r="H62" s="46">
        <f t="shared" si="1"/>
        <v>0.19369488536155202</v>
      </c>
      <c r="I62" s="46">
        <f t="shared" si="1"/>
        <v>0.22793209876543213</v>
      </c>
      <c r="J62" s="46">
        <f t="shared" si="1"/>
        <v>0.0009038800705467371</v>
      </c>
      <c r="K62" s="46">
        <f t="shared" si="1"/>
        <v>0.1488497163972815</v>
      </c>
      <c r="L62" s="46">
        <f t="shared" si="1"/>
        <v>0.14975359646782824</v>
      </c>
      <c r="M62" s="71">
        <f>E54+E59</f>
        <v>120</v>
      </c>
      <c r="N62" s="71">
        <f>SUM(E54:E61)-M62</f>
        <v>1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7-F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HGS Grading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51.999359999999996</v>
      </c>
      <c r="C69" s="43">
        <f>H23</f>
        <v>10.3932</v>
      </c>
      <c r="D69" s="43">
        <f>I23</f>
        <v>78.82344</v>
      </c>
      <c r="E69" s="43">
        <f>J23</f>
        <v>6.928800000000001</v>
      </c>
      <c r="F69" s="43">
        <f>K23</f>
        <v>4.47624</v>
      </c>
      <c r="G69" s="43"/>
      <c r="H69" s="43">
        <f>F69+G69</f>
        <v>4.47624</v>
      </c>
    </row>
    <row r="70" spans="1:8" ht="12.75">
      <c r="A70" s="51" t="s">
        <v>127</v>
      </c>
      <c r="B70" s="43">
        <f>SUM(G54:G58)</f>
        <v>0.03095238095238095</v>
      </c>
      <c r="C70" s="43">
        <f>SUM(H54:H58)</f>
        <v>0.003880070546737213</v>
      </c>
      <c r="D70" s="43">
        <f>SUM(I54:I58)</f>
        <v>0.01801146384479718</v>
      </c>
      <c r="E70" s="43">
        <v>0</v>
      </c>
      <c r="F70" s="43">
        <f>SUM(J54:J58)</f>
        <v>0.0009038800705467371</v>
      </c>
      <c r="G70" s="43"/>
      <c r="H70" s="43">
        <f aca="true" t="shared" si="2" ref="H70:H76">F70+G70</f>
        <v>0.0009038800705467371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2.720367481859088</v>
      </c>
      <c r="H71" s="43">
        <f t="shared" si="2"/>
        <v>2.720367481859088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52.030312380952374</v>
      </c>
      <c r="C74" s="44">
        <f t="shared" si="3"/>
        <v>10.397080070546737</v>
      </c>
      <c r="D74" s="44">
        <f t="shared" si="3"/>
        <v>78.8414514638448</v>
      </c>
      <c r="E74" s="44">
        <f t="shared" si="3"/>
        <v>6.928800000000001</v>
      </c>
      <c r="F74" s="44">
        <f t="shared" si="3"/>
        <v>4.477143880070546</v>
      </c>
      <c r="G74" s="44">
        <f t="shared" si="3"/>
        <v>2.720367481859088</v>
      </c>
      <c r="H74" s="44">
        <f t="shared" si="2"/>
        <v>7.197511361929634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1.4518518518518517</v>
      </c>
      <c r="C76" s="45">
        <f>SUM(H59:H61)</f>
        <v>0.1898148148148148</v>
      </c>
      <c r="D76" s="45">
        <f>SUM(I59:I61)</f>
        <v>0.20992063492063495</v>
      </c>
      <c r="E76" s="45">
        <v>0</v>
      </c>
      <c r="F76" s="45">
        <f>SUM(J59:J61)</f>
        <v>0</v>
      </c>
      <c r="G76" s="45">
        <f>SUM(K59:K61)</f>
        <v>0.14882767054190232</v>
      </c>
      <c r="H76" s="45">
        <f t="shared" si="2"/>
        <v>0.14882767054190232</v>
      </c>
    </row>
    <row r="77" spans="1:8" ht="12.75">
      <c r="A77" s="15" t="s">
        <v>168</v>
      </c>
      <c r="B77" s="44">
        <f aca="true" t="shared" si="4" ref="B77:G77">SUM(B75:B76)</f>
        <v>1.4518518518518517</v>
      </c>
      <c r="C77" s="44">
        <f t="shared" si="4"/>
        <v>0.1898148148148148</v>
      </c>
      <c r="D77" s="44">
        <f t="shared" si="4"/>
        <v>0.20992063492063495</v>
      </c>
      <c r="E77" s="44">
        <f t="shared" si="4"/>
        <v>0</v>
      </c>
      <c r="F77" s="44">
        <f t="shared" si="4"/>
        <v>0</v>
      </c>
      <c r="G77" s="44">
        <f t="shared" si="4"/>
        <v>0.14882767054190232</v>
      </c>
      <c r="H77" s="44">
        <f>F77+G77</f>
        <v>0.14882767054190232</v>
      </c>
    </row>
    <row r="78" spans="1:8" ht="12.75">
      <c r="A78" s="15" t="s">
        <v>24</v>
      </c>
      <c r="B78" s="44">
        <f>B74+B77</f>
        <v>53.48216423280422</v>
      </c>
      <c r="C78" s="44">
        <f aca="true" t="shared" si="5" ref="C78:H78">C74+C77</f>
        <v>10.586894885361552</v>
      </c>
      <c r="D78" s="44">
        <f t="shared" si="5"/>
        <v>79.05137209876544</v>
      </c>
      <c r="E78" s="44">
        <f t="shared" si="5"/>
        <v>6.928800000000001</v>
      </c>
      <c r="F78" s="44">
        <f t="shared" si="5"/>
        <v>4.477143880070546</v>
      </c>
      <c r="G78" s="44">
        <f t="shared" si="5"/>
        <v>2.8691951524009904</v>
      </c>
      <c r="H78" s="44">
        <f t="shared" si="5"/>
        <v>7.346339032471537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7-G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HGS Grading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51.999359999999996</v>
      </c>
      <c r="C85" s="43">
        <f>C69</f>
        <v>10.3932</v>
      </c>
      <c r="D85" s="43">
        <f>D69</f>
        <v>78.82344</v>
      </c>
      <c r="E85" s="43">
        <f>E69</f>
        <v>6.928800000000001</v>
      </c>
      <c r="F85" s="43">
        <f>F69</f>
        <v>4.47624</v>
      </c>
      <c r="G85" s="43"/>
      <c r="H85" s="43">
        <f>F85+G85</f>
        <v>4.47624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-0.51966</v>
      </c>
      <c r="D87" s="43">
        <f>-D86*D85</f>
        <v>-3.9411720000000003</v>
      </c>
      <c r="E87" s="43">
        <f>-E86*E85</f>
        <v>-0.3464400000000001</v>
      </c>
      <c r="F87" s="43">
        <f>-F86*F85</f>
        <v>-0.223812</v>
      </c>
      <c r="G87" s="43"/>
      <c r="H87" s="43">
        <f>F87+G87</f>
        <v>-0.223812</v>
      </c>
    </row>
    <row r="88" spans="1:8" ht="12.75">
      <c r="A88" s="15" t="s">
        <v>125</v>
      </c>
      <c r="B88" s="44">
        <f>B85+B87</f>
        <v>51.999359999999996</v>
      </c>
      <c r="C88" s="44">
        <f>C85+C87</f>
        <v>9.87354</v>
      </c>
      <c r="D88" s="44">
        <f>D85+D87</f>
        <v>74.88226800000001</v>
      </c>
      <c r="E88" s="44">
        <f>E85+E87</f>
        <v>6.58236</v>
      </c>
      <c r="F88" s="44">
        <f>F85+F87</f>
        <v>4.252428</v>
      </c>
      <c r="G88" s="44"/>
      <c r="H88" s="44">
        <f>F88+G88</f>
        <v>4.252428</v>
      </c>
    </row>
    <row r="89" spans="1:8" ht="12.75">
      <c r="A89" s="15" t="s">
        <v>127</v>
      </c>
      <c r="B89" s="45">
        <f>B70</f>
        <v>0.03095238095238095</v>
      </c>
      <c r="C89" s="45">
        <f>C70</f>
        <v>0.003880070546737213</v>
      </c>
      <c r="D89" s="45">
        <f>D70</f>
        <v>0.01801146384479718</v>
      </c>
      <c r="E89" s="45">
        <f>E70</f>
        <v>0</v>
      </c>
      <c r="F89" s="45">
        <f>F70</f>
        <v>0.0009038800705467371</v>
      </c>
      <c r="G89" s="45"/>
      <c r="H89" s="43">
        <f>F89+G89</f>
        <v>0.0009038800705467371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0.03095238095238095</v>
      </c>
      <c r="C92" s="44">
        <f>C89+C91</f>
        <v>0.003880070546737213</v>
      </c>
      <c r="D92" s="44">
        <f>D89+D91</f>
        <v>0.01801146384479718</v>
      </c>
      <c r="E92" s="44">
        <f>E89+E91</f>
        <v>0</v>
      </c>
      <c r="F92" s="44">
        <f>F89+F91</f>
        <v>0.0009038800705467371</v>
      </c>
      <c r="G92" s="44"/>
      <c r="H92" s="44">
        <f>F92+G92</f>
        <v>0.0009038800705467371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2.720367481859088</v>
      </c>
      <c r="H93" s="43">
        <f>F93+G93</f>
        <v>2.720367481859088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-0.43525879709745413</v>
      </c>
      <c r="H95" s="43">
        <f>F95+G95</f>
        <v>-0.43525879709745413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2.285108684761634</v>
      </c>
      <c r="H96" s="44">
        <f>F96+G96</f>
        <v>2.285108684761634</v>
      </c>
    </row>
    <row r="97" spans="1:8" ht="12.75">
      <c r="A97" s="15" t="s">
        <v>96</v>
      </c>
      <c r="B97" s="43"/>
      <c r="C97" s="43">
        <f>C72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52.030312380952374</v>
      </c>
      <c r="C105" s="44">
        <f t="shared" si="6"/>
        <v>9.877420070546737</v>
      </c>
      <c r="D105" s="44">
        <f t="shared" si="6"/>
        <v>74.90027946384481</v>
      </c>
      <c r="E105" s="44">
        <f t="shared" si="6"/>
        <v>6.58236</v>
      </c>
      <c r="F105" s="44">
        <f t="shared" si="6"/>
        <v>4.253331880070546</v>
      </c>
      <c r="G105" s="44">
        <f t="shared" si="6"/>
        <v>2.285108684761634</v>
      </c>
      <c r="H105" s="44">
        <f>H88+H96+H100+H104</f>
        <v>6.537536684761634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>B76</f>
        <v>1.4518518518518517</v>
      </c>
      <c r="C110" s="44">
        <f aca="true" t="shared" si="7" ref="C110:H110">C76</f>
        <v>0.1898148148148148</v>
      </c>
      <c r="D110" s="44">
        <f t="shared" si="7"/>
        <v>0.20992063492063495</v>
      </c>
      <c r="E110" s="44">
        <f t="shared" si="7"/>
        <v>0</v>
      </c>
      <c r="F110" s="44">
        <f t="shared" si="7"/>
        <v>0</v>
      </c>
      <c r="G110" s="44">
        <f t="shared" si="7"/>
        <v>0.14882767054190232</v>
      </c>
      <c r="H110" s="44">
        <f t="shared" si="7"/>
        <v>0.14882767054190232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1.4518518518518517</v>
      </c>
      <c r="C113" s="44">
        <f t="shared" si="9"/>
        <v>0.1898148148148148</v>
      </c>
      <c r="D113" s="44">
        <f t="shared" si="9"/>
        <v>0.20992063492063495</v>
      </c>
      <c r="E113" s="44">
        <f t="shared" si="9"/>
        <v>0</v>
      </c>
      <c r="F113" s="44">
        <f t="shared" si="9"/>
        <v>0</v>
      </c>
      <c r="G113" s="44">
        <f t="shared" si="9"/>
        <v>0.14882767054190232</v>
      </c>
      <c r="H113" s="44">
        <f>F113+G113</f>
        <v>0.14882767054190232</v>
      </c>
    </row>
    <row r="114" spans="1:8" ht="12.75">
      <c r="A114" s="15" t="s">
        <v>168</v>
      </c>
      <c r="B114" s="44">
        <f>B113+B109</f>
        <v>1.4518518518518517</v>
      </c>
      <c r="C114" s="44">
        <f aca="true" t="shared" si="10" ref="C114:H114">C113+C109</f>
        <v>0.1898148148148148</v>
      </c>
      <c r="D114" s="44">
        <f t="shared" si="10"/>
        <v>0.20992063492063495</v>
      </c>
      <c r="E114" s="44">
        <f t="shared" si="10"/>
        <v>0</v>
      </c>
      <c r="F114" s="44">
        <f t="shared" si="10"/>
        <v>0</v>
      </c>
      <c r="G114" s="44">
        <f t="shared" si="10"/>
        <v>0.14882767054190232</v>
      </c>
      <c r="H114" s="44">
        <f t="shared" si="10"/>
        <v>0.14882767054190232</v>
      </c>
    </row>
    <row r="115" spans="1:8" ht="12.75">
      <c r="A115" s="15" t="s">
        <v>24</v>
      </c>
      <c r="B115" s="44">
        <f>B105+B114</f>
        <v>53.48216423280422</v>
      </c>
      <c r="C115" s="44">
        <f aca="true" t="shared" si="11" ref="C115:H115">C105+C114</f>
        <v>10.067234885361552</v>
      </c>
      <c r="D115" s="44">
        <f t="shared" si="11"/>
        <v>75.11020009876545</v>
      </c>
      <c r="E115" s="44">
        <f t="shared" si="11"/>
        <v>6.58236</v>
      </c>
      <c r="F115" s="44">
        <f t="shared" si="11"/>
        <v>4.253331880070546</v>
      </c>
      <c r="G115" s="44">
        <f t="shared" si="11"/>
        <v>2.4339363553035365</v>
      </c>
      <c r="H115" s="44">
        <f t="shared" si="11"/>
        <v>6.686364355303537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40:F40"/>
    <mergeCell ref="A26:D26"/>
    <mergeCell ref="A27:D27"/>
    <mergeCell ref="A3:L3"/>
    <mergeCell ref="A4:L4"/>
    <mergeCell ref="A39:F39"/>
    <mergeCell ref="A45:G45"/>
    <mergeCell ref="A46:G46"/>
    <mergeCell ref="A67:H67"/>
    <mergeCell ref="A82:H82"/>
    <mergeCell ref="A83:H83"/>
    <mergeCell ref="A51:L51"/>
    <mergeCell ref="A52:L52"/>
    <mergeCell ref="A66:H66"/>
  </mergeCells>
  <printOptions horizontalCentered="1"/>
  <pageMargins left="0.75" right="0.75" top="1" bottom="1" header="0.5" footer="0.5"/>
  <pageSetup fitToHeight="20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/>
  <dimension ref="A1:T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8515625" style="0" bestFit="1" customWidth="1"/>
    <col min="2" max="2" width="27.7109375" style="0" bestFit="1" customWidth="1"/>
    <col min="5" max="5" width="9.140625" style="1" customWidth="1"/>
    <col min="9" max="19" width="9.140625" style="0" hidden="1" customWidth="1"/>
    <col min="20" max="20" width="0" style="0" hidden="1" customWidth="1"/>
  </cols>
  <sheetData>
    <row r="1" spans="1:8" ht="12.75">
      <c r="A1" s="87" t="s">
        <v>251</v>
      </c>
      <c r="B1" s="87"/>
      <c r="C1" s="87"/>
      <c r="D1" s="87"/>
      <c r="E1" s="87"/>
      <c r="F1" s="87"/>
      <c r="G1" s="87"/>
      <c r="H1" s="87"/>
    </row>
    <row r="2" spans="1:20" ht="15">
      <c r="A2" s="85" t="s">
        <v>279</v>
      </c>
      <c r="B2" s="85"/>
      <c r="C2" s="85"/>
      <c r="D2" s="85"/>
      <c r="E2" s="85"/>
      <c r="F2" s="85"/>
      <c r="G2" s="85"/>
      <c r="H2" s="85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3"/>
    </row>
    <row r="3" spans="1:20" ht="12.75">
      <c r="A3" s="5"/>
      <c r="B3" s="5"/>
      <c r="C3" s="5"/>
      <c r="D3" s="5"/>
      <c r="E3" s="6"/>
      <c r="F3" s="5"/>
      <c r="G3" s="91" t="s">
        <v>9</v>
      </c>
      <c r="H3" s="91"/>
      <c r="I3" s="91" t="s">
        <v>137</v>
      </c>
      <c r="J3" s="91"/>
      <c r="K3" s="91"/>
      <c r="L3" s="91"/>
      <c r="M3" s="91"/>
      <c r="N3" s="91"/>
      <c r="O3" s="91" t="s">
        <v>18</v>
      </c>
      <c r="P3" s="91"/>
      <c r="Q3" s="91" t="s">
        <v>19</v>
      </c>
      <c r="R3" s="91"/>
      <c r="S3" s="91"/>
      <c r="T3" s="91"/>
    </row>
    <row r="4" spans="1:20" ht="42">
      <c r="A4" s="7"/>
      <c r="B4" s="7"/>
      <c r="C4" s="7"/>
      <c r="D4" s="7"/>
      <c r="E4" s="8"/>
      <c r="F4" s="7"/>
      <c r="G4" s="3" t="s">
        <v>10</v>
      </c>
      <c r="H4" s="3" t="s">
        <v>138</v>
      </c>
      <c r="I4" s="3" t="s">
        <v>10</v>
      </c>
      <c r="J4" s="3" t="s">
        <v>138</v>
      </c>
      <c r="K4" s="3" t="s">
        <v>13</v>
      </c>
      <c r="L4" s="3" t="s">
        <v>15</v>
      </c>
      <c r="M4" s="3" t="s">
        <v>14</v>
      </c>
      <c r="N4" s="3" t="s">
        <v>16</v>
      </c>
      <c r="O4" s="3" t="s">
        <v>10</v>
      </c>
      <c r="P4" s="3" t="s">
        <v>138</v>
      </c>
      <c r="Q4" s="3" t="s">
        <v>10</v>
      </c>
      <c r="R4" s="3" t="s">
        <v>20</v>
      </c>
      <c r="S4" s="3" t="s">
        <v>21</v>
      </c>
      <c r="T4" s="3" t="s">
        <v>22</v>
      </c>
    </row>
    <row r="5" spans="1:20" ht="42">
      <c r="A5" s="9" t="s">
        <v>0</v>
      </c>
      <c r="B5" s="9" t="s">
        <v>2</v>
      </c>
      <c r="C5" s="9" t="s">
        <v>223</v>
      </c>
      <c r="D5" s="9" t="s">
        <v>1</v>
      </c>
      <c r="E5" s="10" t="s">
        <v>122</v>
      </c>
      <c r="F5" s="9" t="s">
        <v>8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12</v>
      </c>
      <c r="L5" s="3" t="s">
        <v>17</v>
      </c>
      <c r="M5" s="3" t="s">
        <v>11</v>
      </c>
      <c r="N5" s="3" t="s">
        <v>17</v>
      </c>
      <c r="O5" s="3" t="s">
        <v>11</v>
      </c>
      <c r="P5" s="3" t="s">
        <v>12</v>
      </c>
      <c r="Q5" s="3" t="s">
        <v>11</v>
      </c>
      <c r="R5" s="3" t="s">
        <v>11</v>
      </c>
      <c r="S5" s="3" t="s">
        <v>11</v>
      </c>
      <c r="T5" s="3" t="s">
        <v>11</v>
      </c>
    </row>
    <row r="6" spans="1:20" ht="12.75">
      <c r="A6" s="4" t="s">
        <v>104</v>
      </c>
      <c r="B6" s="4" t="s">
        <v>6</v>
      </c>
      <c r="C6" s="2">
        <v>5</v>
      </c>
      <c r="D6" s="2"/>
      <c r="E6" s="11"/>
      <c r="F6" s="2">
        <v>15</v>
      </c>
      <c r="G6" s="12">
        <v>5.44</v>
      </c>
      <c r="H6" s="12">
        <v>40.34</v>
      </c>
      <c r="I6" s="12">
        <v>0.58</v>
      </c>
      <c r="J6" s="12">
        <v>4.9</v>
      </c>
      <c r="K6" s="12">
        <v>0.34</v>
      </c>
      <c r="L6" s="12">
        <v>0.08</v>
      </c>
      <c r="M6" s="11">
        <v>0.229</v>
      </c>
      <c r="N6" s="12">
        <v>0.42</v>
      </c>
      <c r="O6" s="12">
        <v>1.33</v>
      </c>
      <c r="P6" s="12">
        <v>2.96</v>
      </c>
      <c r="Q6" s="12">
        <v>0</v>
      </c>
      <c r="R6" s="12"/>
      <c r="S6" s="12">
        <v>0.01</v>
      </c>
      <c r="T6" s="12">
        <f>0.016*453.6*(E6/2)^0.65*(C6/3)^1.5</f>
        <v>0</v>
      </c>
    </row>
    <row r="7" spans="1:20" ht="12.75">
      <c r="A7" s="4" t="s">
        <v>52</v>
      </c>
      <c r="B7" s="4" t="s">
        <v>5</v>
      </c>
      <c r="C7" s="2">
        <v>15</v>
      </c>
      <c r="D7" s="2"/>
      <c r="E7" s="11"/>
      <c r="F7" s="2">
        <v>15</v>
      </c>
      <c r="G7" s="12">
        <v>14.04</v>
      </c>
      <c r="H7" s="12">
        <v>0</v>
      </c>
      <c r="I7" s="12">
        <v>1.76</v>
      </c>
      <c r="J7" s="12">
        <v>0</v>
      </c>
      <c r="K7" s="12">
        <v>0</v>
      </c>
      <c r="L7" s="12">
        <v>0</v>
      </c>
      <c r="M7" s="11">
        <v>0</v>
      </c>
      <c r="N7" s="12">
        <v>0</v>
      </c>
      <c r="O7" s="12">
        <v>8.17</v>
      </c>
      <c r="P7" s="12">
        <v>0</v>
      </c>
      <c r="Q7" s="12">
        <v>0.41</v>
      </c>
      <c r="R7" s="12"/>
      <c r="S7" s="12">
        <v>0.01</v>
      </c>
      <c r="T7" s="12">
        <f aca="true" t="shared" si="0" ref="T7:T13">0.016*453.6*(E7/2)^0.65*(C7/3)^1.5</f>
        <v>0</v>
      </c>
    </row>
    <row r="8" spans="1:20" ht="12.75">
      <c r="A8" s="4" t="s">
        <v>130</v>
      </c>
      <c r="B8" s="4" t="s">
        <v>4</v>
      </c>
      <c r="C8" s="2">
        <v>40</v>
      </c>
      <c r="D8" s="2"/>
      <c r="E8" s="11"/>
      <c r="F8" s="2">
        <v>15</v>
      </c>
      <c r="G8" s="12">
        <v>16.72</v>
      </c>
      <c r="H8" s="12">
        <v>0</v>
      </c>
      <c r="I8" s="12">
        <v>2.2</v>
      </c>
      <c r="J8" s="12">
        <v>0</v>
      </c>
      <c r="K8" s="12">
        <v>0</v>
      </c>
      <c r="L8" s="12">
        <v>0</v>
      </c>
      <c r="M8" s="11">
        <v>0</v>
      </c>
      <c r="N8" s="12">
        <v>0</v>
      </c>
      <c r="O8" s="12">
        <v>11.25</v>
      </c>
      <c r="P8" s="12">
        <v>0</v>
      </c>
      <c r="Q8" s="12">
        <v>0.59</v>
      </c>
      <c r="R8" s="12"/>
      <c r="S8" s="12">
        <v>0.01</v>
      </c>
      <c r="T8" s="12">
        <f t="shared" si="0"/>
        <v>0</v>
      </c>
    </row>
    <row r="9" spans="1:20" ht="12.75">
      <c r="A9" s="4" t="s">
        <v>118</v>
      </c>
      <c r="B9" s="4" t="s">
        <v>4</v>
      </c>
      <c r="C9" s="2">
        <v>40</v>
      </c>
      <c r="D9" s="2"/>
      <c r="E9" s="11"/>
      <c r="F9" s="2">
        <v>5</v>
      </c>
      <c r="G9" s="12">
        <v>33.6</v>
      </c>
      <c r="H9" s="12">
        <v>0</v>
      </c>
      <c r="I9" s="12">
        <v>3.49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15.78</v>
      </c>
      <c r="P9" s="12">
        <v>0</v>
      </c>
      <c r="Q9" s="12">
        <v>0.59</v>
      </c>
      <c r="R9" s="12"/>
      <c r="S9" s="12">
        <v>0.01</v>
      </c>
      <c r="T9" s="12">
        <f t="shared" si="0"/>
        <v>0</v>
      </c>
    </row>
    <row r="10" spans="1:20" ht="12.75">
      <c r="A10" s="4" t="s">
        <v>116</v>
      </c>
      <c r="B10" s="4" t="s">
        <v>4</v>
      </c>
      <c r="C10" s="2">
        <v>40</v>
      </c>
      <c r="D10" s="2"/>
      <c r="E10" s="11"/>
      <c r="F10" s="2">
        <v>5</v>
      </c>
      <c r="G10" s="12">
        <v>33.6</v>
      </c>
      <c r="H10" s="12">
        <v>0</v>
      </c>
      <c r="I10" s="12">
        <v>3.49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15.78</v>
      </c>
      <c r="P10" s="12">
        <v>0</v>
      </c>
      <c r="Q10" s="12">
        <v>0.59</v>
      </c>
      <c r="R10" s="12"/>
      <c r="S10" s="12">
        <v>0.01</v>
      </c>
      <c r="T10" s="12">
        <f t="shared" si="0"/>
        <v>0</v>
      </c>
    </row>
    <row r="11" spans="1:20" ht="12.75">
      <c r="A11" s="4" t="s">
        <v>105</v>
      </c>
      <c r="B11" s="4" t="s">
        <v>3</v>
      </c>
      <c r="C11" s="2">
        <v>3</v>
      </c>
      <c r="D11" s="2" t="s">
        <v>7</v>
      </c>
      <c r="E11" s="11">
        <v>0.037</v>
      </c>
      <c r="F11" s="2">
        <v>35</v>
      </c>
      <c r="G11" s="12">
        <v>3.46</v>
      </c>
      <c r="H11" s="12">
        <v>40.56</v>
      </c>
      <c r="I11" s="12">
        <v>0.24</v>
      </c>
      <c r="J11" s="12">
        <v>3.85</v>
      </c>
      <c r="K11" s="12">
        <v>0.56</v>
      </c>
      <c r="L11" s="12">
        <v>0.11</v>
      </c>
      <c r="M11" s="11">
        <v>0.038</v>
      </c>
      <c r="N11" s="12">
        <v>0.62</v>
      </c>
      <c r="O11" s="12">
        <v>0.68</v>
      </c>
      <c r="P11" s="12">
        <v>2.27</v>
      </c>
      <c r="Q11" s="12">
        <v>0</v>
      </c>
      <c r="R11" s="12">
        <v>0.01</v>
      </c>
      <c r="S11" s="12">
        <v>0.01</v>
      </c>
      <c r="T11" s="12">
        <f t="shared" si="0"/>
        <v>0.5425685946483907</v>
      </c>
    </row>
    <row r="12" spans="1:20" ht="12.75">
      <c r="A12" s="4" t="s">
        <v>129</v>
      </c>
      <c r="B12" s="4" t="s">
        <v>4</v>
      </c>
      <c r="C12" s="2">
        <v>40</v>
      </c>
      <c r="D12" s="2" t="s">
        <v>7</v>
      </c>
      <c r="E12" s="11">
        <v>0.037</v>
      </c>
      <c r="F12" s="2">
        <v>25</v>
      </c>
      <c r="G12" s="12">
        <v>9.98</v>
      </c>
      <c r="H12" s="12">
        <v>0</v>
      </c>
      <c r="I12" s="12">
        <v>1.51</v>
      </c>
      <c r="J12" s="12">
        <v>0</v>
      </c>
      <c r="K12" s="12">
        <v>0</v>
      </c>
      <c r="L12" s="12">
        <v>0</v>
      </c>
      <c r="M12" s="11">
        <v>0</v>
      </c>
      <c r="N12" s="12">
        <v>0</v>
      </c>
      <c r="O12" s="12">
        <v>9.25</v>
      </c>
      <c r="P12" s="12">
        <v>0</v>
      </c>
      <c r="Q12" s="12">
        <v>0.59</v>
      </c>
      <c r="R12" s="12">
        <v>0.04</v>
      </c>
      <c r="S12" s="12">
        <v>0.01</v>
      </c>
      <c r="T12" s="12">
        <f t="shared" si="0"/>
        <v>26.4157385140267</v>
      </c>
    </row>
    <row r="13" spans="1:20" ht="12.75">
      <c r="A13" s="4" t="s">
        <v>128</v>
      </c>
      <c r="B13" s="4" t="s">
        <v>4</v>
      </c>
      <c r="C13" s="2">
        <v>40</v>
      </c>
      <c r="D13" s="2" t="s">
        <v>7</v>
      </c>
      <c r="E13" s="11">
        <v>0.037</v>
      </c>
      <c r="F13" s="2">
        <v>25</v>
      </c>
      <c r="G13" s="12">
        <v>9.98</v>
      </c>
      <c r="H13" s="12">
        <v>0</v>
      </c>
      <c r="I13" s="12">
        <v>1.51</v>
      </c>
      <c r="J13" s="12">
        <v>0</v>
      </c>
      <c r="K13" s="12">
        <v>0</v>
      </c>
      <c r="L13" s="12">
        <v>0</v>
      </c>
      <c r="M13" s="11">
        <v>0</v>
      </c>
      <c r="N13" s="12">
        <v>0</v>
      </c>
      <c r="O13" s="12">
        <v>9.25</v>
      </c>
      <c r="P13" s="12">
        <v>0</v>
      </c>
      <c r="Q13" s="12">
        <v>0.59</v>
      </c>
      <c r="R13" s="12">
        <v>0.04</v>
      </c>
      <c r="S13" s="12">
        <v>0.01</v>
      </c>
      <c r="T13" s="12">
        <f t="shared" si="0"/>
        <v>26.4157385140267</v>
      </c>
    </row>
    <row r="14" spans="1:19" ht="12.75">
      <c r="A14" s="28"/>
      <c r="B14" s="28"/>
      <c r="C14" s="21"/>
      <c r="D14" s="22"/>
      <c r="E14" s="21"/>
      <c r="F14" s="54"/>
      <c r="G14" s="54"/>
      <c r="H14" s="54"/>
      <c r="I14" s="54"/>
      <c r="J14" s="54"/>
      <c r="K14" s="54"/>
      <c r="L14" s="22"/>
      <c r="M14" s="54"/>
      <c r="N14" s="54"/>
      <c r="O14" s="54"/>
      <c r="P14" s="54"/>
      <c r="Q14" s="54"/>
      <c r="R14" s="54"/>
      <c r="S14" s="54"/>
    </row>
    <row r="15" spans="1:19" ht="12.75">
      <c r="A15" s="29"/>
      <c r="B15" s="29"/>
      <c r="C15" s="23"/>
      <c r="D15" s="24"/>
      <c r="E15" s="23"/>
      <c r="F15" s="55"/>
      <c r="G15" s="55"/>
      <c r="H15" s="55"/>
      <c r="I15" s="55"/>
      <c r="J15" s="55"/>
      <c r="K15" s="55"/>
      <c r="L15" s="24"/>
      <c r="M15" s="55"/>
      <c r="N15" s="55"/>
      <c r="O15" s="55"/>
      <c r="P15" s="55"/>
      <c r="Q15" s="55"/>
      <c r="R15" s="55"/>
      <c r="S15" s="55"/>
    </row>
    <row r="16" spans="1:19" ht="12.75">
      <c r="A16" s="5"/>
      <c r="B16" s="91" t="s">
        <v>137</v>
      </c>
      <c r="C16" s="91"/>
      <c r="D16" s="91"/>
      <c r="E16" s="91"/>
      <c r="F16" s="91"/>
      <c r="G16" s="91"/>
      <c r="H16" s="55"/>
      <c r="I16" s="55"/>
      <c r="J16" s="55"/>
      <c r="K16" s="55"/>
      <c r="L16" s="24"/>
      <c r="M16" s="55"/>
      <c r="N16" s="55"/>
      <c r="O16" s="55"/>
      <c r="P16" s="55"/>
      <c r="Q16" s="55"/>
      <c r="R16" s="55"/>
      <c r="S16" s="55"/>
    </row>
    <row r="17" spans="1:19" ht="26.25">
      <c r="A17" s="7"/>
      <c r="B17" s="3" t="s">
        <v>10</v>
      </c>
      <c r="C17" s="3" t="s">
        <v>138</v>
      </c>
      <c r="D17" s="3" t="s">
        <v>13</v>
      </c>
      <c r="E17" s="3" t="s">
        <v>15</v>
      </c>
      <c r="F17" s="3" t="s">
        <v>14</v>
      </c>
      <c r="G17" s="3" t="s">
        <v>16</v>
      </c>
      <c r="H17" s="55"/>
      <c r="I17" s="55"/>
      <c r="J17" s="55"/>
      <c r="K17" s="55"/>
      <c r="L17" s="24"/>
      <c r="M17" s="55"/>
      <c r="N17" s="55"/>
      <c r="O17" s="55"/>
      <c r="P17" s="55"/>
      <c r="Q17" s="55"/>
      <c r="R17" s="55"/>
      <c r="S17" s="55"/>
    </row>
    <row r="18" spans="1:19" ht="12.75">
      <c r="A18" s="9" t="s">
        <v>0</v>
      </c>
      <c r="B18" s="3" t="s">
        <v>11</v>
      </c>
      <c r="C18" s="3" t="s">
        <v>12</v>
      </c>
      <c r="D18" s="3" t="s">
        <v>12</v>
      </c>
      <c r="E18" s="3" t="s">
        <v>17</v>
      </c>
      <c r="F18" s="3" t="s">
        <v>11</v>
      </c>
      <c r="G18" s="3" t="s">
        <v>17</v>
      </c>
      <c r="H18" s="55"/>
      <c r="I18" s="55"/>
      <c r="J18" s="55"/>
      <c r="K18" s="55"/>
      <c r="L18" s="24"/>
      <c r="M18" s="55"/>
      <c r="N18" s="55"/>
      <c r="O18" s="55"/>
      <c r="P18" s="55"/>
      <c r="Q18" s="55"/>
      <c r="R18" s="55"/>
      <c r="S18" s="55"/>
    </row>
    <row r="19" spans="1:19" ht="12.75">
      <c r="A19" s="4" t="s">
        <v>104</v>
      </c>
      <c r="B19" s="12">
        <v>0.58</v>
      </c>
      <c r="C19" s="12">
        <v>4.9</v>
      </c>
      <c r="D19" s="12">
        <v>0.34</v>
      </c>
      <c r="E19" s="12">
        <v>0.08</v>
      </c>
      <c r="F19" s="11">
        <v>0.229</v>
      </c>
      <c r="G19" s="12">
        <v>0.42</v>
      </c>
      <c r="H19" s="55"/>
      <c r="I19" s="55"/>
      <c r="J19" s="55"/>
      <c r="K19" s="55"/>
      <c r="L19" s="24"/>
      <c r="M19" s="55"/>
      <c r="N19" s="55"/>
      <c r="O19" s="55"/>
      <c r="P19" s="55"/>
      <c r="Q19" s="55"/>
      <c r="R19" s="55"/>
      <c r="S19" s="55"/>
    </row>
    <row r="20" spans="1:19" ht="12.75">
      <c r="A20" s="4" t="s">
        <v>52</v>
      </c>
      <c r="B20" s="12">
        <v>1.76</v>
      </c>
      <c r="C20" s="12">
        <v>0</v>
      </c>
      <c r="D20" s="12">
        <v>0</v>
      </c>
      <c r="E20" s="12">
        <v>0</v>
      </c>
      <c r="F20" s="11">
        <v>0</v>
      </c>
      <c r="G20" s="12">
        <v>0</v>
      </c>
      <c r="H20" s="55"/>
      <c r="I20" s="55"/>
      <c r="J20" s="55"/>
      <c r="K20" s="55"/>
      <c r="L20" s="24"/>
      <c r="M20" s="55"/>
      <c r="N20" s="55"/>
      <c r="O20" s="55"/>
      <c r="P20" s="55"/>
      <c r="Q20" s="55"/>
      <c r="R20" s="55"/>
      <c r="S20" s="55"/>
    </row>
    <row r="21" spans="1:19" ht="12.75">
      <c r="A21" s="4" t="s">
        <v>130</v>
      </c>
      <c r="B21" s="12">
        <v>2.2</v>
      </c>
      <c r="C21" s="12">
        <v>0</v>
      </c>
      <c r="D21" s="12">
        <v>0</v>
      </c>
      <c r="E21" s="12">
        <v>0</v>
      </c>
      <c r="F21" s="11">
        <v>0</v>
      </c>
      <c r="G21" s="12">
        <v>0</v>
      </c>
      <c r="H21" s="55"/>
      <c r="I21" s="55"/>
      <c r="J21" s="55"/>
      <c r="K21" s="55"/>
      <c r="L21" s="24"/>
      <c r="M21" s="55"/>
      <c r="N21" s="55"/>
      <c r="O21" s="55"/>
      <c r="P21" s="55"/>
      <c r="Q21" s="55"/>
      <c r="R21" s="55"/>
      <c r="S21" s="55"/>
    </row>
    <row r="22" spans="1:19" ht="12.75">
      <c r="A22" s="4" t="s">
        <v>118</v>
      </c>
      <c r="B22" s="12">
        <v>3.49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55"/>
      <c r="I22" s="55"/>
      <c r="J22" s="55"/>
      <c r="K22" s="55"/>
      <c r="L22" s="24"/>
      <c r="M22" s="55"/>
      <c r="N22" s="55"/>
      <c r="O22" s="55"/>
      <c r="P22" s="55"/>
      <c r="Q22" s="55"/>
      <c r="R22" s="55"/>
      <c r="S22" s="55"/>
    </row>
    <row r="23" spans="1:19" ht="12.75">
      <c r="A23" s="4" t="s">
        <v>116</v>
      </c>
      <c r="B23" s="12">
        <v>3.49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55"/>
      <c r="I23" s="55"/>
      <c r="J23" s="55"/>
      <c r="K23" s="55"/>
      <c r="L23" s="24"/>
      <c r="M23" s="55"/>
      <c r="N23" s="55"/>
      <c r="O23" s="55"/>
      <c r="P23" s="55"/>
      <c r="Q23" s="55"/>
      <c r="R23" s="55"/>
      <c r="S23" s="55"/>
    </row>
    <row r="24" spans="1:19" ht="12.75">
      <c r="A24" s="4" t="s">
        <v>105</v>
      </c>
      <c r="B24" s="12">
        <v>0.24</v>
      </c>
      <c r="C24" s="12">
        <v>3.85</v>
      </c>
      <c r="D24" s="12">
        <v>0.56</v>
      </c>
      <c r="E24" s="12">
        <v>0.11</v>
      </c>
      <c r="F24" s="11">
        <v>0.038</v>
      </c>
      <c r="G24" s="12">
        <v>0.62</v>
      </c>
      <c r="H24" s="55"/>
      <c r="I24" s="55"/>
      <c r="J24" s="55"/>
      <c r="K24" s="55"/>
      <c r="L24" s="24"/>
      <c r="M24" s="55"/>
      <c r="N24" s="55"/>
      <c r="O24" s="55"/>
      <c r="P24" s="55"/>
      <c r="Q24" s="55"/>
      <c r="R24" s="55"/>
      <c r="S24" s="55"/>
    </row>
    <row r="25" spans="1:19" ht="12.75">
      <c r="A25" s="4" t="s">
        <v>129</v>
      </c>
      <c r="B25" s="12">
        <v>1.51</v>
      </c>
      <c r="C25" s="12">
        <v>0</v>
      </c>
      <c r="D25" s="12">
        <v>0</v>
      </c>
      <c r="E25" s="12">
        <v>0</v>
      </c>
      <c r="F25" s="11">
        <v>0</v>
      </c>
      <c r="G25" s="12">
        <v>0</v>
      </c>
      <c r="H25" s="55"/>
      <c r="I25" s="55"/>
      <c r="J25" s="55"/>
      <c r="K25" s="55"/>
      <c r="L25" s="24"/>
      <c r="M25" s="55"/>
      <c r="N25" s="55"/>
      <c r="O25" s="55"/>
      <c r="P25" s="55"/>
      <c r="Q25" s="55"/>
      <c r="R25" s="55"/>
      <c r="S25" s="55"/>
    </row>
    <row r="26" spans="1:19" ht="12.75">
      <c r="A26" s="4" t="s">
        <v>128</v>
      </c>
      <c r="B26" s="12">
        <v>1.51</v>
      </c>
      <c r="C26" s="12">
        <v>0</v>
      </c>
      <c r="D26" s="12">
        <v>0</v>
      </c>
      <c r="E26" s="12">
        <v>0</v>
      </c>
      <c r="F26" s="11">
        <v>0</v>
      </c>
      <c r="G26" s="12">
        <v>0</v>
      </c>
      <c r="H26" s="55"/>
      <c r="I26" s="55"/>
      <c r="J26" s="55"/>
      <c r="K26" s="55"/>
      <c r="L26" s="24"/>
      <c r="M26" s="55"/>
      <c r="N26" s="55"/>
      <c r="O26" s="55"/>
      <c r="P26" s="55"/>
      <c r="Q26" s="55"/>
      <c r="R26" s="55"/>
      <c r="S26" s="55"/>
    </row>
    <row r="27" spans="1:19" ht="12.75">
      <c r="A27" s="29"/>
      <c r="B27" s="55"/>
      <c r="C27" s="55"/>
      <c r="D27" s="55"/>
      <c r="E27" s="55"/>
      <c r="F27" s="24"/>
      <c r="G27" s="55"/>
      <c r="H27" s="55"/>
      <c r="I27" s="55"/>
      <c r="J27" s="55"/>
      <c r="K27" s="55"/>
      <c r="L27" s="24"/>
      <c r="M27" s="55"/>
      <c r="N27" s="55"/>
      <c r="O27" s="55"/>
      <c r="P27" s="55"/>
      <c r="Q27" s="55"/>
      <c r="R27" s="55"/>
      <c r="S27" s="55"/>
    </row>
    <row r="28" spans="1:19" ht="12.75">
      <c r="A28" s="29"/>
      <c r="B28" s="55"/>
      <c r="C28" s="55"/>
      <c r="D28" s="55"/>
      <c r="E28" s="55"/>
      <c r="F28" s="24"/>
      <c r="G28" s="55"/>
      <c r="H28" s="55"/>
      <c r="I28" s="55"/>
      <c r="J28" s="55"/>
      <c r="K28" s="55"/>
      <c r="L28" s="24"/>
      <c r="M28" s="55"/>
      <c r="N28" s="55"/>
      <c r="O28" s="55"/>
      <c r="P28" s="55"/>
      <c r="Q28" s="55"/>
      <c r="R28" s="55"/>
      <c r="S28" s="55"/>
    </row>
    <row r="29" spans="1:19" ht="12.75">
      <c r="A29" s="86" t="str">
        <f>A1&amp;" (concluded)"</f>
        <v>Table 25 (concluded)</v>
      </c>
      <c r="B29" s="86"/>
      <c r="C29" s="86"/>
      <c r="D29" s="86"/>
      <c r="E29" s="86"/>
      <c r="F29" s="86"/>
      <c r="G29" s="86"/>
      <c r="H29" s="55"/>
      <c r="I29" s="55"/>
      <c r="J29" s="55"/>
      <c r="K29" s="55"/>
      <c r="L29" s="24"/>
      <c r="M29" s="55"/>
      <c r="N29" s="55"/>
      <c r="O29" s="55"/>
      <c r="P29" s="55"/>
      <c r="Q29" s="55"/>
      <c r="R29" s="55"/>
      <c r="S29" s="55"/>
    </row>
    <row r="30" spans="1:19" ht="15">
      <c r="A30" s="85" t="s">
        <v>279</v>
      </c>
      <c r="B30" s="85"/>
      <c r="C30" s="85"/>
      <c r="D30" s="85"/>
      <c r="E30" s="85"/>
      <c r="F30" s="85"/>
      <c r="G30" s="85"/>
      <c r="H30" s="55"/>
      <c r="I30" s="55"/>
      <c r="J30" s="55"/>
      <c r="K30" s="55"/>
      <c r="L30" s="24"/>
      <c r="M30" s="55"/>
      <c r="N30" s="55"/>
      <c r="O30" s="55"/>
      <c r="P30" s="55"/>
      <c r="Q30" s="55"/>
      <c r="R30" s="55"/>
      <c r="S30" s="55"/>
    </row>
    <row r="31" spans="1:19" ht="12.75">
      <c r="A31" s="5"/>
      <c r="B31" s="91" t="s">
        <v>18</v>
      </c>
      <c r="C31" s="91"/>
      <c r="D31" s="91" t="s">
        <v>19</v>
      </c>
      <c r="E31" s="91"/>
      <c r="F31" s="91"/>
      <c r="G31" s="91"/>
      <c r="H31" s="55"/>
      <c r="I31" s="55"/>
      <c r="J31" s="55"/>
      <c r="K31" s="55"/>
      <c r="L31" s="24"/>
      <c r="M31" s="55"/>
      <c r="N31" s="55"/>
      <c r="O31" s="55"/>
      <c r="P31" s="55"/>
      <c r="Q31" s="55"/>
      <c r="R31" s="55"/>
      <c r="S31" s="55"/>
    </row>
    <row r="32" spans="1:19" ht="42">
      <c r="A32" s="7"/>
      <c r="B32" s="3" t="s">
        <v>10</v>
      </c>
      <c r="C32" s="3" t="s">
        <v>138</v>
      </c>
      <c r="D32" s="3" t="s">
        <v>10</v>
      </c>
      <c r="E32" s="3" t="s">
        <v>20</v>
      </c>
      <c r="F32" s="3" t="s">
        <v>21</v>
      </c>
      <c r="G32" s="3" t="s">
        <v>22</v>
      </c>
      <c r="H32" s="55"/>
      <c r="I32" s="55"/>
      <c r="J32" s="55"/>
      <c r="K32" s="55"/>
      <c r="L32" s="24"/>
      <c r="M32" s="55"/>
      <c r="N32" s="55"/>
      <c r="O32" s="55"/>
      <c r="P32" s="55"/>
      <c r="Q32" s="55"/>
      <c r="R32" s="55"/>
      <c r="S32" s="55"/>
    </row>
    <row r="33" spans="1:19" ht="12.75">
      <c r="A33" s="9" t="s">
        <v>0</v>
      </c>
      <c r="B33" s="3" t="s">
        <v>11</v>
      </c>
      <c r="C33" s="3" t="s">
        <v>12</v>
      </c>
      <c r="D33" s="3" t="s">
        <v>11</v>
      </c>
      <c r="E33" s="3" t="s">
        <v>11</v>
      </c>
      <c r="F33" s="3" t="s">
        <v>11</v>
      </c>
      <c r="G33" s="3" t="s">
        <v>11</v>
      </c>
      <c r="H33" s="55"/>
      <c r="I33" s="55"/>
      <c r="J33" s="55"/>
      <c r="K33" s="55"/>
      <c r="L33" s="24"/>
      <c r="M33" s="55"/>
      <c r="N33" s="55"/>
      <c r="O33" s="55"/>
      <c r="P33" s="55"/>
      <c r="Q33" s="55"/>
      <c r="R33" s="55"/>
      <c r="S33" s="55"/>
    </row>
    <row r="34" spans="1:19" ht="12.75">
      <c r="A34" s="4" t="s">
        <v>104</v>
      </c>
      <c r="B34" s="12">
        <v>1.33</v>
      </c>
      <c r="C34" s="12">
        <v>2.96</v>
      </c>
      <c r="D34" s="12">
        <v>0</v>
      </c>
      <c r="E34" s="12"/>
      <c r="F34" s="12">
        <v>0.01</v>
      </c>
      <c r="G34" s="12">
        <f aca="true" t="shared" si="1" ref="G34:G41">T6</f>
        <v>0</v>
      </c>
      <c r="H34" s="55"/>
      <c r="I34" s="55"/>
      <c r="J34" s="55"/>
      <c r="K34" s="55"/>
      <c r="L34" s="24"/>
      <c r="M34" s="55"/>
      <c r="N34" s="55"/>
      <c r="O34" s="55"/>
      <c r="P34" s="55"/>
      <c r="Q34" s="55"/>
      <c r="R34" s="55"/>
      <c r="S34" s="55"/>
    </row>
    <row r="35" spans="1:19" ht="12.75">
      <c r="A35" s="4" t="s">
        <v>52</v>
      </c>
      <c r="B35" s="12">
        <v>8.17</v>
      </c>
      <c r="C35" s="12">
        <v>0</v>
      </c>
      <c r="D35" s="12">
        <v>0.41</v>
      </c>
      <c r="E35" s="12"/>
      <c r="F35" s="12">
        <v>0.01</v>
      </c>
      <c r="G35" s="12">
        <f t="shared" si="1"/>
        <v>0</v>
      </c>
      <c r="H35" s="55"/>
      <c r="I35" s="55"/>
      <c r="J35" s="55"/>
      <c r="K35" s="55"/>
      <c r="L35" s="24"/>
      <c r="M35" s="55"/>
      <c r="N35" s="55"/>
      <c r="O35" s="55"/>
      <c r="P35" s="55"/>
      <c r="Q35" s="55"/>
      <c r="R35" s="55"/>
      <c r="S35" s="55"/>
    </row>
    <row r="36" spans="1:19" ht="12.75">
      <c r="A36" s="4" t="s">
        <v>130</v>
      </c>
      <c r="B36" s="12">
        <v>11.25</v>
      </c>
      <c r="C36" s="12">
        <v>0</v>
      </c>
      <c r="D36" s="12">
        <v>0.59</v>
      </c>
      <c r="E36" s="12"/>
      <c r="F36" s="12">
        <v>0.01</v>
      </c>
      <c r="G36" s="12">
        <f t="shared" si="1"/>
        <v>0</v>
      </c>
      <c r="H36" s="55"/>
      <c r="I36" s="55"/>
      <c r="J36" s="55"/>
      <c r="K36" s="55"/>
      <c r="L36" s="24"/>
      <c r="M36" s="55"/>
      <c r="N36" s="55"/>
      <c r="O36" s="55"/>
      <c r="P36" s="55"/>
      <c r="Q36" s="55"/>
      <c r="R36" s="55"/>
      <c r="S36" s="55"/>
    </row>
    <row r="37" spans="1:19" ht="12.75">
      <c r="A37" s="4" t="s">
        <v>118</v>
      </c>
      <c r="B37" s="12">
        <v>15.78</v>
      </c>
      <c r="C37" s="12">
        <v>0</v>
      </c>
      <c r="D37" s="12">
        <v>0.59</v>
      </c>
      <c r="E37" s="12"/>
      <c r="F37" s="12">
        <v>0.01</v>
      </c>
      <c r="G37" s="12">
        <f t="shared" si="1"/>
        <v>0</v>
      </c>
      <c r="H37" s="55"/>
      <c r="I37" s="55"/>
      <c r="J37" s="55"/>
      <c r="K37" s="55"/>
      <c r="L37" s="24"/>
      <c r="M37" s="55"/>
      <c r="N37" s="55"/>
      <c r="O37" s="55"/>
      <c r="P37" s="55"/>
      <c r="Q37" s="55"/>
      <c r="R37" s="55"/>
      <c r="S37" s="55"/>
    </row>
    <row r="38" spans="1:19" ht="12.75">
      <c r="A38" s="4" t="s">
        <v>116</v>
      </c>
      <c r="B38" s="12">
        <v>15.78</v>
      </c>
      <c r="C38" s="12">
        <v>0</v>
      </c>
      <c r="D38" s="12">
        <v>0.59</v>
      </c>
      <c r="E38" s="12"/>
      <c r="F38" s="12">
        <v>0.01</v>
      </c>
      <c r="G38" s="12">
        <f t="shared" si="1"/>
        <v>0</v>
      </c>
      <c r="H38" s="55"/>
      <c r="I38" s="55"/>
      <c r="J38" s="55"/>
      <c r="K38" s="55"/>
      <c r="L38" s="24"/>
      <c r="M38" s="55"/>
      <c r="N38" s="55"/>
      <c r="O38" s="55"/>
      <c r="P38" s="55"/>
      <c r="Q38" s="55"/>
      <c r="R38" s="55"/>
      <c r="S38" s="55"/>
    </row>
    <row r="39" spans="1:19" ht="12.75">
      <c r="A39" s="4" t="s">
        <v>105</v>
      </c>
      <c r="B39" s="12">
        <v>0.68</v>
      </c>
      <c r="C39" s="12">
        <v>2.27</v>
      </c>
      <c r="D39" s="12">
        <v>0</v>
      </c>
      <c r="E39" s="12">
        <v>0.01</v>
      </c>
      <c r="F39" s="12">
        <v>0.01</v>
      </c>
      <c r="G39" s="12">
        <f t="shared" si="1"/>
        <v>0.5425685946483907</v>
      </c>
      <c r="H39" s="55"/>
      <c r="I39" s="55"/>
      <c r="J39" s="55"/>
      <c r="K39" s="55"/>
      <c r="L39" s="24"/>
      <c r="M39" s="55"/>
      <c r="N39" s="55"/>
      <c r="O39" s="55"/>
      <c r="P39" s="55"/>
      <c r="Q39" s="55"/>
      <c r="R39" s="55"/>
      <c r="S39" s="55"/>
    </row>
    <row r="40" spans="1:19" ht="12.75">
      <c r="A40" s="4" t="s">
        <v>129</v>
      </c>
      <c r="B40" s="12">
        <v>9.25</v>
      </c>
      <c r="C40" s="12">
        <v>0</v>
      </c>
      <c r="D40" s="12">
        <v>0.59</v>
      </c>
      <c r="E40" s="12">
        <v>0.04</v>
      </c>
      <c r="F40" s="12">
        <v>0.01</v>
      </c>
      <c r="G40" s="12">
        <f t="shared" si="1"/>
        <v>26.4157385140267</v>
      </c>
      <c r="H40" s="55"/>
      <c r="I40" s="55"/>
      <c r="J40" s="55"/>
      <c r="K40" s="55"/>
      <c r="L40" s="24"/>
      <c r="M40" s="55"/>
      <c r="N40" s="55"/>
      <c r="O40" s="55"/>
      <c r="P40" s="55"/>
      <c r="Q40" s="55"/>
      <c r="R40" s="55"/>
      <c r="S40" s="55"/>
    </row>
    <row r="41" spans="1:19" ht="12.75">
      <c r="A41" s="4" t="s">
        <v>128</v>
      </c>
      <c r="B41" s="12">
        <v>9.25</v>
      </c>
      <c r="C41" s="12">
        <v>0</v>
      </c>
      <c r="D41" s="12">
        <v>0.59</v>
      </c>
      <c r="E41" s="12">
        <v>0.04</v>
      </c>
      <c r="F41" s="12">
        <v>0.01</v>
      </c>
      <c r="G41" s="12">
        <f t="shared" si="1"/>
        <v>26.4157385140267</v>
      </c>
      <c r="H41" s="55"/>
      <c r="I41" s="55"/>
      <c r="J41" s="55"/>
      <c r="K41" s="55"/>
      <c r="L41" s="24"/>
      <c r="M41" s="55"/>
      <c r="N41" s="55"/>
      <c r="O41" s="55"/>
      <c r="P41" s="55"/>
      <c r="Q41" s="55"/>
      <c r="R41" s="55"/>
      <c r="S41" s="55"/>
    </row>
    <row r="42" spans="1:19" ht="12.75">
      <c r="A42" s="29"/>
      <c r="B42" s="29"/>
      <c r="C42" s="23"/>
      <c r="D42" s="24"/>
      <c r="E42" s="23"/>
      <c r="F42" s="55"/>
      <c r="G42" s="55"/>
      <c r="H42" s="55"/>
      <c r="I42" s="55"/>
      <c r="J42" s="55"/>
      <c r="K42" s="55"/>
      <c r="L42" s="24"/>
      <c r="M42" s="55"/>
      <c r="N42" s="55"/>
      <c r="O42" s="55"/>
      <c r="P42" s="55"/>
      <c r="Q42" s="55"/>
      <c r="R42" s="55"/>
      <c r="S42" s="55"/>
    </row>
    <row r="43" spans="1:2" ht="12.75">
      <c r="A43" s="13" t="s">
        <v>23</v>
      </c>
      <c r="B43" s="13"/>
    </row>
    <row r="44" spans="1:2" ht="12.75">
      <c r="A44" s="13" t="s">
        <v>141</v>
      </c>
      <c r="B44" s="13"/>
    </row>
    <row r="45" spans="1:2" ht="12.75">
      <c r="A45" s="39" t="s">
        <v>140</v>
      </c>
      <c r="B45" s="13"/>
    </row>
    <row r="46" spans="1:2" ht="12.75">
      <c r="A46" s="13" t="s">
        <v>121</v>
      </c>
      <c r="B46" s="13"/>
    </row>
    <row r="47" ht="12.75">
      <c r="A47" s="13" t="s">
        <v>139</v>
      </c>
    </row>
    <row r="48" ht="12.75">
      <c r="A48" s="13"/>
    </row>
  </sheetData>
  <sheetProtection/>
  <mergeCells count="11">
    <mergeCell ref="A1:H1"/>
    <mergeCell ref="I3:N3"/>
    <mergeCell ref="B31:C31"/>
    <mergeCell ref="D31:G31"/>
    <mergeCell ref="A29:G29"/>
    <mergeCell ref="A30:G30"/>
    <mergeCell ref="O3:P3"/>
    <mergeCell ref="Q3:T3"/>
    <mergeCell ref="B16:G16"/>
    <mergeCell ref="G3:H3"/>
    <mergeCell ref="A2:H2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Footer>&amp;CPage &amp;P of &amp;N&amp;R&amp;D</oddFooter>
  </headerFooter>
  <rowBreaks count="1" manualBreakCount="1"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B1">
      <selection activeCell="N17" sqref="N17"/>
    </sheetView>
  </sheetViews>
  <sheetFormatPr defaultColWidth="9.140625" defaultRowHeight="12.75"/>
  <cols>
    <col min="1" max="1" width="23.8515625" style="0" bestFit="1" customWidth="1"/>
  </cols>
  <sheetData>
    <row r="1" spans="1:14" ht="12.75">
      <c r="A1" s="87" t="s">
        <v>273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 customHeight="1">
      <c r="A2" s="93" t="s">
        <v>264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5" spans="5:14" ht="12.75" customHeight="1">
      <c r="E5" s="94" t="s">
        <v>258</v>
      </c>
      <c r="F5" s="95"/>
      <c r="G5" s="95"/>
      <c r="H5" s="96"/>
      <c r="I5" s="91" t="s">
        <v>259</v>
      </c>
      <c r="J5" s="91"/>
      <c r="K5" s="91"/>
      <c r="L5" s="91"/>
      <c r="M5" s="92" t="s">
        <v>260</v>
      </c>
      <c r="N5" s="92"/>
    </row>
    <row r="6" spans="1:14" ht="42">
      <c r="A6" s="73" t="s">
        <v>87</v>
      </c>
      <c r="B6" s="73" t="s">
        <v>281</v>
      </c>
      <c r="C6" s="73" t="s">
        <v>282</v>
      </c>
      <c r="D6" s="73" t="s">
        <v>267</v>
      </c>
      <c r="E6" s="73" t="s">
        <v>299</v>
      </c>
      <c r="F6" s="73" t="s">
        <v>261</v>
      </c>
      <c r="G6" s="73" t="s">
        <v>300</v>
      </c>
      <c r="H6" s="73" t="s">
        <v>268</v>
      </c>
      <c r="I6" s="73" t="s">
        <v>265</v>
      </c>
      <c r="J6" s="73" t="s">
        <v>266</v>
      </c>
      <c r="K6" s="73" t="s">
        <v>269</v>
      </c>
      <c r="L6" s="73" t="s">
        <v>270</v>
      </c>
      <c r="M6" s="73" t="s">
        <v>262</v>
      </c>
      <c r="N6" s="73" t="s">
        <v>263</v>
      </c>
    </row>
    <row r="7" spans="1:14" ht="12.75">
      <c r="A7" s="4" t="str">
        <f>Summaries!A25</f>
        <v>HGS Tank Demolition</v>
      </c>
      <c r="B7" s="69">
        <f>Summaries!J25</f>
        <v>1</v>
      </c>
      <c r="C7" s="69">
        <f>Summaries!K25</f>
        <v>10</v>
      </c>
      <c r="D7" s="69">
        <f aca="true" t="shared" si="0" ref="D7:D22">C7-B7+1</f>
        <v>10</v>
      </c>
      <c r="E7" s="43">
        <f>TankDemolitionHGS!L15</f>
        <v>0</v>
      </c>
      <c r="F7" s="43">
        <f>TankDemolitionHGS!L23-E7</f>
        <v>507.99760000000003</v>
      </c>
      <c r="G7" s="14">
        <f>E7*D7</f>
        <v>0</v>
      </c>
      <c r="H7" s="14">
        <f aca="true" t="shared" si="1" ref="H7:H22">D7*F7</f>
        <v>5079.976000000001</v>
      </c>
      <c r="I7" s="14">
        <f>TankDemolitionHGS!M85</f>
        <v>642</v>
      </c>
      <c r="J7" s="14">
        <f>TankDemolitionHGS!N85</f>
        <v>1055</v>
      </c>
      <c r="K7" s="14">
        <f aca="true" t="shared" si="2" ref="K7:K22">D7*I7/20</f>
        <v>321</v>
      </c>
      <c r="L7" s="14">
        <f aca="true" t="shared" si="3" ref="L7:L22">D7*J7/20</f>
        <v>527.5</v>
      </c>
      <c r="M7" s="72">
        <f>K7+G7</f>
        <v>321</v>
      </c>
      <c r="N7" s="72">
        <f aca="true" t="shared" si="4" ref="N7:N22">H7+L7</f>
        <v>5607.476000000001</v>
      </c>
    </row>
    <row r="8" spans="1:14" ht="12.75">
      <c r="A8" s="4" t="str">
        <f>Summaries!A27</f>
        <v>HGS Backfill</v>
      </c>
      <c r="B8" s="69">
        <f>Summaries!J27</f>
        <v>11</v>
      </c>
      <c r="C8" s="69">
        <f>Summaries!K27</f>
        <v>20</v>
      </c>
      <c r="D8" s="69">
        <f t="shared" si="0"/>
        <v>10</v>
      </c>
      <c r="E8" s="43">
        <f>BackfillHGS!L15</f>
        <v>0</v>
      </c>
      <c r="F8" s="43">
        <f>BackfillHGS!L23-E8</f>
        <v>681.296</v>
      </c>
      <c r="G8" s="14">
        <f aca="true" t="shared" si="5" ref="G8:G22">E8*D8</f>
        <v>0</v>
      </c>
      <c r="H8" s="14">
        <f t="shared" si="1"/>
        <v>6812.960000000001</v>
      </c>
      <c r="I8" s="14">
        <f>BackfillHGS!M62</f>
        <v>400</v>
      </c>
      <c r="J8" s="14">
        <f>BackfillHGS!N62</f>
        <v>2070</v>
      </c>
      <c r="K8" s="14">
        <f t="shared" si="2"/>
        <v>200</v>
      </c>
      <c r="L8" s="14">
        <f t="shared" si="3"/>
        <v>1035</v>
      </c>
      <c r="M8" s="72">
        <f aca="true" t="shared" si="6" ref="M8:M22">K8+G8</f>
        <v>200</v>
      </c>
      <c r="N8" s="72">
        <f t="shared" si="4"/>
        <v>7847.960000000001</v>
      </c>
    </row>
    <row r="9" spans="1:14" ht="12.75">
      <c r="A9" s="4" t="str">
        <f>Summaries!A29</f>
        <v>HGS Grading</v>
      </c>
      <c r="B9" s="69">
        <f>Summaries!J29</f>
        <v>18</v>
      </c>
      <c r="C9" s="69">
        <f>Summaries!K29</f>
        <v>20</v>
      </c>
      <c r="D9" s="69">
        <f t="shared" si="0"/>
        <v>3</v>
      </c>
      <c r="E9" s="43">
        <f>GradingHGS!L15</f>
        <v>0</v>
      </c>
      <c r="F9" s="43">
        <f>GradingHGS!L23-E9</f>
        <v>173.22000000000003</v>
      </c>
      <c r="G9" s="14">
        <f t="shared" si="5"/>
        <v>0</v>
      </c>
      <c r="H9" s="14">
        <f t="shared" si="1"/>
        <v>519.6600000000001</v>
      </c>
      <c r="I9" s="14">
        <f>GradingHGS!M62</f>
        <v>120</v>
      </c>
      <c r="J9" s="14">
        <f>GradingHGS!N62</f>
        <v>1</v>
      </c>
      <c r="K9" s="14">
        <f t="shared" si="2"/>
        <v>18</v>
      </c>
      <c r="L9" s="14">
        <f t="shared" si="3"/>
        <v>0.15</v>
      </c>
      <c r="M9" s="72">
        <f t="shared" si="6"/>
        <v>18</v>
      </c>
      <c r="N9" s="72">
        <f t="shared" si="4"/>
        <v>519.8100000000001</v>
      </c>
    </row>
    <row r="10" spans="1:14" ht="12.75">
      <c r="A10" s="4" t="str">
        <f>Summaries!A31</f>
        <v>HGS Foundations </v>
      </c>
      <c r="B10" s="69">
        <f>Summaries!J31</f>
        <v>21</v>
      </c>
      <c r="C10" s="69">
        <f>Summaries!K31</f>
        <v>28</v>
      </c>
      <c r="D10" s="69">
        <f t="shared" si="0"/>
        <v>8</v>
      </c>
      <c r="E10" s="43">
        <f>FoundationsHGS!L15</f>
        <v>29.759999999999994</v>
      </c>
      <c r="F10" s="43">
        <f>FoundationsHGS!L23-E10</f>
        <v>264.86400000000003</v>
      </c>
      <c r="G10" s="14">
        <f t="shared" si="5"/>
        <v>238.07999999999996</v>
      </c>
      <c r="H10" s="14">
        <f t="shared" si="1"/>
        <v>2118.9120000000003</v>
      </c>
      <c r="I10" s="14">
        <f>FoundationsHGS!M62</f>
        <v>10100</v>
      </c>
      <c r="J10" s="14">
        <f>FoundationsHGS!N62</f>
        <v>1353</v>
      </c>
      <c r="K10" s="14">
        <f t="shared" si="2"/>
        <v>4040</v>
      </c>
      <c r="L10" s="14">
        <f t="shared" si="3"/>
        <v>541.2</v>
      </c>
      <c r="M10" s="72">
        <f t="shared" si="6"/>
        <v>4278.08</v>
      </c>
      <c r="N10" s="72">
        <f t="shared" si="4"/>
        <v>2660.112</v>
      </c>
    </row>
    <row r="11" spans="1:14" ht="12.75">
      <c r="A11" s="4" t="str">
        <f>Summaries!A33</f>
        <v>HGS Paving</v>
      </c>
      <c r="B11" s="69">
        <f>Summaries!J33</f>
        <v>21</v>
      </c>
      <c r="C11" s="69">
        <f>Summaries!K33</f>
        <v>28</v>
      </c>
      <c r="D11" s="69">
        <f t="shared" si="0"/>
        <v>8</v>
      </c>
      <c r="E11" s="43">
        <f>PavingHGS!L15</f>
        <v>0</v>
      </c>
      <c r="F11" s="43">
        <f>PavingHGS!L23-E11</f>
        <v>144.13600000000002</v>
      </c>
      <c r="G11" s="14">
        <f t="shared" si="5"/>
        <v>0</v>
      </c>
      <c r="H11" s="14">
        <f t="shared" si="1"/>
        <v>1153.0880000000002</v>
      </c>
      <c r="I11" s="14">
        <f>PavingHGS!M62</f>
        <v>242</v>
      </c>
      <c r="J11" s="14">
        <f>PavingHGS!N62</f>
        <v>854</v>
      </c>
      <c r="K11" s="14">
        <f t="shared" si="2"/>
        <v>96.8</v>
      </c>
      <c r="L11" s="14">
        <f t="shared" si="3"/>
        <v>341.6</v>
      </c>
      <c r="M11" s="72">
        <f t="shared" si="6"/>
        <v>96.8</v>
      </c>
      <c r="N11" s="72">
        <f t="shared" si="4"/>
        <v>1494.688</v>
      </c>
    </row>
    <row r="12" spans="1:14" ht="12.75">
      <c r="A12" s="4" t="str">
        <f>Summaries!A35</f>
        <v>HGS Equipment Installation</v>
      </c>
      <c r="B12" s="69">
        <f>Summaries!J35</f>
        <v>29</v>
      </c>
      <c r="C12" s="69">
        <f>Summaries!K35</f>
        <v>150</v>
      </c>
      <c r="D12" s="69">
        <f t="shared" si="0"/>
        <v>122</v>
      </c>
      <c r="E12" s="43">
        <f>'Equipment InstallationHGS'!L16</f>
        <v>0</v>
      </c>
      <c r="F12" s="43">
        <f>'Equipment InstallationHGS'!L24-E12</f>
        <v>681.44</v>
      </c>
      <c r="G12" s="14">
        <f t="shared" si="5"/>
        <v>0</v>
      </c>
      <c r="H12" s="14">
        <f t="shared" si="1"/>
        <v>83135.68000000001</v>
      </c>
      <c r="I12" s="14">
        <f>'Equipment InstallationHGS'!M62</f>
        <v>16020</v>
      </c>
      <c r="J12" s="14">
        <f>'Equipment InstallationHGS'!N62</f>
        <v>410</v>
      </c>
      <c r="K12" s="14">
        <f t="shared" si="2"/>
        <v>97722</v>
      </c>
      <c r="L12" s="14">
        <f t="shared" si="3"/>
        <v>2501</v>
      </c>
      <c r="M12" s="72">
        <f t="shared" si="6"/>
        <v>97722</v>
      </c>
      <c r="N12" s="72">
        <f t="shared" si="4"/>
        <v>85636.68000000001</v>
      </c>
    </row>
    <row r="13" spans="1:14" ht="12.75">
      <c r="A13" s="4" t="str">
        <f>Summaries!A37</f>
        <v>SGS Slab Demolition</v>
      </c>
      <c r="B13" s="69">
        <f>Summaries!J37</f>
        <v>1</v>
      </c>
      <c r="C13" s="69">
        <f>Summaries!K37</f>
        <v>10</v>
      </c>
      <c r="D13" s="69">
        <f t="shared" si="0"/>
        <v>10</v>
      </c>
      <c r="E13" s="43">
        <f>SlabDemolitionSGS!L15</f>
        <v>0</v>
      </c>
      <c r="F13" s="43">
        <f>SlabDemolitionSGS!L23-E13</f>
        <v>123.57600000000001</v>
      </c>
      <c r="G13" s="14">
        <f t="shared" si="5"/>
        <v>0</v>
      </c>
      <c r="H13" s="14">
        <f t="shared" si="1"/>
        <v>1235.76</v>
      </c>
      <c r="I13" s="14">
        <f>SlabDemolitionSGS!M62</f>
        <v>201</v>
      </c>
      <c r="J13" s="14">
        <f>SlabDemolitionSGS!N62</f>
        <v>656</v>
      </c>
      <c r="K13" s="14">
        <f t="shared" si="2"/>
        <v>100.5</v>
      </c>
      <c r="L13" s="14">
        <f t="shared" si="3"/>
        <v>328</v>
      </c>
      <c r="M13" s="72">
        <f t="shared" si="6"/>
        <v>100.5</v>
      </c>
      <c r="N13" s="72">
        <f t="shared" si="4"/>
        <v>1563.76</v>
      </c>
    </row>
    <row r="14" spans="1:14" ht="12.75">
      <c r="A14" s="4" t="str">
        <f>Summaries!A39</f>
        <v>SGS Grading</v>
      </c>
      <c r="B14" s="69">
        <f>Summaries!J39</f>
        <v>18</v>
      </c>
      <c r="C14" s="69">
        <f>Summaries!K39</f>
        <v>20</v>
      </c>
      <c r="D14" s="69">
        <f t="shared" si="0"/>
        <v>3</v>
      </c>
      <c r="E14" s="43">
        <f>GradingSGS!L15</f>
        <v>0</v>
      </c>
      <c r="F14" s="43">
        <f>GradingSGS!L23-E14</f>
        <v>97.33200000000001</v>
      </c>
      <c r="G14" s="14">
        <f t="shared" si="5"/>
        <v>0</v>
      </c>
      <c r="H14" s="14">
        <f t="shared" si="1"/>
        <v>291.99600000000004</v>
      </c>
      <c r="I14" s="14">
        <f>GradingSGS!M62</f>
        <v>121</v>
      </c>
      <c r="J14" s="14">
        <f>GradingSGS!N62</f>
        <v>1</v>
      </c>
      <c r="K14" s="14">
        <f t="shared" si="2"/>
        <v>18.15</v>
      </c>
      <c r="L14" s="14">
        <f t="shared" si="3"/>
        <v>0.15</v>
      </c>
      <c r="M14" s="72">
        <f t="shared" si="6"/>
        <v>18.15</v>
      </c>
      <c r="N14" s="72">
        <f t="shared" si="4"/>
        <v>292.146</v>
      </c>
    </row>
    <row r="15" spans="1:14" ht="12.75">
      <c r="A15" s="4" t="str">
        <f>Summaries!A41</f>
        <v>SGS Foundations </v>
      </c>
      <c r="B15" s="69">
        <f>Summaries!J41</f>
        <v>21</v>
      </c>
      <c r="C15" s="69">
        <f>Summaries!K41</f>
        <v>28</v>
      </c>
      <c r="D15" s="69">
        <f t="shared" si="0"/>
        <v>8</v>
      </c>
      <c r="E15" s="43">
        <f>FoundationsSGS!L15</f>
        <v>2.9759999999999995</v>
      </c>
      <c r="F15" s="43">
        <f>FoundationsSGS!L23-E15</f>
        <v>41.664</v>
      </c>
      <c r="G15" s="14">
        <f t="shared" si="5"/>
        <v>23.807999999999996</v>
      </c>
      <c r="H15" s="14">
        <f t="shared" si="1"/>
        <v>333.312</v>
      </c>
      <c r="I15" s="14">
        <f>FoundationsSGS!M61</f>
        <v>530</v>
      </c>
      <c r="J15" s="14">
        <f>FoundationsSGS!N61</f>
        <v>328</v>
      </c>
      <c r="K15" s="14">
        <f t="shared" si="2"/>
        <v>212</v>
      </c>
      <c r="L15" s="14">
        <f t="shared" si="3"/>
        <v>131.2</v>
      </c>
      <c r="M15" s="72">
        <f t="shared" si="6"/>
        <v>235.808</v>
      </c>
      <c r="N15" s="72">
        <f t="shared" si="4"/>
        <v>464.512</v>
      </c>
    </row>
    <row r="16" spans="1:14" ht="12.75">
      <c r="A16" s="4" t="str">
        <f>Summaries!A43</f>
        <v>SGS Paving</v>
      </c>
      <c r="B16" s="69">
        <f>Summaries!J43</f>
        <v>21</v>
      </c>
      <c r="C16" s="69">
        <f>Summaries!K43</f>
        <v>28</v>
      </c>
      <c r="D16" s="69">
        <f t="shared" si="0"/>
        <v>8</v>
      </c>
      <c r="E16" s="43">
        <f>PavingSGS!L15</f>
        <v>0</v>
      </c>
      <c r="F16" s="43">
        <f>PavingSGS!L23-E16</f>
        <v>68.248</v>
      </c>
      <c r="G16" s="14">
        <f t="shared" si="5"/>
        <v>0</v>
      </c>
      <c r="H16" s="14">
        <f t="shared" si="1"/>
        <v>545.984</v>
      </c>
      <c r="I16" s="14">
        <f>PavingSGS!M62</f>
        <v>122</v>
      </c>
      <c r="J16" s="14">
        <f>PavingSGS!N62</f>
        <v>246</v>
      </c>
      <c r="K16" s="14">
        <f t="shared" si="2"/>
        <v>48.8</v>
      </c>
      <c r="L16" s="14">
        <f t="shared" si="3"/>
        <v>98.4</v>
      </c>
      <c r="M16" s="72">
        <f t="shared" si="6"/>
        <v>48.8</v>
      </c>
      <c r="N16" s="72">
        <f t="shared" si="4"/>
        <v>644.384</v>
      </c>
    </row>
    <row r="17" spans="1:14" ht="12.75">
      <c r="A17" s="4" t="str">
        <f>Summaries!A45</f>
        <v>SGS Equipment Installation</v>
      </c>
      <c r="B17" s="69">
        <f>Summaries!J45</f>
        <v>29</v>
      </c>
      <c r="C17" s="69">
        <f>Summaries!K45</f>
        <v>150</v>
      </c>
      <c r="D17" s="69">
        <f t="shared" si="0"/>
        <v>122</v>
      </c>
      <c r="E17" s="43">
        <f>'Equipment InstallationSGS'!L16</f>
        <v>0</v>
      </c>
      <c r="F17" s="43">
        <f>'Equipment InstallationSGS'!L24-E17</f>
        <v>259.12800000000004</v>
      </c>
      <c r="G17" s="14">
        <f t="shared" si="5"/>
        <v>0</v>
      </c>
      <c r="H17" s="14">
        <f t="shared" si="1"/>
        <v>31613.616000000005</v>
      </c>
      <c r="I17" s="14">
        <f>'Equipment InstallationSGS'!M62</f>
        <v>4005</v>
      </c>
      <c r="J17" s="14">
        <f>'Equipment InstallationSGS'!N62</f>
        <v>451</v>
      </c>
      <c r="K17" s="14">
        <f t="shared" si="2"/>
        <v>24430.5</v>
      </c>
      <c r="L17" s="14">
        <f t="shared" si="3"/>
        <v>2751.1</v>
      </c>
      <c r="M17" s="72">
        <f t="shared" si="6"/>
        <v>24430.5</v>
      </c>
      <c r="N17" s="72">
        <f t="shared" si="4"/>
        <v>34364.71600000001</v>
      </c>
    </row>
    <row r="18" spans="1:14" ht="12.75">
      <c r="A18" s="4" t="str">
        <f>Summaries!A47</f>
        <v>VGS Demolition</v>
      </c>
      <c r="B18" s="69">
        <f>Summaries!J47</f>
        <v>1</v>
      </c>
      <c r="C18" s="69">
        <f>Summaries!K47</f>
        <v>10</v>
      </c>
      <c r="D18" s="69">
        <f t="shared" si="0"/>
        <v>10</v>
      </c>
      <c r="E18" s="43">
        <f>DemolitionVGS!L15</f>
        <v>0</v>
      </c>
      <c r="F18" s="43">
        <f>DemolitionVGS!L23-E18</f>
        <v>315.3848</v>
      </c>
      <c r="G18" s="14">
        <f t="shared" si="5"/>
        <v>0</v>
      </c>
      <c r="H18" s="14">
        <f t="shared" si="1"/>
        <v>3153.848</v>
      </c>
      <c r="I18" s="14">
        <f>DemolitionVGS!M72</f>
        <v>681</v>
      </c>
      <c r="J18" s="14">
        <f>DemolitionVGS!N72</f>
        <v>412</v>
      </c>
      <c r="K18" s="14">
        <f t="shared" si="2"/>
        <v>340.5</v>
      </c>
      <c r="L18" s="14">
        <f t="shared" si="3"/>
        <v>206</v>
      </c>
      <c r="M18" s="72">
        <f t="shared" si="6"/>
        <v>340.5</v>
      </c>
      <c r="N18" s="72">
        <f t="shared" si="4"/>
        <v>3359.848</v>
      </c>
    </row>
    <row r="19" spans="1:14" ht="12.75">
      <c r="A19" s="4" t="str">
        <f>Summaries!A49</f>
        <v>VGS Grading</v>
      </c>
      <c r="B19" s="69">
        <f>Summaries!J49</f>
        <v>11</v>
      </c>
      <c r="C19" s="69">
        <f>Summaries!K49</f>
        <v>15</v>
      </c>
      <c r="D19" s="69">
        <f t="shared" si="0"/>
        <v>5</v>
      </c>
      <c r="E19" s="43">
        <f>GradingVGS!L15</f>
        <v>0</v>
      </c>
      <c r="F19" s="43">
        <f>GradingVGS!L23-E19</f>
        <v>97.33200000000001</v>
      </c>
      <c r="G19" s="14">
        <f t="shared" si="5"/>
        <v>0</v>
      </c>
      <c r="H19" s="14">
        <f t="shared" si="1"/>
        <v>486.66</v>
      </c>
      <c r="I19" s="14">
        <f>GradingVGS!M62</f>
        <v>120</v>
      </c>
      <c r="J19" s="14">
        <f>GradingVGS!N62</f>
        <v>1</v>
      </c>
      <c r="K19" s="14">
        <f t="shared" si="2"/>
        <v>30</v>
      </c>
      <c r="L19" s="14">
        <f t="shared" si="3"/>
        <v>0.25</v>
      </c>
      <c r="M19" s="72">
        <f t="shared" si="6"/>
        <v>30</v>
      </c>
      <c r="N19" s="72">
        <f t="shared" si="4"/>
        <v>486.91</v>
      </c>
    </row>
    <row r="20" spans="1:14" ht="12.75">
      <c r="A20" s="4" t="str">
        <f>Summaries!A51</f>
        <v>VGS Foundations </v>
      </c>
      <c r="B20" s="69">
        <f>Summaries!J51</f>
        <v>16</v>
      </c>
      <c r="C20" s="69">
        <f>Summaries!K51</f>
        <v>22</v>
      </c>
      <c r="D20" s="69">
        <f t="shared" si="0"/>
        <v>7</v>
      </c>
      <c r="E20" s="43">
        <f>FoundationsVGS!L15</f>
        <v>5.951999999999999</v>
      </c>
      <c r="F20" s="43">
        <f>FoundationsVGS!L23-E20-E20</f>
        <v>52.08000000000001</v>
      </c>
      <c r="G20" s="14">
        <f t="shared" si="5"/>
        <v>41.663999999999994</v>
      </c>
      <c r="H20" s="14">
        <f t="shared" si="1"/>
        <v>364.56000000000006</v>
      </c>
      <c r="I20" s="14">
        <f>FoundationsVGS!M61</f>
        <v>2006</v>
      </c>
      <c r="J20" s="14">
        <f>FoundationsVGS!N61</f>
        <v>1025</v>
      </c>
      <c r="K20" s="14">
        <f t="shared" si="2"/>
        <v>702.1</v>
      </c>
      <c r="L20" s="14">
        <f t="shared" si="3"/>
        <v>358.75</v>
      </c>
      <c r="M20" s="72">
        <f t="shared" si="6"/>
        <v>743.764</v>
      </c>
      <c r="N20" s="72">
        <f t="shared" si="4"/>
        <v>723.3100000000001</v>
      </c>
    </row>
    <row r="21" spans="1:14" ht="12.75">
      <c r="A21" s="4" t="str">
        <f>Summaries!A53</f>
        <v>VGS Paving</v>
      </c>
      <c r="B21" s="69">
        <f>Summaries!J53</f>
        <v>21</v>
      </c>
      <c r="C21" s="69">
        <f>Summaries!K53</f>
        <v>25</v>
      </c>
      <c r="D21" s="69">
        <f t="shared" si="0"/>
        <v>5</v>
      </c>
      <c r="E21" s="43">
        <f>PavingVGS!L15</f>
        <v>0</v>
      </c>
      <c r="F21" s="43">
        <f>PavingVGS!L23-E21</f>
        <v>68.248</v>
      </c>
      <c r="G21" s="14">
        <f t="shared" si="5"/>
        <v>0</v>
      </c>
      <c r="H21" s="14">
        <f t="shared" si="1"/>
        <v>341.24</v>
      </c>
      <c r="I21" s="14">
        <f>PavingVGS!M62</f>
        <v>122</v>
      </c>
      <c r="J21" s="14">
        <f>PavingVGS!N62</f>
        <v>328</v>
      </c>
      <c r="K21" s="14">
        <f t="shared" si="2"/>
        <v>30.5</v>
      </c>
      <c r="L21" s="14">
        <f t="shared" si="3"/>
        <v>82</v>
      </c>
      <c r="M21" s="72">
        <f t="shared" si="6"/>
        <v>30.5</v>
      </c>
      <c r="N21" s="72">
        <f t="shared" si="4"/>
        <v>423.24</v>
      </c>
    </row>
    <row r="22" spans="1:14" ht="12.75">
      <c r="A22" s="4" t="str">
        <f>Summaries!A55</f>
        <v>VGS Equipment Installation</v>
      </c>
      <c r="B22" s="69">
        <f>Summaries!J55</f>
        <v>29</v>
      </c>
      <c r="C22" s="69">
        <f>Summaries!K55</f>
        <v>150</v>
      </c>
      <c r="D22" s="69">
        <f t="shared" si="0"/>
        <v>122</v>
      </c>
      <c r="E22" s="43">
        <f>'Equipment InstallationVGS'!L16</f>
        <v>0</v>
      </c>
      <c r="F22" s="43">
        <f>'Equipment InstallationVGS'!L24-E22</f>
        <v>274.99600000000004</v>
      </c>
      <c r="G22" s="14">
        <f t="shared" si="5"/>
        <v>0</v>
      </c>
      <c r="H22" s="14">
        <f t="shared" si="1"/>
        <v>33549.512</v>
      </c>
      <c r="I22" s="14">
        <f>'Equipment InstallationVGS'!M62</f>
        <v>4204</v>
      </c>
      <c r="J22" s="14">
        <f>'Equipment InstallationVGS'!N62</f>
        <v>410</v>
      </c>
      <c r="K22" s="14">
        <f t="shared" si="2"/>
        <v>25644.4</v>
      </c>
      <c r="L22" s="14">
        <f t="shared" si="3"/>
        <v>2501</v>
      </c>
      <c r="M22" s="72">
        <f t="shared" si="6"/>
        <v>25644.4</v>
      </c>
      <c r="N22" s="72">
        <f t="shared" si="4"/>
        <v>36050.512</v>
      </c>
    </row>
    <row r="23" spans="1:14" ht="12.75">
      <c r="A23" s="15" t="s">
        <v>24</v>
      </c>
      <c r="B23" s="4"/>
      <c r="C23" s="4"/>
      <c r="D23" s="4"/>
      <c r="E23" s="4"/>
      <c r="F23" s="4"/>
      <c r="G23" s="72">
        <f>SUM(G7:G22)</f>
        <v>303.55199999999996</v>
      </c>
      <c r="H23" s="72">
        <f>SUM(H7:H22)</f>
        <v>170736.76400000002</v>
      </c>
      <c r="I23" s="4"/>
      <c r="J23" s="4"/>
      <c r="K23" s="72">
        <f>SUM(K7:K22)</f>
        <v>153955.25</v>
      </c>
      <c r="L23" s="72">
        <f>SUM(L7:L22)</f>
        <v>11403.3</v>
      </c>
      <c r="M23" s="72">
        <f>SUM(M7:M22)</f>
        <v>154258.802</v>
      </c>
      <c r="N23" s="72">
        <f>SUM(N7:N22)</f>
        <v>182140.064</v>
      </c>
    </row>
    <row r="24" ht="12.75">
      <c r="A24" s="13" t="s">
        <v>271</v>
      </c>
    </row>
    <row r="25" ht="12.75">
      <c r="A25" s="13" t="s">
        <v>272</v>
      </c>
    </row>
  </sheetData>
  <sheetProtection/>
  <mergeCells count="5">
    <mergeCell ref="M5:N5"/>
    <mergeCell ref="I5:L5"/>
    <mergeCell ref="A1:N1"/>
    <mergeCell ref="A2:N2"/>
    <mergeCell ref="E5:H5"/>
  </mergeCells>
  <printOptions horizontalCentered="1"/>
  <pageMargins left="0.75" right="0.75" top="1" bottom="1" header="0.5" footer="0.5"/>
  <pageSetup fitToHeight="1" fitToWidth="1" orientation="landscape" scale="86" r:id="rId1"/>
  <headerFooter alignWithMargins="0">
    <oddFooter>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1"/>
  <dimension ref="A1:AF379"/>
  <sheetViews>
    <sheetView zoomScalePageLayoutView="0" workbookViewId="0" topLeftCell="A204">
      <selection activeCell="B211" sqref="B211:H216"/>
    </sheetView>
  </sheetViews>
  <sheetFormatPr defaultColWidth="9.140625" defaultRowHeight="12.75"/>
  <cols>
    <col min="1" max="1" width="37.57421875" style="0" customWidth="1"/>
    <col min="2" max="2" width="10.28125" style="0" bestFit="1" customWidth="1"/>
    <col min="10" max="10" width="11.28125" style="0" customWidth="1"/>
    <col min="11" max="11" width="11.421875" style="0" customWidth="1"/>
  </cols>
  <sheetData>
    <row r="1" spans="1:8" ht="12.75">
      <c r="A1" s="87" t="s">
        <v>301</v>
      </c>
      <c r="B1" s="87"/>
      <c r="C1" s="87"/>
      <c r="D1" s="87"/>
      <c r="E1" s="87"/>
      <c r="F1" s="87"/>
      <c r="G1" s="87"/>
      <c r="H1" s="87"/>
    </row>
    <row r="2" spans="1:8" ht="12.75">
      <c r="A2" s="85" t="s">
        <v>302</v>
      </c>
      <c r="B2" s="85"/>
      <c r="C2" s="85"/>
      <c r="D2" s="85"/>
      <c r="E2" s="85"/>
      <c r="F2" s="85"/>
      <c r="G2" s="85"/>
      <c r="H2" s="85"/>
    </row>
    <row r="3" spans="1:8" ht="42">
      <c r="A3" s="2" t="s">
        <v>131</v>
      </c>
      <c r="B3" s="3" t="s">
        <v>193</v>
      </c>
      <c r="C3" s="3" t="s">
        <v>194</v>
      </c>
      <c r="D3" s="3" t="s">
        <v>199</v>
      </c>
      <c r="E3" s="3" t="s">
        <v>200</v>
      </c>
      <c r="F3" s="3" t="s">
        <v>208</v>
      </c>
      <c r="G3" s="3" t="s">
        <v>209</v>
      </c>
      <c r="H3" s="3" t="s">
        <v>210</v>
      </c>
    </row>
    <row r="4" spans="1:8" ht="12.75">
      <c r="A4" s="51" t="s">
        <v>94</v>
      </c>
      <c r="B4" s="43">
        <f>FoundationsHGSAltB!B69+PavingHGS!B69+FoundationsSGS!B68+PavingSGS!B69+FoundationsVGS!B68+PavingVGS!B69</f>
        <v>429.02544</v>
      </c>
      <c r="C4" s="43">
        <f>TankDemolitionHGS!C92+SlabDemolitionSGS!C69+DemolitionVGS!C79</f>
        <v>46.244928</v>
      </c>
      <c r="D4" s="43">
        <f>'Equipment InstallationHGSAltB'!D69+'Equipment InstallationSGS'!D69+'Equipment InstallationVGS'!D69</f>
        <v>577.6033600000001</v>
      </c>
      <c r="E4" s="43">
        <f>'Equipment InstallationHGSAltB'!E69+'Equipment InstallationSGS'!E69+'Equipment InstallationVGS'!E69</f>
        <v>47.44704000000001</v>
      </c>
      <c r="F4" s="43">
        <f>GradingHGS!F69+BackfillHGS!F69+GradingSGS!F69+FoundationsVGS!F68</f>
        <v>23.05704</v>
      </c>
      <c r="G4" s="43"/>
      <c r="H4" s="43">
        <f>GradingHGS!H69+BackfillHGS!H69+GradingSGS!H69+FoundationsVGS!H68</f>
        <v>23.05704</v>
      </c>
    </row>
    <row r="5" spans="1:8" ht="12.75">
      <c r="A5" s="51" t="s">
        <v>127</v>
      </c>
      <c r="B5" s="43">
        <f>FoundationsHGSAltB!B70+PavingHGS!B70+FoundationsSGS!B69+PavingSGS!B70+FoundationsVGS!B69+PavingVGS!B70</f>
        <v>13.495282186948854</v>
      </c>
      <c r="C5" s="43">
        <f>TankDemolitionHGS!C93+SlabDemolitionSGS!C70+DemolitionVGS!C80</f>
        <v>0.8339638447971781</v>
      </c>
      <c r="D5" s="43">
        <f>'Equipment InstallationHGSAltB'!D70+'Equipment InstallationSGS'!D70+'Equipment InstallationVGS'!D70</f>
        <v>1.6072089947089945</v>
      </c>
      <c r="E5" s="43">
        <f>'Equipment InstallationHGSAltB'!E70+'Equipment InstallationSGS'!E70+'Equipment InstallationVGS'!E70</f>
        <v>0</v>
      </c>
      <c r="F5" s="43">
        <f>GradingHGS!F70+BackfillHGS!F70+GradingSGS!F70+FoundationsVGS!F69</f>
        <v>0.11743827160493826</v>
      </c>
      <c r="G5" s="43"/>
      <c r="H5" s="43">
        <f>GradingHGS!H70+BackfillHGS!H70+GradingSGS!H70+FoundationsVGS!H69</f>
        <v>0.11743827160493826</v>
      </c>
    </row>
    <row r="6" spans="1:8" ht="12.75">
      <c r="A6" s="51" t="s">
        <v>95</v>
      </c>
      <c r="B6" s="43"/>
      <c r="C6" s="43"/>
      <c r="D6" s="43"/>
      <c r="E6" s="43"/>
      <c r="F6" s="43"/>
      <c r="G6" s="43">
        <f>GradingHGS!G71+BackfillHGS!G71+GradingSGS!G71+FoundationsVGS!G70</f>
        <v>108.91979721550221</v>
      </c>
      <c r="H6" s="43">
        <f>GradingHGS!H71+BackfillHGS!H71+GradingSGS!H71+FoundationsVGS!H70</f>
        <v>108.91979721550221</v>
      </c>
    </row>
    <row r="7" spans="1:8" ht="12.75">
      <c r="A7" s="51" t="s">
        <v>96</v>
      </c>
      <c r="B7" s="43"/>
      <c r="C7" s="43">
        <f>TankDemolitionHGS!C95+SlabDemolitionSGS!C72+DemolitionVGS!C82</f>
        <v>0</v>
      </c>
      <c r="D7" s="43"/>
      <c r="E7" s="43"/>
      <c r="F7" s="43"/>
      <c r="G7" s="43"/>
      <c r="H7" s="43">
        <f>GradingHGS!H72+BackfillHGS!H72+GradingSGS!H72+FoundationsVGS!H71</f>
        <v>0</v>
      </c>
    </row>
    <row r="8" spans="1:8" ht="12.75">
      <c r="A8" s="51" t="s">
        <v>97</v>
      </c>
      <c r="B8" s="43"/>
      <c r="C8" s="43">
        <f>TankDemolitionHGS!C96+SlabDemolitionSGS!C73+DemolitionVGS!C83</f>
        <v>0</v>
      </c>
      <c r="D8" s="43"/>
      <c r="E8" s="43"/>
      <c r="F8" s="43"/>
      <c r="G8" s="43"/>
      <c r="H8" s="43">
        <f>GradingHGS!H73+BackfillHGS!H73+GradingSGS!H73+FoundationsVGS!H72</f>
        <v>0</v>
      </c>
    </row>
    <row r="9" spans="1:8" ht="12.75">
      <c r="A9" s="51" t="s">
        <v>189</v>
      </c>
      <c r="B9" s="43"/>
      <c r="C9" s="43">
        <f>TankDemolitionHGS!C97+DemolitionVGS!C84</f>
        <v>269.6319576176397</v>
      </c>
      <c r="D9" s="43"/>
      <c r="E9" s="43"/>
      <c r="F9" s="43"/>
      <c r="G9" s="43"/>
      <c r="H9" s="43"/>
    </row>
    <row r="10" spans="1:8" ht="12.75">
      <c r="A10" s="15" t="s">
        <v>98</v>
      </c>
      <c r="B10" s="44">
        <f aca="true" t="shared" si="0" ref="B10:H10">SUM(B4:B9)</f>
        <v>442.52072218694883</v>
      </c>
      <c r="C10" s="44">
        <f t="shared" si="0"/>
        <v>316.7108494624369</v>
      </c>
      <c r="D10" s="44">
        <f t="shared" si="0"/>
        <v>579.2105689947091</v>
      </c>
      <c r="E10" s="44">
        <f t="shared" si="0"/>
        <v>47.44704000000001</v>
      </c>
      <c r="F10" s="44">
        <f t="shared" si="0"/>
        <v>23.17447827160494</v>
      </c>
      <c r="G10" s="44">
        <f t="shared" si="0"/>
        <v>108.91979721550221</v>
      </c>
      <c r="H10" s="44">
        <f t="shared" si="0"/>
        <v>132.09427548710715</v>
      </c>
    </row>
    <row r="11" spans="1:8" ht="12.75">
      <c r="A11" s="51" t="s">
        <v>167</v>
      </c>
      <c r="B11" s="45"/>
      <c r="C11" s="45"/>
      <c r="D11" s="45"/>
      <c r="E11" s="45"/>
      <c r="F11" s="45"/>
      <c r="G11" s="45">
        <f>GradingHGS!G75+BackfillHGS!G75+GradingSGS!G75+FoundationsVGS!G74</f>
        <v>80.13363569128998</v>
      </c>
      <c r="H11" s="45">
        <f>F11+G11</f>
        <v>80.13363569128998</v>
      </c>
    </row>
    <row r="12" spans="1:8" ht="12.75">
      <c r="A12" s="51" t="s">
        <v>99</v>
      </c>
      <c r="B12" s="43">
        <f>FoundationsHGSAltB!B77+PavingHGS!B77+FoundationsSGS!B76+PavingSGS!B77+FoundationsVGS!B76+PavingVGS!B77</f>
        <v>258.2698412698412</v>
      </c>
      <c r="C12" s="45">
        <f>TankDemolitionHGS!C100+SlabDemolitionSGS!C76+DemolitionVGS!C88</f>
        <v>9.328483245149911</v>
      </c>
      <c r="D12" s="43">
        <f>'Equipment InstallationHGSAltB'!D77+'Equipment InstallationSGS'!D77+'Equipment InstallationVGS'!D77</f>
        <v>67.13077601410934</v>
      </c>
      <c r="E12" s="43">
        <f>'Equipment InstallationHGSAltB'!E77+'Equipment InstallationSGS'!E77+'Equipment InstallationVGS'!E77</f>
        <v>0</v>
      </c>
      <c r="F12" s="45">
        <f>GradingHGS!F76+BackfillHGS!F76+GradingSGS!F76+FoundationsVGS!F75</f>
        <v>3.902116402116402</v>
      </c>
      <c r="G12" s="45">
        <f>GradingHGS!G76+BackfillHGS!G76+GradingSGS!G76+FoundationsVGS!G75</f>
        <v>178.31216188701904</v>
      </c>
      <c r="H12" s="45">
        <f>F12+G12</f>
        <v>182.21427828913545</v>
      </c>
    </row>
    <row r="13" spans="1:8" ht="12.75">
      <c r="A13" s="15" t="s">
        <v>168</v>
      </c>
      <c r="B13" s="44">
        <f aca="true" t="shared" si="1" ref="B13:G13">SUM(B11:B12)</f>
        <v>258.2698412698412</v>
      </c>
      <c r="C13" s="44">
        <f t="shared" si="1"/>
        <v>9.328483245149911</v>
      </c>
      <c r="D13" s="44">
        <f t="shared" si="1"/>
        <v>67.13077601410934</v>
      </c>
      <c r="E13" s="44">
        <f t="shared" si="1"/>
        <v>0</v>
      </c>
      <c r="F13" s="44">
        <f t="shared" si="1"/>
        <v>3.902116402116402</v>
      </c>
      <c r="G13" s="44">
        <f t="shared" si="1"/>
        <v>258.445797578309</v>
      </c>
      <c r="H13" s="44">
        <f>F13+G13</f>
        <v>262.3479139804254</v>
      </c>
    </row>
    <row r="14" spans="1:8" ht="12.75">
      <c r="A14" s="15" t="s">
        <v>24</v>
      </c>
      <c r="B14" s="44">
        <f aca="true" t="shared" si="2" ref="B14:H14">B10+B13</f>
        <v>700.7905634567901</v>
      </c>
      <c r="C14" s="44">
        <f t="shared" si="2"/>
        <v>326.0393327075868</v>
      </c>
      <c r="D14" s="44">
        <f t="shared" si="2"/>
        <v>646.3413450088184</v>
      </c>
      <c r="E14" s="44">
        <f t="shared" si="2"/>
        <v>47.44704000000001</v>
      </c>
      <c r="F14" s="44">
        <f t="shared" si="2"/>
        <v>27.076594673721342</v>
      </c>
      <c r="G14" s="44">
        <f t="shared" si="2"/>
        <v>367.3655947938112</v>
      </c>
      <c r="H14" s="44">
        <f t="shared" si="2"/>
        <v>394.44218946753256</v>
      </c>
    </row>
    <row r="15" spans="1:8" ht="12.75">
      <c r="A15" s="68" t="s">
        <v>252</v>
      </c>
      <c r="B15" s="70">
        <v>550</v>
      </c>
      <c r="C15" s="70">
        <v>75</v>
      </c>
      <c r="D15" s="70">
        <v>100</v>
      </c>
      <c r="E15" s="70">
        <v>150</v>
      </c>
      <c r="F15" s="70"/>
      <c r="G15" s="70"/>
      <c r="H15" s="70">
        <v>150</v>
      </c>
    </row>
    <row r="16" spans="1:8" ht="12.75">
      <c r="A16" s="51" t="s">
        <v>253</v>
      </c>
      <c r="B16" s="44" t="str">
        <f>IF(B14&gt;B15,"Yes","No")</f>
        <v>Yes</v>
      </c>
      <c r="C16" s="44" t="str">
        <f>IF(C14&gt;C15,"Yes","No")</f>
        <v>Yes</v>
      </c>
      <c r="D16" s="44" t="str">
        <f>IF(D14&gt;D15,"Yes","No")</f>
        <v>Yes</v>
      </c>
      <c r="E16" s="45" t="str">
        <f>IF(E14&gt;E15,"Yes","No")</f>
        <v>No</v>
      </c>
      <c r="F16" s="44"/>
      <c r="G16" s="44"/>
      <c r="H16" s="44" t="str">
        <f>IF(H14&gt;H15,"Yes","No")</f>
        <v>Yes</v>
      </c>
    </row>
    <row r="17" ht="12.75">
      <c r="A17" s="39" t="s">
        <v>132</v>
      </c>
    </row>
    <row r="18" ht="12.75">
      <c r="A18" s="39" t="s">
        <v>365</v>
      </c>
    </row>
    <row r="19" ht="13.5">
      <c r="A19" s="39" t="s">
        <v>371</v>
      </c>
    </row>
    <row r="22" spans="1:11" ht="12.75">
      <c r="A22" s="87" t="s">
        <v>309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>
      <c r="A23" s="85" t="s">
        <v>303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32" ht="39">
      <c r="A24" s="27" t="s">
        <v>87</v>
      </c>
      <c r="B24" s="2" t="s">
        <v>101</v>
      </c>
      <c r="C24" s="3" t="s">
        <v>39</v>
      </c>
      <c r="D24" s="3" t="s">
        <v>126</v>
      </c>
      <c r="E24" s="3" t="s">
        <v>37</v>
      </c>
      <c r="F24" s="3" t="s">
        <v>38</v>
      </c>
      <c r="G24" s="3" t="s">
        <v>40</v>
      </c>
      <c r="H24" s="3" t="s">
        <v>41</v>
      </c>
      <c r="I24" s="3" t="s">
        <v>42</v>
      </c>
      <c r="J24" s="3" t="s">
        <v>274</v>
      </c>
      <c r="K24" s="75" t="s">
        <v>275</v>
      </c>
      <c r="L24" s="81"/>
      <c r="M24" s="77"/>
      <c r="N24" s="29"/>
      <c r="O24" s="78"/>
      <c r="P24" s="7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2.75">
      <c r="A25" s="5" t="str">
        <f>+TankDemolitionHGS!A$1</f>
        <v>HGS Tank Demolition</v>
      </c>
      <c r="B25" s="74" t="s">
        <v>111</v>
      </c>
      <c r="C25" s="42">
        <f>TankDemolitionHGS!B$98</f>
        <v>131.8359452275132</v>
      </c>
      <c r="D25" s="42">
        <f>TankDemolitionHGS!C$98</f>
        <v>292.9318887967147</v>
      </c>
      <c r="E25" s="42">
        <f>TankDemolitionHGS!D$98</f>
        <v>238.04909526631394</v>
      </c>
      <c r="F25" s="42">
        <f>TankDemolitionHGS!E$98</f>
        <v>20.319903999999998</v>
      </c>
      <c r="G25" s="42">
        <f>TankDemolitionHGS!F$98</f>
        <v>13.93300493121693</v>
      </c>
      <c r="H25" s="42">
        <f>TankDemolitionHGS!G$98</f>
        <v>15.962114231331839</v>
      </c>
      <c r="I25" s="42">
        <f>TankDemolitionHGS!H$98</f>
        <v>29.895119162548767</v>
      </c>
      <c r="J25" s="14">
        <v>1</v>
      </c>
      <c r="K25" s="76">
        <v>10</v>
      </c>
      <c r="L25" s="82"/>
      <c r="M25" s="79"/>
      <c r="N25" s="79"/>
      <c r="O25" s="80"/>
      <c r="P25" s="80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2.75">
      <c r="A26" s="56"/>
      <c r="B26" s="74" t="s">
        <v>112</v>
      </c>
      <c r="C26" s="42">
        <f>TankDemolitionHGS!B$101</f>
        <v>30.625044091710755</v>
      </c>
      <c r="D26" s="42">
        <f>TankDemolitionHGS!C$101</f>
        <v>4.474426807760141</v>
      </c>
      <c r="E26" s="42">
        <f>TankDemolitionHGS!D$101</f>
        <v>22.32768959435626</v>
      </c>
      <c r="F26" s="42">
        <f>TankDemolitionHGS!E$101</f>
        <v>0</v>
      </c>
      <c r="G26" s="42">
        <f>TankDemolitionHGS!F$101</f>
        <v>1.3527336860670194</v>
      </c>
      <c r="H26" s="42">
        <f>TankDemolitionHGS!G$101</f>
        <v>103.14306188919466</v>
      </c>
      <c r="I26" s="42">
        <f>TankDemolitionHGS!H$101</f>
        <v>104.49579557526168</v>
      </c>
      <c r="J26" s="14">
        <v>1</v>
      </c>
      <c r="K26" s="76">
        <v>10</v>
      </c>
      <c r="L26" s="82"/>
      <c r="M26" s="79"/>
      <c r="N26" s="79"/>
      <c r="O26" s="80"/>
      <c r="P26" s="80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2.75">
      <c r="A27" s="5" t="str">
        <f>+BackfillHGS!A$1</f>
        <v>HGS Backfill</v>
      </c>
      <c r="B27" s="74" t="s">
        <v>111</v>
      </c>
      <c r="C27" s="42">
        <f>BackfillHGS!B$74</f>
        <v>151.92707132275132</v>
      </c>
      <c r="D27" s="42">
        <f>BackfillHGS!C$74</f>
        <v>32.61926158730159</v>
      </c>
      <c r="E27" s="42">
        <f>BackfillHGS!D$74</f>
        <v>302.86940726631394</v>
      </c>
      <c r="F27" s="42">
        <f>BackfillHGS!E$74</f>
        <v>27.25184</v>
      </c>
      <c r="G27" s="42">
        <f>BackfillHGS!F$74</f>
        <v>14.720872874779541</v>
      </c>
      <c r="H27" s="42">
        <f>BackfillHGS!G$74</f>
        <v>93.15574416571152</v>
      </c>
      <c r="I27" s="42">
        <f>BackfillHGS!H$74</f>
        <v>107.87661704049107</v>
      </c>
      <c r="J27" s="14">
        <v>11</v>
      </c>
      <c r="K27" s="76">
        <v>20</v>
      </c>
      <c r="L27" s="82"/>
      <c r="M27" s="79"/>
      <c r="N27" s="79"/>
      <c r="O27" s="80"/>
      <c r="P27" s="80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2.75">
      <c r="A28" s="56"/>
      <c r="B28" s="74" t="s">
        <v>112</v>
      </c>
      <c r="C28" s="42">
        <f>BackfillHGS!B$77</f>
        <v>48.84303350970018</v>
      </c>
      <c r="D28" s="42">
        <f>BackfillHGS!C$77</f>
        <v>7.290564373897706</v>
      </c>
      <c r="E28" s="42">
        <f>BackfillHGS!D$77</f>
        <v>41.48456790123456</v>
      </c>
      <c r="F28" s="42">
        <f>BackfillHGS!E$77</f>
        <v>0</v>
      </c>
      <c r="G28" s="42">
        <f>BackfillHGS!F$77</f>
        <v>2.6014109347442678</v>
      </c>
      <c r="H28" s="42">
        <f>BackfillHGS!G$77</f>
        <v>197.32169668316112</v>
      </c>
      <c r="I28" s="42">
        <f>BackfillHGS!H$77</f>
        <v>199.9231076179054</v>
      </c>
      <c r="J28" s="14">
        <v>11</v>
      </c>
      <c r="K28" s="76">
        <v>20</v>
      </c>
      <c r="L28" s="82"/>
      <c r="M28" s="79"/>
      <c r="N28" s="79"/>
      <c r="O28" s="80"/>
      <c r="P28" s="80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2.75">
      <c r="A29" s="5" t="str">
        <f>+GradingHGS!A$1</f>
        <v>HGS Grading</v>
      </c>
      <c r="B29" s="74" t="s">
        <v>111</v>
      </c>
      <c r="C29" s="42">
        <f>GradingHGS!B$74</f>
        <v>52.030312380952374</v>
      </c>
      <c r="D29" s="42">
        <f>GradingHGS!C$74</f>
        <v>10.397080070546737</v>
      </c>
      <c r="E29" s="42">
        <f>GradingHGS!D$74</f>
        <v>78.8414514638448</v>
      </c>
      <c r="F29" s="42">
        <f>GradingHGS!E$74</f>
        <v>6.928800000000001</v>
      </c>
      <c r="G29" s="42">
        <f>GradingHGS!F$74</f>
        <v>4.477143880070546</v>
      </c>
      <c r="H29" s="42">
        <f>GradingHGS!G$74</f>
        <v>2.720367481859088</v>
      </c>
      <c r="I29" s="42">
        <f>GradingHGS!H$74</f>
        <v>7.197511361929634</v>
      </c>
      <c r="J29" s="14">
        <v>18</v>
      </c>
      <c r="K29" s="76">
        <v>20</v>
      </c>
      <c r="L29" s="82"/>
      <c r="M29" s="79"/>
      <c r="N29" s="79"/>
      <c r="O29" s="80"/>
      <c r="P29" s="80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2.75">
      <c r="A30" s="56"/>
      <c r="B30" s="74" t="s">
        <v>112</v>
      </c>
      <c r="C30" s="42">
        <f>GradingHGS!B$77</f>
        <v>1.4518518518518517</v>
      </c>
      <c r="D30" s="42">
        <f>GradingHGS!C$77</f>
        <v>0.1898148148148148</v>
      </c>
      <c r="E30" s="42">
        <f>GradingHGS!D$77</f>
        <v>0.20992063492063495</v>
      </c>
      <c r="F30" s="42">
        <f>GradingHGS!E$77</f>
        <v>0</v>
      </c>
      <c r="G30" s="42">
        <f>GradingHGS!F$77</f>
        <v>0</v>
      </c>
      <c r="H30" s="42">
        <f>GradingHGS!G$77</f>
        <v>0.14882767054190232</v>
      </c>
      <c r="I30" s="42">
        <f>GradingHGS!H$77</f>
        <v>0.14882767054190232</v>
      </c>
      <c r="J30" s="14">
        <v>18</v>
      </c>
      <c r="K30" s="76">
        <v>20</v>
      </c>
      <c r="L30" s="82"/>
      <c r="M30" s="79"/>
      <c r="N30" s="79"/>
      <c r="O30" s="80"/>
      <c r="P30" s="80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2.75">
      <c r="A31" s="5" t="str">
        <f>+FoundationsHGS!A$1</f>
        <v>HGS Foundations </v>
      </c>
      <c r="B31" s="74" t="s">
        <v>111</v>
      </c>
      <c r="C31" s="42">
        <f>FoundationsHGSAltB!B74</f>
        <v>275.18985820105814</v>
      </c>
      <c r="D31" s="42">
        <f>FoundationsHGSAltB!C74</f>
        <v>24.72052934744268</v>
      </c>
      <c r="E31" s="42">
        <f>FoundationsHGSAltB!D74</f>
        <v>139.6944086772487</v>
      </c>
      <c r="F31" s="42">
        <f>FoundationsHGSAltB!E74</f>
        <v>11.38568</v>
      </c>
      <c r="G31" s="42">
        <f>FoundationsHGSAltB!F74</f>
        <v>8.49352328042328</v>
      </c>
      <c r="H31" s="42">
        <f>FoundationsHGSAltB!G74</f>
        <v>40.00718810152328</v>
      </c>
      <c r="I31" s="42">
        <f>FoundationsHGSAltB!H74</f>
        <v>48.500711381946566</v>
      </c>
      <c r="J31" s="14">
        <v>21</v>
      </c>
      <c r="K31" s="76">
        <v>28</v>
      </c>
      <c r="L31" s="82"/>
      <c r="M31" s="79"/>
      <c r="N31" s="79"/>
      <c r="O31" s="80"/>
      <c r="P31" s="80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2.75">
      <c r="A32" s="56"/>
      <c r="B32" s="74" t="s">
        <v>112</v>
      </c>
      <c r="C32" s="42">
        <f>FoundationsHGSAltB!B77</f>
        <v>162.12874779541445</v>
      </c>
      <c r="D32" s="42">
        <f>FoundationsHGSAltB!C77</f>
        <v>21.793871252204582</v>
      </c>
      <c r="E32" s="42">
        <f>FoundationsHGSAltB!D77</f>
        <v>46.160714285714285</v>
      </c>
      <c r="F32" s="42">
        <f>FoundationsHGSAltB!E77</f>
        <v>0</v>
      </c>
      <c r="G32" s="42">
        <f>FoundationsHGSAltB!F77</f>
        <v>1.7169312169312168</v>
      </c>
      <c r="H32" s="42">
        <f>FoundationsHGSAltB!G77</f>
        <v>90.65923584578381</v>
      </c>
      <c r="I32" s="42">
        <f>FoundationsHGSAltB!H77</f>
        <v>92.37616706271503</v>
      </c>
      <c r="J32" s="14">
        <v>21</v>
      </c>
      <c r="K32" s="76">
        <v>28</v>
      </c>
      <c r="L32" s="82"/>
      <c r="M32" s="79"/>
      <c r="N32" s="79"/>
      <c r="O32" s="80"/>
      <c r="P32" s="80"/>
      <c r="Q32" s="67"/>
      <c r="R32" s="29"/>
      <c r="S32" s="23"/>
      <c r="T32" s="67"/>
      <c r="U32" s="67"/>
      <c r="V32" s="67"/>
      <c r="W32" s="67"/>
      <c r="X32" s="67"/>
      <c r="Y32" s="67"/>
      <c r="Z32" s="67"/>
      <c r="AA32" s="80"/>
      <c r="AB32" s="80"/>
      <c r="AC32" s="79"/>
      <c r="AD32" s="29"/>
      <c r="AE32" s="29"/>
      <c r="AF32" s="29"/>
    </row>
    <row r="33" spans="1:32" ht="12.75">
      <c r="A33" s="5" t="str">
        <f>+PavingHGS!A$1</f>
        <v>HGS Paving</v>
      </c>
      <c r="B33" s="74" t="s">
        <v>111</v>
      </c>
      <c r="C33" s="42">
        <f>PavingHGS!B$74</f>
        <v>47.72576888888889</v>
      </c>
      <c r="D33" s="42">
        <f>PavingHGS!C$74</f>
        <v>9.670684329169621</v>
      </c>
      <c r="E33" s="42">
        <f>PavingHGS!D$74</f>
        <v>68.83219238095238</v>
      </c>
      <c r="F33" s="42">
        <f>PavingHGS!E$74</f>
        <v>5.76544</v>
      </c>
      <c r="G33" s="42">
        <f>PavingHGS!F$74</f>
        <v>3.9127698765432095</v>
      </c>
      <c r="H33" s="42">
        <f>PavingHGS!G$74</f>
        <v>5.156307070129659</v>
      </c>
      <c r="I33" s="42">
        <f>PavingHGS!H$74</f>
        <v>9.069076946672869</v>
      </c>
      <c r="J33" s="14">
        <v>21</v>
      </c>
      <c r="K33" s="76">
        <v>28</v>
      </c>
      <c r="L33" s="82"/>
      <c r="M33" s="79"/>
      <c r="N33" s="79"/>
      <c r="O33" s="80"/>
      <c r="P33" s="80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2.75">
      <c r="A34" s="56"/>
      <c r="B34" s="74" t="s">
        <v>112</v>
      </c>
      <c r="C34" s="42">
        <f>PavingHGS!B$77</f>
        <v>21.385185185185186</v>
      </c>
      <c r="D34" s="42">
        <f>PavingHGS!C$77</f>
        <v>3.175925925925926</v>
      </c>
      <c r="E34" s="42">
        <f>PavingHGS!D$77</f>
        <v>17.5494708994709</v>
      </c>
      <c r="F34" s="42">
        <f>PavingHGS!E$77</f>
        <v>0</v>
      </c>
      <c r="G34" s="42">
        <f>PavingHGS!F$77</f>
        <v>1.0925925925925926</v>
      </c>
      <c r="H34" s="42">
        <f>PavingHGS!G$77</f>
        <v>49.308282218911025</v>
      </c>
      <c r="I34" s="42">
        <f>PavingHGS!H$77</f>
        <v>50.40087481150362</v>
      </c>
      <c r="J34" s="14">
        <v>21</v>
      </c>
      <c r="K34" s="76">
        <v>28</v>
      </c>
      <c r="L34" s="82"/>
      <c r="M34" s="79"/>
      <c r="N34" s="79"/>
      <c r="O34" s="80"/>
      <c r="P34" s="80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5" t="str">
        <f>+'Equipment InstallationHGS'!A$1</f>
        <v>HGS Equipment Installation</v>
      </c>
      <c r="B35" s="74" t="s">
        <v>111</v>
      </c>
      <c r="C35" s="42">
        <f>'Equipment InstallationHGSAltB'!B74</f>
        <v>171.1685588712522</v>
      </c>
      <c r="D35" s="42">
        <f>'Equipment InstallationHGSAltB'!C74</f>
        <v>74.19136649029983</v>
      </c>
      <c r="E35" s="42">
        <f>'Equipment InstallationHGSAltB'!D74</f>
        <v>328.60578850088183</v>
      </c>
      <c r="F35" s="42">
        <f>'Equipment InstallationHGSAltB'!E74</f>
        <v>26.082080000000005</v>
      </c>
      <c r="G35" s="42">
        <f>'Equipment InstallationHGSAltB'!F74</f>
        <v>18.96132705467372</v>
      </c>
      <c r="H35" s="42">
        <f>'Equipment InstallationHGSAltB'!G74</f>
        <v>17.540037890480015</v>
      </c>
      <c r="I35" s="42">
        <f>'Equipment InstallationHGSAltB'!H74</f>
        <v>36.50136494515374</v>
      </c>
      <c r="J35" s="14">
        <v>29</v>
      </c>
      <c r="K35" s="76">
        <v>150</v>
      </c>
      <c r="L35" s="82"/>
      <c r="M35" s="79"/>
      <c r="N35" s="79"/>
      <c r="O35" s="80"/>
      <c r="P35" s="80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2.75">
      <c r="A36" s="56"/>
      <c r="B36" s="74" t="s">
        <v>112</v>
      </c>
      <c r="C36" s="42">
        <f>'Equipment InstallationHGSAltB'!B77</f>
        <v>198.9932980599647</v>
      </c>
      <c r="D36" s="42">
        <f>'Equipment InstallationHGSAltB'!C77</f>
        <v>26.197310405643737</v>
      </c>
      <c r="E36" s="42">
        <f>'Equipment InstallationHGSAltB'!D77</f>
        <v>35.656569664902996</v>
      </c>
      <c r="F36" s="42">
        <f>'Equipment InstallationHGSAltB'!E77</f>
        <v>0</v>
      </c>
      <c r="G36" s="42">
        <f>'Equipment InstallationHGSAltB'!F77</f>
        <v>0.5202821869488536</v>
      </c>
      <c r="H36" s="42">
        <f>'Equipment InstallationHGSAltB'!G77</f>
        <v>42.834818592335495</v>
      </c>
      <c r="I36" s="42">
        <f>'Equipment InstallationHGSAltB'!H77</f>
        <v>43.35510077928435</v>
      </c>
      <c r="J36" s="14">
        <v>29</v>
      </c>
      <c r="K36" s="76">
        <v>150</v>
      </c>
      <c r="L36" s="82"/>
      <c r="M36" s="79"/>
      <c r="N36" s="79"/>
      <c r="O36" s="80"/>
      <c r="P36" s="80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2.75">
      <c r="A37" s="5" t="str">
        <f>SlabDemolitionSGS!A$1</f>
        <v>SGS Slab Demolition</v>
      </c>
      <c r="B37" s="74" t="s">
        <v>111</v>
      </c>
      <c r="C37" s="42">
        <f>SlabDemolitionSGS!B$74</f>
        <v>40.55226793650794</v>
      </c>
      <c r="D37" s="42">
        <f>SlabDemolitionSGS!C$74</f>
        <v>7.384035361552028</v>
      </c>
      <c r="E37" s="42">
        <f>SlabDemolitionSGS!D$74</f>
        <v>54.87344158730159</v>
      </c>
      <c r="F37" s="42">
        <f>SlabDemolitionSGS!E$74</f>
        <v>4.94304</v>
      </c>
      <c r="G37" s="42">
        <f>SlabDemolitionSGS!F$74</f>
        <v>2.745291287477954</v>
      </c>
      <c r="H37" s="42">
        <f>SlabDemolitionSGS!G$74</f>
        <v>5.767812861078884</v>
      </c>
      <c r="I37" s="42">
        <f>SlabDemolitionSGS!H$74</f>
        <v>8.513104148556838</v>
      </c>
      <c r="J37" s="14">
        <v>1</v>
      </c>
      <c r="K37" s="76">
        <v>10</v>
      </c>
      <c r="L37" s="82"/>
      <c r="M37" s="79"/>
      <c r="N37" s="79"/>
      <c r="O37" s="80"/>
      <c r="P37" s="80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2.75">
      <c r="A38" s="56"/>
      <c r="B38" s="74" t="s">
        <v>112</v>
      </c>
      <c r="C38" s="42">
        <f>SlabDemolitionSGS!B$77</f>
        <v>16.500881834215168</v>
      </c>
      <c r="D38" s="42">
        <f>SlabDemolitionSGS!C$77</f>
        <v>2.446869488536155</v>
      </c>
      <c r="E38" s="42">
        <f>SlabDemolitionSGS!D$77</f>
        <v>13.401014109347441</v>
      </c>
      <c r="F38" s="42">
        <f>SlabDemolitionSGS!E$77</f>
        <v>0</v>
      </c>
      <c r="G38" s="42">
        <f>SlabDemolitionSGS!F$77</f>
        <v>0.8324514991181656</v>
      </c>
      <c r="H38" s="42">
        <f>SlabDemolitionSGS!G$77</f>
        <v>63.2322395409367</v>
      </c>
      <c r="I38" s="42">
        <f>SlabDemolitionSGS!H$77</f>
        <v>64.06469104005487</v>
      </c>
      <c r="J38" s="14">
        <v>1</v>
      </c>
      <c r="K38" s="76">
        <v>10</v>
      </c>
      <c r="L38" s="82"/>
      <c r="M38" s="79"/>
      <c r="N38" s="79"/>
      <c r="O38" s="80"/>
      <c r="P38" s="80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2.75">
      <c r="A39" s="5" t="str">
        <f>GradingSGS!A$1</f>
        <v>SGS Grading</v>
      </c>
      <c r="B39" s="74" t="s">
        <v>111</v>
      </c>
      <c r="C39" s="42">
        <f>GradingSGS!B$74</f>
        <v>22.042837248677248</v>
      </c>
      <c r="D39" s="42">
        <f>GradingSGS!C$74</f>
        <v>5.905019206349206</v>
      </c>
      <c r="E39" s="42">
        <f>GradingSGS!D$74</f>
        <v>42.44424585537919</v>
      </c>
      <c r="F39" s="42">
        <f>GradingSGS!E$74</f>
        <v>3.89328</v>
      </c>
      <c r="G39" s="42">
        <f>GradingSGS!F$74</f>
        <v>2.200503880070547</v>
      </c>
      <c r="H39" s="42">
        <f>GradingSGS!G$74</f>
        <v>3.650305930902733</v>
      </c>
      <c r="I39" s="42">
        <f>GradingSGS!H$74</f>
        <v>5.85080981097328</v>
      </c>
      <c r="J39" s="14">
        <v>18</v>
      </c>
      <c r="K39" s="76">
        <v>20</v>
      </c>
      <c r="L39" s="82"/>
      <c r="M39" s="79"/>
      <c r="N39" s="79"/>
      <c r="O39" s="80"/>
      <c r="P39" s="80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2.75">
      <c r="A40" s="56"/>
      <c r="B40" s="74" t="s">
        <v>112</v>
      </c>
      <c r="C40" s="42">
        <f>GradingSGS!B$77</f>
        <v>1.4518518518518517</v>
      </c>
      <c r="D40" s="42">
        <f>GradingSGS!C$77</f>
        <v>0.1898148148148148</v>
      </c>
      <c r="E40" s="42">
        <f>GradingSGS!D$77</f>
        <v>0.20992063492063495</v>
      </c>
      <c r="F40" s="42">
        <f>GradingSGS!E$77</f>
        <v>0</v>
      </c>
      <c r="G40" s="42">
        <f>GradingSGS!F$77</f>
        <v>0</v>
      </c>
      <c r="H40" s="42">
        <f>GradingSGS!G$77</f>
        <v>0.14882767054190232</v>
      </c>
      <c r="I40" s="42">
        <f>GradingSGS!H$77</f>
        <v>0.14882767054190232</v>
      </c>
      <c r="J40" s="14">
        <v>18</v>
      </c>
      <c r="K40" s="76">
        <v>20</v>
      </c>
      <c r="L40" s="82"/>
      <c r="M40" s="79"/>
      <c r="N40" s="79"/>
      <c r="O40" s="80"/>
      <c r="P40" s="8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2.75">
      <c r="A41" s="5" t="str">
        <f>FoundationsSGS!A$1</f>
        <v>SGS Foundations </v>
      </c>
      <c r="B41" s="74" t="s">
        <v>111</v>
      </c>
      <c r="C41" s="42">
        <f>FoundationsSGS!B$73</f>
        <v>31.603055026455028</v>
      </c>
      <c r="D41" s="42">
        <f>FoundationsSGS!C$73</f>
        <v>3.2240066666666665</v>
      </c>
      <c r="E41" s="42">
        <f>FoundationsSGS!D$73</f>
        <v>20.58567343915344</v>
      </c>
      <c r="F41" s="42">
        <f>FoundationsSGS!E$73</f>
        <v>1.67896</v>
      </c>
      <c r="G41" s="42">
        <f>FoundationsSGS!F$73</f>
        <v>1.261565643738977</v>
      </c>
      <c r="H41" s="42">
        <f>FoundationsSGS!G$73</f>
        <v>5.428471079891953</v>
      </c>
      <c r="I41" s="42">
        <f>FoundationsSGS!H$73</f>
        <v>6.6900367236309295</v>
      </c>
      <c r="J41" s="14">
        <v>21</v>
      </c>
      <c r="K41" s="76">
        <v>28</v>
      </c>
      <c r="L41" s="82"/>
      <c r="M41" s="79"/>
      <c r="N41" s="79"/>
      <c r="O41" s="80"/>
      <c r="P41" s="80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2.75">
      <c r="A42" s="56"/>
      <c r="B42" s="74" t="s">
        <v>112</v>
      </c>
      <c r="C42" s="42">
        <f>FoundationsSGS!B$76</f>
        <v>13.331922398589064</v>
      </c>
      <c r="D42" s="42">
        <f>FoundationsSGS!C$76</f>
        <v>1.8877865961199294</v>
      </c>
      <c r="E42" s="42">
        <f>FoundationsSGS!D$76</f>
        <v>7.435229276895943</v>
      </c>
      <c r="F42" s="42">
        <f>FoundationsSGS!E$76</f>
        <v>0</v>
      </c>
      <c r="G42" s="42">
        <f>FoundationsSGS!F$76</f>
        <v>0.4162257495590828</v>
      </c>
      <c r="H42" s="42">
        <f>FoundationsSGS!G$76</f>
        <v>19.315634906758614</v>
      </c>
      <c r="I42" s="42">
        <f>FoundationsSGS!H$76</f>
        <v>19.731860656317696</v>
      </c>
      <c r="J42" s="14">
        <v>21</v>
      </c>
      <c r="K42" s="76">
        <v>28</v>
      </c>
      <c r="L42" s="82"/>
      <c r="M42" s="79"/>
      <c r="N42" s="79"/>
      <c r="O42" s="80"/>
      <c r="P42" s="8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2.75">
      <c r="A43" s="5" t="str">
        <f>PavingSGS!A$1</f>
        <v>SGS Paving</v>
      </c>
      <c r="B43" s="74" t="s">
        <v>111</v>
      </c>
      <c r="C43" s="42">
        <f>PavingSGS!B$74</f>
        <v>16.777976296296295</v>
      </c>
      <c r="D43" s="42">
        <f>PavingSGS!C$74</f>
        <v>2.5303883834251533</v>
      </c>
      <c r="E43" s="42">
        <f>PavingSGS!D$74</f>
        <v>32.1276455026455</v>
      </c>
      <c r="F43" s="42">
        <f>PavingSGS!E$74</f>
        <v>2.72992</v>
      </c>
      <c r="G43" s="42">
        <f>PavingSGS!F$74</f>
        <v>1.6257242328042325</v>
      </c>
      <c r="H43" s="42">
        <f>PavingSGS!G$74</f>
        <v>2.726090440785618</v>
      </c>
      <c r="I43" s="42">
        <f>PavingSGS!H$74</f>
        <v>4.351814673589851</v>
      </c>
      <c r="J43" s="14">
        <v>21</v>
      </c>
      <c r="K43" s="76">
        <v>28</v>
      </c>
      <c r="L43" s="82"/>
      <c r="M43" s="79"/>
      <c r="N43" s="79"/>
      <c r="O43" s="80"/>
      <c r="P43" s="80"/>
      <c r="Q43" s="67"/>
      <c r="R43" s="67"/>
      <c r="S43" s="67"/>
      <c r="T43" s="67"/>
      <c r="U43" s="67"/>
      <c r="V43" s="67"/>
      <c r="W43" s="67"/>
      <c r="X43" s="80"/>
      <c r="Y43" s="80"/>
      <c r="Z43" s="57"/>
      <c r="AA43" s="57"/>
      <c r="AB43" s="79"/>
      <c r="AC43" s="79"/>
      <c r="AD43" s="29"/>
      <c r="AE43" s="29"/>
      <c r="AF43" s="29"/>
    </row>
    <row r="44" spans="1:32" ht="12.75">
      <c r="A44" s="56"/>
      <c r="B44" s="74" t="s">
        <v>112</v>
      </c>
      <c r="C44" s="42">
        <f>PavingSGS!B$77</f>
        <v>6.732275132275133</v>
      </c>
      <c r="D44" s="42">
        <f>PavingSGS!C$77</f>
        <v>0.9887566137566136</v>
      </c>
      <c r="E44" s="42">
        <f>PavingSGS!D$77</f>
        <v>5.104100529100529</v>
      </c>
      <c r="F44" s="42">
        <f>PavingSGS!E$77</f>
        <v>0</v>
      </c>
      <c r="G44" s="42">
        <f>PavingSGS!F$77</f>
        <v>0.31216931216931215</v>
      </c>
      <c r="H44" s="42">
        <f>PavingSGS!G$77</f>
        <v>14.151863921349678</v>
      </c>
      <c r="I44" s="42">
        <f>PavingSGS!H$77</f>
        <v>14.46403323351899</v>
      </c>
      <c r="J44" s="14">
        <v>21</v>
      </c>
      <c r="K44" s="76">
        <v>28</v>
      </c>
      <c r="L44" s="82"/>
      <c r="M44" s="79"/>
      <c r="N44" s="79"/>
      <c r="O44" s="80"/>
      <c r="P44" s="80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>
      <c r="A45" s="5" t="str">
        <f>'Equipment InstallationSGS'!A$1</f>
        <v>SGS Equipment Installation</v>
      </c>
      <c r="B45" s="74" t="s">
        <v>111</v>
      </c>
      <c r="C45" s="42">
        <f>'Equipment InstallationSGS'!B$74</f>
        <v>64.06863915343915</v>
      </c>
      <c r="D45" s="42">
        <f>'Equipment InstallationSGS'!C$74</f>
        <v>48.85808971781305</v>
      </c>
      <c r="E45" s="42">
        <f>'Equipment InstallationSGS'!D$74</f>
        <v>119.92384391534392</v>
      </c>
      <c r="F45" s="42">
        <f>'Equipment InstallationSGS'!E$74</f>
        <v>10.365120000000001</v>
      </c>
      <c r="G45" s="42">
        <f>'Equipment InstallationSGS'!F$74</f>
        <v>6.747987760141093</v>
      </c>
      <c r="H45" s="42">
        <f>'Equipment InstallationSGS'!G$74</f>
        <v>7.270891719966053</v>
      </c>
      <c r="I45" s="42">
        <f>'Equipment InstallationSGS'!H$74</f>
        <v>14.018879480107145</v>
      </c>
      <c r="J45" s="14">
        <v>29</v>
      </c>
      <c r="K45" s="76">
        <v>150</v>
      </c>
      <c r="L45" s="82"/>
      <c r="M45" s="79"/>
      <c r="N45" s="79"/>
      <c r="O45" s="80"/>
      <c r="P45" s="80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56"/>
      <c r="B46" s="74" t="s">
        <v>112</v>
      </c>
      <c r="C46" s="42">
        <f>'Equipment InstallationSGS'!B$77</f>
        <v>58.075837742504405</v>
      </c>
      <c r="D46" s="42">
        <f>'Equipment InstallationSGS'!C$77</f>
        <v>7.791887125220459</v>
      </c>
      <c r="E46" s="42">
        <f>'Equipment InstallationSGS'!D$77</f>
        <v>15.970017636684302</v>
      </c>
      <c r="F46" s="42">
        <f>'Equipment InstallationSGS'!E$77</f>
        <v>0</v>
      </c>
      <c r="G46" s="42">
        <f>'Equipment InstallationSGS'!F$77</f>
        <v>0.572310405643739</v>
      </c>
      <c r="H46" s="42">
        <f>'Equipment InstallationSGS'!G$77</f>
        <v>31.133155477877672</v>
      </c>
      <c r="I46" s="42">
        <f>'Equipment InstallationSGS'!H$77</f>
        <v>31.705465883521413</v>
      </c>
      <c r="J46" s="14">
        <v>29</v>
      </c>
      <c r="K46" s="76">
        <v>150</v>
      </c>
      <c r="L46" s="82"/>
      <c r="M46" s="79"/>
      <c r="N46" s="79"/>
      <c r="O46" s="80"/>
      <c r="P46" s="80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75">
      <c r="A47" s="5" t="str">
        <f>DemolitionVGS!A$1</f>
        <v>VGS Demolition</v>
      </c>
      <c r="B47" s="74" t="s">
        <v>111</v>
      </c>
      <c r="C47" s="42">
        <f>DemolitionVGS!B$85</f>
        <v>84.01033402469135</v>
      </c>
      <c r="D47" s="42">
        <f>DemolitionVGS!C$85</f>
        <v>16.39492530417014</v>
      </c>
      <c r="E47" s="42">
        <f>DemolitionVGS!D$85</f>
        <v>143.24048505820105</v>
      </c>
      <c r="F47" s="42">
        <f>DemolitionVGS!E$85</f>
        <v>12.615391999999998</v>
      </c>
      <c r="G47" s="42">
        <f>DemolitionVGS!F$85</f>
        <v>7.947512465608465</v>
      </c>
      <c r="H47" s="42">
        <f>DemolitionVGS!G$85</f>
        <v>4.856481625074871</v>
      </c>
      <c r="I47" s="42">
        <f>DemolitionVGS!H$85</f>
        <v>12.803994090683336</v>
      </c>
      <c r="J47" s="14">
        <v>1</v>
      </c>
      <c r="K47" s="76">
        <v>10</v>
      </c>
      <c r="L47" s="82"/>
      <c r="M47" s="79"/>
      <c r="N47" s="79"/>
      <c r="O47" s="80"/>
      <c r="P47" s="80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2.75">
      <c r="A48" s="56"/>
      <c r="B48" s="74" t="s">
        <v>112</v>
      </c>
      <c r="C48" s="42">
        <f>DemolitionVGS!B$88</f>
        <v>17.027865961199293</v>
      </c>
      <c r="D48" s="42">
        <f>DemolitionVGS!C$88</f>
        <v>2.4071869488536155</v>
      </c>
      <c r="E48" s="42">
        <f>DemolitionVGS!D$88</f>
        <v>9.346516754850088</v>
      </c>
      <c r="F48" s="42">
        <f>DemolitionVGS!E$88</f>
        <v>0</v>
      </c>
      <c r="G48" s="42">
        <f>DemolitionVGS!F$88</f>
        <v>0.5202821869488536</v>
      </c>
      <c r="H48" s="42">
        <f>DemolitionVGS!G$88</f>
        <v>40.20847768934174</v>
      </c>
      <c r="I48" s="42">
        <f>DemolitionVGS!H$88</f>
        <v>40.728759876290596</v>
      </c>
      <c r="J48" s="14">
        <v>1</v>
      </c>
      <c r="K48" s="76">
        <v>10</v>
      </c>
      <c r="L48" s="82"/>
      <c r="M48" s="79"/>
      <c r="N48" s="79"/>
      <c r="O48" s="80"/>
      <c r="P48" s="80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2.75">
      <c r="A49" s="5" t="str">
        <f>GradingVGS!A$1</f>
        <v>VGS Grading</v>
      </c>
      <c r="B49" s="74" t="s">
        <v>111</v>
      </c>
      <c r="C49" s="42">
        <f>GradingVGS!B$74</f>
        <v>21.67511238095238</v>
      </c>
      <c r="D49" s="42">
        <f>GradingVGS!C$74</f>
        <v>5.843800070546737</v>
      </c>
      <c r="E49" s="42">
        <f>GradingVGS!D$74</f>
        <v>42.4152114638448</v>
      </c>
      <c r="F49" s="42">
        <f>GradingVGS!E$74</f>
        <v>3.89328</v>
      </c>
      <c r="G49" s="42">
        <f>GradingVGS!F$74</f>
        <v>2.200503880070547</v>
      </c>
      <c r="H49" s="42">
        <f>GradingVGS!G$74</f>
        <v>2.720367481859088</v>
      </c>
      <c r="I49" s="42">
        <f>GradingVGS!H$74</f>
        <v>4.920871361929635</v>
      </c>
      <c r="J49" s="14">
        <v>11</v>
      </c>
      <c r="K49" s="76">
        <v>15</v>
      </c>
      <c r="L49" s="82"/>
      <c r="M49" s="79"/>
      <c r="N49" s="79"/>
      <c r="O49" s="80"/>
      <c r="P49" s="80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2.75">
      <c r="A50" s="56"/>
      <c r="B50" s="74" t="s">
        <v>112</v>
      </c>
      <c r="C50" s="42">
        <f>GradingVGS!B$77</f>
        <v>1.4518518518518517</v>
      </c>
      <c r="D50" s="42">
        <f>GradingVGS!C$77</f>
        <v>0.1898148148148148</v>
      </c>
      <c r="E50" s="42">
        <f>GradingVGS!D$77</f>
        <v>0.20992063492063495</v>
      </c>
      <c r="F50" s="42">
        <f>GradingVGS!E$77</f>
        <v>0</v>
      </c>
      <c r="G50" s="42">
        <f>GradingVGS!F$77</f>
        <v>0</v>
      </c>
      <c r="H50" s="42">
        <f>GradingVGS!G$77</f>
        <v>0.14882767054190232</v>
      </c>
      <c r="I50" s="42">
        <f>GradingVGS!H$77</f>
        <v>0.14882767054190232</v>
      </c>
      <c r="J50" s="14">
        <v>11</v>
      </c>
      <c r="K50" s="76">
        <v>15</v>
      </c>
      <c r="L50" s="82"/>
      <c r="M50" s="79"/>
      <c r="N50" s="79"/>
      <c r="O50" s="80"/>
      <c r="P50" s="80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2.75">
      <c r="A51" s="5" t="str">
        <f>FoundationsVGS!A$1</f>
        <v>VGS Foundations </v>
      </c>
      <c r="B51" s="74" t="s">
        <v>111</v>
      </c>
      <c r="C51" s="42">
        <f>FoundationsVGS!B$73</f>
        <v>54.120073368606704</v>
      </c>
      <c r="D51" s="42">
        <f>FoundationsVGS!C$73</f>
        <v>5.0438423985890655</v>
      </c>
      <c r="E51" s="42">
        <f>FoundationsVGS!D$73</f>
        <v>29.340466172839506</v>
      </c>
      <c r="F51" s="42">
        <f>FoundationsVGS!E$73</f>
        <v>2.34608</v>
      </c>
      <c r="G51" s="42">
        <f>FoundationsVGS!F$73</f>
        <v>1.7759576366843035</v>
      </c>
      <c r="H51" s="42">
        <f>FoundationsVGS!G$73</f>
        <v>9.393379637028875</v>
      </c>
      <c r="I51" s="42">
        <f>FoundationsVGS!H$73</f>
        <v>11.169337273713179</v>
      </c>
      <c r="J51" s="14">
        <v>16</v>
      </c>
      <c r="K51" s="76">
        <v>22</v>
      </c>
      <c r="L51" s="82"/>
      <c r="M51" s="79"/>
      <c r="N51" s="79"/>
      <c r="O51" s="80"/>
      <c r="P51" s="80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2.75">
      <c r="A52" s="56"/>
      <c r="B52" s="74" t="s">
        <v>112</v>
      </c>
      <c r="C52" s="42">
        <f>FoundationsVGS!B$76</f>
        <v>46.19929453262786</v>
      </c>
      <c r="D52" s="42">
        <f>FoundationsVGS!C$76</f>
        <v>6.492504409171076</v>
      </c>
      <c r="E52" s="42">
        <f>FoundationsVGS!D$76</f>
        <v>23.891093474426803</v>
      </c>
      <c r="F52" s="42">
        <f>FoundationsVGS!E$76</f>
        <v>0</v>
      </c>
      <c r="G52" s="42">
        <f>FoundationsVGS!F$76</f>
        <v>1.3007054673721339</v>
      </c>
      <c r="H52" s="42">
        <f>FoundationsVGS!G$76</f>
        <v>60.82644555406411</v>
      </c>
      <c r="I52" s="42">
        <f>FoundationsVGS!H$76</f>
        <v>62.12715102143624</v>
      </c>
      <c r="J52" s="14">
        <v>16</v>
      </c>
      <c r="K52" s="76">
        <v>22</v>
      </c>
      <c r="L52" s="82"/>
      <c r="M52" s="79"/>
      <c r="N52" s="79"/>
      <c r="O52" s="80"/>
      <c r="P52" s="80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2.75">
      <c r="A53" s="5" t="str">
        <f>PavingVGS!A$1</f>
        <v>VGS Paving</v>
      </c>
      <c r="B53" s="74" t="s">
        <v>111</v>
      </c>
      <c r="C53" s="42">
        <f>PavingVGS!B$74</f>
        <v>17.10399040564374</v>
      </c>
      <c r="D53" s="42">
        <f>PavingVGS!C$74</f>
        <v>3.01995261186567</v>
      </c>
      <c r="E53" s="42">
        <f>PavingVGS!D$74</f>
        <v>32.2102733686067</v>
      </c>
      <c r="F53" s="42">
        <f>PavingVGS!E$74</f>
        <v>2.72992</v>
      </c>
      <c r="G53" s="42">
        <f>PavingVGS!F$74</f>
        <v>1.6283256437389768</v>
      </c>
      <c r="H53" s="42">
        <f>PavingVGS!G$74</f>
        <v>3.3336445981216283</v>
      </c>
      <c r="I53" s="42">
        <f>PavingVGS!H$74</f>
        <v>4.961970241860605</v>
      </c>
      <c r="J53" s="14">
        <v>21</v>
      </c>
      <c r="K53" s="76">
        <v>25</v>
      </c>
      <c r="L53" s="82"/>
      <c r="M53" s="79"/>
      <c r="N53" s="79"/>
      <c r="O53" s="80"/>
      <c r="P53" s="80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>
      <c r="A54" s="56"/>
      <c r="B54" s="74" t="s">
        <v>112</v>
      </c>
      <c r="C54" s="42">
        <f>PavingVGS!B$77</f>
        <v>8.492416225749558</v>
      </c>
      <c r="D54" s="42">
        <f>PavingVGS!C$77</f>
        <v>1.2550705467372134</v>
      </c>
      <c r="E54" s="42">
        <f>PavingVGS!D$77</f>
        <v>6.735493827160493</v>
      </c>
      <c r="F54" s="42">
        <f>PavingVGS!E$77</f>
        <v>0</v>
      </c>
      <c r="G54" s="42">
        <f>PavingVGS!F$77</f>
        <v>0.4162257495590828</v>
      </c>
      <c r="H54" s="42">
        <f>PavingVGS!G$77</f>
        <v>18.81954267161894</v>
      </c>
      <c r="I54" s="42">
        <f>PavingVGS!H$77</f>
        <v>19.235768421178022</v>
      </c>
      <c r="J54" s="14">
        <v>21</v>
      </c>
      <c r="K54" s="76">
        <v>25</v>
      </c>
      <c r="L54" s="82"/>
      <c r="M54" s="79"/>
      <c r="N54" s="79"/>
      <c r="O54" s="80"/>
      <c r="P54" s="80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2.75">
      <c r="A55" s="5" t="str">
        <f>'Equipment InstallationVGS'!A$1</f>
        <v>VGS Equipment Installation</v>
      </c>
      <c r="B55" s="74" t="s">
        <v>111</v>
      </c>
      <c r="C55" s="42">
        <f>'Equipment InstallationVGS'!B$74</f>
        <v>74.48057636684304</v>
      </c>
      <c r="D55" s="42">
        <f>'Equipment InstallationVGS'!C$74</f>
        <v>22.55998532627866</v>
      </c>
      <c r="E55" s="42">
        <f>'Equipment InstallationVGS'!D$74</f>
        <v>130.68093657848323</v>
      </c>
      <c r="F55" s="42">
        <f>'Equipment InstallationVGS'!E$74</f>
        <v>10.99984</v>
      </c>
      <c r="G55" s="42">
        <f>'Equipment InstallationVGS'!F$74</f>
        <v>7.3976470546737225</v>
      </c>
      <c r="H55" s="42">
        <f>'Equipment InstallationVGS'!G$74</f>
        <v>7.882397510915277</v>
      </c>
      <c r="I55" s="42">
        <f>'Equipment InstallationVGS'!H$74</f>
        <v>15.280044565589</v>
      </c>
      <c r="J55" s="14">
        <v>29</v>
      </c>
      <c r="K55" s="76">
        <v>150</v>
      </c>
      <c r="L55" s="82"/>
      <c r="M55" s="79"/>
      <c r="N55" s="79"/>
      <c r="O55" s="80"/>
      <c r="P55" s="80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2.75">
      <c r="A56" s="56"/>
      <c r="B56" s="74" t="s">
        <v>112</v>
      </c>
      <c r="C56" s="42">
        <f>'Equipment InstallationVGS'!B$77</f>
        <v>59.61552028218694</v>
      </c>
      <c r="D56" s="42">
        <f>'Equipment InstallationVGS'!C$77</f>
        <v>7.975088183421517</v>
      </c>
      <c r="E56" s="42">
        <f>'Equipment InstallationVGS'!D$77</f>
        <v>15.504188712522044</v>
      </c>
      <c r="F56" s="42">
        <f>'Equipment InstallationVGS'!E$77</f>
        <v>0</v>
      </c>
      <c r="G56" s="42">
        <f>'Equipment InstallationVGS'!F$77</f>
        <v>0.5202821869488536</v>
      </c>
      <c r="H56" s="42">
        <f>'Equipment InstallationVGS'!G$77</f>
        <v>28.54736222031288</v>
      </c>
      <c r="I56" s="42">
        <f>'Equipment InstallationVGS'!H$77</f>
        <v>29.067644407261735</v>
      </c>
      <c r="J56" s="14">
        <v>29</v>
      </c>
      <c r="K56" s="76">
        <v>150</v>
      </c>
      <c r="L56" s="82"/>
      <c r="M56" s="79"/>
      <c r="N56" s="79"/>
      <c r="O56" s="80"/>
      <c r="P56" s="80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11" ht="12.75">
      <c r="A57" s="29"/>
      <c r="B57" s="23"/>
      <c r="C57" s="67"/>
      <c r="D57" s="67"/>
      <c r="E57" s="67"/>
      <c r="F57" s="67"/>
      <c r="G57" s="67"/>
      <c r="H57" s="67"/>
      <c r="I57" s="67"/>
      <c r="J57" s="57"/>
      <c r="K57" s="57"/>
    </row>
    <row r="58" spans="1:11" ht="12.75">
      <c r="A58" s="29"/>
      <c r="B58" s="23"/>
      <c r="C58" s="67"/>
      <c r="D58" s="67"/>
      <c r="E58" s="67"/>
      <c r="F58" s="67"/>
      <c r="G58" s="67"/>
      <c r="H58" s="67"/>
      <c r="I58" s="67"/>
      <c r="J58" s="57"/>
      <c r="K58" s="57"/>
    </row>
    <row r="59" spans="1:14" ht="12.75">
      <c r="A59" s="86" t="s">
        <v>310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2.75">
      <c r="A60" s="85" t="s">
        <v>304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1:14" ht="12.75">
      <c r="A61" s="37" t="s">
        <v>87</v>
      </c>
      <c r="B61" s="69">
        <v>1</v>
      </c>
      <c r="C61" s="69">
        <v>10</v>
      </c>
      <c r="D61" s="69">
        <v>11</v>
      </c>
      <c r="E61" s="69">
        <v>15</v>
      </c>
      <c r="F61" s="69">
        <v>16</v>
      </c>
      <c r="G61" s="69">
        <v>18</v>
      </c>
      <c r="H61" s="69">
        <v>20</v>
      </c>
      <c r="I61" s="69">
        <v>21</v>
      </c>
      <c r="J61" s="69">
        <v>22</v>
      </c>
      <c r="K61" s="69">
        <v>25</v>
      </c>
      <c r="L61" s="69">
        <v>28</v>
      </c>
      <c r="M61" s="69">
        <v>29</v>
      </c>
      <c r="N61" s="69">
        <v>150</v>
      </c>
    </row>
    <row r="62" spans="1:14" ht="12.75">
      <c r="A62" s="4" t="str">
        <f>A25</f>
        <v>HGS Tank Demolition</v>
      </c>
      <c r="B62" s="43">
        <f aca="true" t="shared" si="3" ref="B62:N62">IF(AND(B$61&gt;=$J25,B$61&lt;=$K25),$C25+$C26,0)</f>
        <v>162.46098931922396</v>
      </c>
      <c r="C62" s="43">
        <f t="shared" si="3"/>
        <v>162.46098931922396</v>
      </c>
      <c r="D62" s="43">
        <f t="shared" si="3"/>
        <v>0</v>
      </c>
      <c r="E62" s="43">
        <f t="shared" si="3"/>
        <v>0</v>
      </c>
      <c r="F62" s="43">
        <f t="shared" si="3"/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3">
        <f t="shared" si="3"/>
        <v>0</v>
      </c>
      <c r="N62" s="43">
        <f t="shared" si="3"/>
        <v>0</v>
      </c>
    </row>
    <row r="63" spans="1:14" ht="12.75">
      <c r="A63" s="4" t="str">
        <f>A27</f>
        <v>HGS Backfill</v>
      </c>
      <c r="B63" s="43">
        <f aca="true" t="shared" si="4" ref="B63:N63">IF(AND(B$61&gt;=$J27,B$61&lt;=$K27),$C27+$C28,0)</f>
        <v>0</v>
      </c>
      <c r="C63" s="43">
        <f t="shared" si="4"/>
        <v>0</v>
      </c>
      <c r="D63" s="43">
        <f t="shared" si="4"/>
        <v>200.7701048324515</v>
      </c>
      <c r="E63" s="43">
        <f t="shared" si="4"/>
        <v>200.7701048324515</v>
      </c>
      <c r="F63" s="43">
        <f t="shared" si="4"/>
        <v>200.7701048324515</v>
      </c>
      <c r="G63" s="43">
        <f t="shared" si="4"/>
        <v>200.7701048324515</v>
      </c>
      <c r="H63" s="43">
        <f t="shared" si="4"/>
        <v>200.7701048324515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3">
        <f t="shared" si="4"/>
        <v>0</v>
      </c>
      <c r="N63" s="43">
        <f t="shared" si="4"/>
        <v>0</v>
      </c>
    </row>
    <row r="64" spans="1:14" ht="12.75">
      <c r="A64" s="4" t="str">
        <f>A29</f>
        <v>HGS Grading</v>
      </c>
      <c r="B64" s="43">
        <f aca="true" t="shared" si="5" ref="B64:N64">IF(AND(B$61&gt;=$J29,B$61&lt;=$K29),$C29+$C30,0)</f>
        <v>0</v>
      </c>
      <c r="C64" s="43">
        <f t="shared" si="5"/>
        <v>0</v>
      </c>
      <c r="D64" s="43">
        <f t="shared" si="5"/>
        <v>0</v>
      </c>
      <c r="E64" s="43">
        <f t="shared" si="5"/>
        <v>0</v>
      </c>
      <c r="F64" s="43">
        <f t="shared" si="5"/>
        <v>0</v>
      </c>
      <c r="G64" s="43">
        <f t="shared" si="5"/>
        <v>53.48216423280422</v>
      </c>
      <c r="H64" s="43">
        <f t="shared" si="5"/>
        <v>53.48216423280422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3">
        <f t="shared" si="5"/>
        <v>0</v>
      </c>
      <c r="N64" s="43">
        <f t="shared" si="5"/>
        <v>0</v>
      </c>
    </row>
    <row r="65" spans="1:14" ht="12.75">
      <c r="A65" s="4" t="str">
        <f>A31</f>
        <v>HGS Foundations </v>
      </c>
      <c r="B65" s="43">
        <f aca="true" t="shared" si="6" ref="B65:N65">IF(AND(B$61&gt;=$J31,B$61&lt;=$K31),$C31+$C32,0)</f>
        <v>0</v>
      </c>
      <c r="C65" s="43">
        <f t="shared" si="6"/>
        <v>0</v>
      </c>
      <c r="D65" s="43">
        <f t="shared" si="6"/>
        <v>0</v>
      </c>
      <c r="E65" s="43">
        <f t="shared" si="6"/>
        <v>0</v>
      </c>
      <c r="F65" s="43">
        <f t="shared" si="6"/>
        <v>0</v>
      </c>
      <c r="G65" s="43">
        <f t="shared" si="6"/>
        <v>0</v>
      </c>
      <c r="H65" s="43">
        <f t="shared" si="6"/>
        <v>0</v>
      </c>
      <c r="I65" s="43">
        <f t="shared" si="6"/>
        <v>437.31860599647257</v>
      </c>
      <c r="J65" s="43">
        <f t="shared" si="6"/>
        <v>437.31860599647257</v>
      </c>
      <c r="K65" s="43">
        <f t="shared" si="6"/>
        <v>437.31860599647257</v>
      </c>
      <c r="L65" s="43">
        <f t="shared" si="6"/>
        <v>437.31860599647257</v>
      </c>
      <c r="M65" s="43">
        <f t="shared" si="6"/>
        <v>0</v>
      </c>
      <c r="N65" s="43">
        <f t="shared" si="6"/>
        <v>0</v>
      </c>
    </row>
    <row r="66" spans="1:14" ht="12.75">
      <c r="A66" s="4" t="str">
        <f>A33</f>
        <v>HGS Paving</v>
      </c>
      <c r="B66" s="43">
        <f aca="true" t="shared" si="7" ref="B66:N66">IF(AND(B$61&gt;=$J33,B$61&lt;=$K33),$C33+$C34,0)</f>
        <v>0</v>
      </c>
      <c r="C66" s="43">
        <f t="shared" si="7"/>
        <v>0</v>
      </c>
      <c r="D66" s="43">
        <f t="shared" si="7"/>
        <v>0</v>
      </c>
      <c r="E66" s="43">
        <f t="shared" si="7"/>
        <v>0</v>
      </c>
      <c r="F66" s="43">
        <f t="shared" si="7"/>
        <v>0</v>
      </c>
      <c r="G66" s="43">
        <f t="shared" si="7"/>
        <v>0</v>
      </c>
      <c r="H66" s="43">
        <f t="shared" si="7"/>
        <v>0</v>
      </c>
      <c r="I66" s="43">
        <f t="shared" si="7"/>
        <v>69.11095407407407</v>
      </c>
      <c r="J66" s="43">
        <f t="shared" si="7"/>
        <v>69.11095407407407</v>
      </c>
      <c r="K66" s="43">
        <f t="shared" si="7"/>
        <v>69.11095407407407</v>
      </c>
      <c r="L66" s="43">
        <f t="shared" si="7"/>
        <v>69.11095407407407</v>
      </c>
      <c r="M66" s="43">
        <f t="shared" si="7"/>
        <v>0</v>
      </c>
      <c r="N66" s="43">
        <f t="shared" si="7"/>
        <v>0</v>
      </c>
    </row>
    <row r="67" spans="1:14" ht="12.75">
      <c r="A67" s="4" t="str">
        <f>A35</f>
        <v>HGS Equipment Installation</v>
      </c>
      <c r="B67" s="43">
        <f aca="true" t="shared" si="8" ref="B67:N67">IF(AND(B$61&gt;=$J35,B$61&lt;=$K35),$C35+$C36,0)</f>
        <v>0</v>
      </c>
      <c r="C67" s="43">
        <f t="shared" si="8"/>
        <v>0</v>
      </c>
      <c r="D67" s="43">
        <f t="shared" si="8"/>
        <v>0</v>
      </c>
      <c r="E67" s="43">
        <f t="shared" si="8"/>
        <v>0</v>
      </c>
      <c r="F67" s="43">
        <f t="shared" si="8"/>
        <v>0</v>
      </c>
      <c r="G67" s="43">
        <f t="shared" si="8"/>
        <v>0</v>
      </c>
      <c r="H67" s="43">
        <f t="shared" si="8"/>
        <v>0</v>
      </c>
      <c r="I67" s="43">
        <f t="shared" si="8"/>
        <v>0</v>
      </c>
      <c r="J67" s="43">
        <f t="shared" si="8"/>
        <v>0</v>
      </c>
      <c r="K67" s="43">
        <f t="shared" si="8"/>
        <v>0</v>
      </c>
      <c r="L67" s="43">
        <f t="shared" si="8"/>
        <v>0</v>
      </c>
      <c r="M67" s="43">
        <f t="shared" si="8"/>
        <v>370.1618569312169</v>
      </c>
      <c r="N67" s="43">
        <f t="shared" si="8"/>
        <v>370.1618569312169</v>
      </c>
    </row>
    <row r="68" spans="1:14" ht="12.75">
      <c r="A68" s="4" t="str">
        <f>A37</f>
        <v>SGS Slab Demolition</v>
      </c>
      <c r="B68" s="43">
        <f aca="true" t="shared" si="9" ref="B68:N68">IF(AND(B$61&gt;=$J37,B$61&lt;=$K37),$C37+$C38,0)</f>
        <v>57.05314977072311</v>
      </c>
      <c r="C68" s="43">
        <f t="shared" si="9"/>
        <v>57.05314977072311</v>
      </c>
      <c r="D68" s="43">
        <f t="shared" si="9"/>
        <v>0</v>
      </c>
      <c r="E68" s="43">
        <f t="shared" si="9"/>
        <v>0</v>
      </c>
      <c r="F68" s="43">
        <f t="shared" si="9"/>
        <v>0</v>
      </c>
      <c r="G68" s="43">
        <f t="shared" si="9"/>
        <v>0</v>
      </c>
      <c r="H68" s="43">
        <f t="shared" si="9"/>
        <v>0</v>
      </c>
      <c r="I68" s="43">
        <f t="shared" si="9"/>
        <v>0</v>
      </c>
      <c r="J68" s="43">
        <f t="shared" si="9"/>
        <v>0</v>
      </c>
      <c r="K68" s="43">
        <f t="shared" si="9"/>
        <v>0</v>
      </c>
      <c r="L68" s="43">
        <f t="shared" si="9"/>
        <v>0</v>
      </c>
      <c r="M68" s="43">
        <f t="shared" si="9"/>
        <v>0</v>
      </c>
      <c r="N68" s="43">
        <f t="shared" si="9"/>
        <v>0</v>
      </c>
    </row>
    <row r="69" spans="1:14" ht="12.75">
      <c r="A69" s="4" t="str">
        <f>A39</f>
        <v>SGS Grading</v>
      </c>
      <c r="B69" s="43">
        <f aca="true" t="shared" si="10" ref="B69:N69">IF(AND(B$61&gt;=$J39,B$61&lt;=$K39),$C39+$C40,0)</f>
        <v>0</v>
      </c>
      <c r="C69" s="43">
        <f t="shared" si="10"/>
        <v>0</v>
      </c>
      <c r="D69" s="43">
        <f t="shared" si="10"/>
        <v>0</v>
      </c>
      <c r="E69" s="43">
        <f t="shared" si="10"/>
        <v>0</v>
      </c>
      <c r="F69" s="43">
        <f t="shared" si="10"/>
        <v>0</v>
      </c>
      <c r="G69" s="43">
        <f t="shared" si="10"/>
        <v>23.4946891005291</v>
      </c>
      <c r="H69" s="43">
        <f t="shared" si="10"/>
        <v>23.4946891005291</v>
      </c>
      <c r="I69" s="43">
        <f t="shared" si="10"/>
        <v>0</v>
      </c>
      <c r="J69" s="43">
        <f t="shared" si="10"/>
        <v>0</v>
      </c>
      <c r="K69" s="43">
        <f t="shared" si="10"/>
        <v>0</v>
      </c>
      <c r="L69" s="43">
        <f t="shared" si="10"/>
        <v>0</v>
      </c>
      <c r="M69" s="43">
        <f t="shared" si="10"/>
        <v>0</v>
      </c>
      <c r="N69" s="43">
        <f t="shared" si="10"/>
        <v>0</v>
      </c>
    </row>
    <row r="70" spans="1:14" ht="12.75">
      <c r="A70" s="4" t="str">
        <f>A41</f>
        <v>SGS Foundations </v>
      </c>
      <c r="B70" s="43">
        <f aca="true" t="shared" si="11" ref="B70:N70">IF(AND(B$61&gt;=$J41,B$61&lt;=$K41),$C41+$C42,0)</f>
        <v>0</v>
      </c>
      <c r="C70" s="43">
        <f t="shared" si="11"/>
        <v>0</v>
      </c>
      <c r="D70" s="43">
        <f t="shared" si="11"/>
        <v>0</v>
      </c>
      <c r="E70" s="43">
        <f t="shared" si="11"/>
        <v>0</v>
      </c>
      <c r="F70" s="43">
        <f t="shared" si="11"/>
        <v>0</v>
      </c>
      <c r="G70" s="43">
        <f t="shared" si="11"/>
        <v>0</v>
      </c>
      <c r="H70" s="43">
        <f t="shared" si="11"/>
        <v>0</v>
      </c>
      <c r="I70" s="43">
        <f t="shared" si="11"/>
        <v>44.934977425044096</v>
      </c>
      <c r="J70" s="43">
        <f t="shared" si="11"/>
        <v>44.934977425044096</v>
      </c>
      <c r="K70" s="43">
        <f t="shared" si="11"/>
        <v>44.934977425044096</v>
      </c>
      <c r="L70" s="43">
        <f t="shared" si="11"/>
        <v>44.934977425044096</v>
      </c>
      <c r="M70" s="43">
        <f t="shared" si="11"/>
        <v>0</v>
      </c>
      <c r="N70" s="43">
        <f t="shared" si="11"/>
        <v>0</v>
      </c>
    </row>
    <row r="71" spans="1:14" ht="12.75">
      <c r="A71" s="4" t="str">
        <f>A43</f>
        <v>SGS Paving</v>
      </c>
      <c r="B71" s="43">
        <f aca="true" t="shared" si="12" ref="B71:N71">IF(AND(B$61&gt;=$J43,B$61&lt;=$K43),$C43+$C44,0)</f>
        <v>0</v>
      </c>
      <c r="C71" s="43">
        <f t="shared" si="12"/>
        <v>0</v>
      </c>
      <c r="D71" s="43">
        <f t="shared" si="12"/>
        <v>0</v>
      </c>
      <c r="E71" s="43">
        <f t="shared" si="12"/>
        <v>0</v>
      </c>
      <c r="F71" s="43">
        <f t="shared" si="12"/>
        <v>0</v>
      </c>
      <c r="G71" s="43">
        <f t="shared" si="12"/>
        <v>0</v>
      </c>
      <c r="H71" s="43">
        <f t="shared" si="12"/>
        <v>0</v>
      </c>
      <c r="I71" s="43">
        <f t="shared" si="12"/>
        <v>23.51025142857143</v>
      </c>
      <c r="J71" s="43">
        <f t="shared" si="12"/>
        <v>23.51025142857143</v>
      </c>
      <c r="K71" s="43">
        <f t="shared" si="12"/>
        <v>23.51025142857143</v>
      </c>
      <c r="L71" s="43">
        <f t="shared" si="12"/>
        <v>23.51025142857143</v>
      </c>
      <c r="M71" s="43">
        <f t="shared" si="12"/>
        <v>0</v>
      </c>
      <c r="N71" s="43">
        <f t="shared" si="12"/>
        <v>0</v>
      </c>
    </row>
    <row r="72" spans="1:14" ht="12.75">
      <c r="A72" s="4" t="str">
        <f>A45</f>
        <v>SGS Equipment Installation</v>
      </c>
      <c r="B72" s="43">
        <f aca="true" t="shared" si="13" ref="B72:N72">IF(AND(B$61&gt;=$J45,B$61&lt;=$K45),$C45+$C46,0)</f>
        <v>0</v>
      </c>
      <c r="C72" s="43">
        <f t="shared" si="13"/>
        <v>0</v>
      </c>
      <c r="D72" s="43">
        <f t="shared" si="13"/>
        <v>0</v>
      </c>
      <c r="E72" s="43">
        <f t="shared" si="13"/>
        <v>0</v>
      </c>
      <c r="F72" s="43">
        <f t="shared" si="13"/>
        <v>0</v>
      </c>
      <c r="G72" s="43">
        <f t="shared" si="13"/>
        <v>0</v>
      </c>
      <c r="H72" s="43">
        <f t="shared" si="13"/>
        <v>0</v>
      </c>
      <c r="I72" s="43">
        <f t="shared" si="13"/>
        <v>0</v>
      </c>
      <c r="J72" s="43">
        <f t="shared" si="13"/>
        <v>0</v>
      </c>
      <c r="K72" s="43">
        <f t="shared" si="13"/>
        <v>0</v>
      </c>
      <c r="L72" s="43">
        <f t="shared" si="13"/>
        <v>0</v>
      </c>
      <c r="M72" s="43">
        <f t="shared" si="13"/>
        <v>122.14447689594355</v>
      </c>
      <c r="N72" s="43">
        <f t="shared" si="13"/>
        <v>122.14447689594355</v>
      </c>
    </row>
    <row r="73" spans="1:14" ht="12.75">
      <c r="A73" s="4" t="str">
        <f>A47</f>
        <v>VGS Demolition</v>
      </c>
      <c r="B73" s="43">
        <f aca="true" t="shared" si="14" ref="B73:N73">IF(AND(B$61&gt;=$J47,B$61&lt;=$K47),$C47+$C48,0)</f>
        <v>101.03819998589064</v>
      </c>
      <c r="C73" s="43">
        <f t="shared" si="14"/>
        <v>101.03819998589064</v>
      </c>
      <c r="D73" s="43">
        <f t="shared" si="14"/>
        <v>0</v>
      </c>
      <c r="E73" s="43">
        <f t="shared" si="14"/>
        <v>0</v>
      </c>
      <c r="F73" s="43">
        <f t="shared" si="14"/>
        <v>0</v>
      </c>
      <c r="G73" s="43">
        <f t="shared" si="14"/>
        <v>0</v>
      </c>
      <c r="H73" s="43">
        <f t="shared" si="14"/>
        <v>0</v>
      </c>
      <c r="I73" s="43">
        <f t="shared" si="14"/>
        <v>0</v>
      </c>
      <c r="J73" s="43">
        <f t="shared" si="14"/>
        <v>0</v>
      </c>
      <c r="K73" s="43">
        <f t="shared" si="14"/>
        <v>0</v>
      </c>
      <c r="L73" s="43">
        <f t="shared" si="14"/>
        <v>0</v>
      </c>
      <c r="M73" s="43">
        <f t="shared" si="14"/>
        <v>0</v>
      </c>
      <c r="N73" s="43">
        <f t="shared" si="14"/>
        <v>0</v>
      </c>
    </row>
    <row r="74" spans="1:14" ht="12.75">
      <c r="A74" s="4" t="str">
        <f>A49</f>
        <v>VGS Grading</v>
      </c>
      <c r="B74" s="43">
        <f aca="true" t="shared" si="15" ref="B74:N74">IF(AND(B$61&gt;=$J49,B$61&lt;=$K49),$C49+$C50,0)</f>
        <v>0</v>
      </c>
      <c r="C74" s="43">
        <f t="shared" si="15"/>
        <v>0</v>
      </c>
      <c r="D74" s="43">
        <f t="shared" si="15"/>
        <v>23.126964232804234</v>
      </c>
      <c r="E74" s="43">
        <f t="shared" si="15"/>
        <v>23.126964232804234</v>
      </c>
      <c r="F74" s="43">
        <f t="shared" si="15"/>
        <v>0</v>
      </c>
      <c r="G74" s="43">
        <f t="shared" si="15"/>
        <v>0</v>
      </c>
      <c r="H74" s="43">
        <f t="shared" si="15"/>
        <v>0</v>
      </c>
      <c r="I74" s="43">
        <f t="shared" si="15"/>
        <v>0</v>
      </c>
      <c r="J74" s="43">
        <f t="shared" si="15"/>
        <v>0</v>
      </c>
      <c r="K74" s="43">
        <f t="shared" si="15"/>
        <v>0</v>
      </c>
      <c r="L74" s="43">
        <f t="shared" si="15"/>
        <v>0</v>
      </c>
      <c r="M74" s="43">
        <f t="shared" si="15"/>
        <v>0</v>
      </c>
      <c r="N74" s="43">
        <f t="shared" si="15"/>
        <v>0</v>
      </c>
    </row>
    <row r="75" spans="1:14" ht="12.75">
      <c r="A75" s="4" t="str">
        <f>A51</f>
        <v>VGS Foundations </v>
      </c>
      <c r="B75" s="43">
        <f aca="true" t="shared" si="16" ref="B75:N75">IF(AND(B$61&gt;=$J51,B$61&lt;=$K51),$C51+$C52,0)</f>
        <v>0</v>
      </c>
      <c r="C75" s="43">
        <f t="shared" si="16"/>
        <v>0</v>
      </c>
      <c r="D75" s="43">
        <f t="shared" si="16"/>
        <v>0</v>
      </c>
      <c r="E75" s="43">
        <f t="shared" si="16"/>
        <v>0</v>
      </c>
      <c r="F75" s="43">
        <f t="shared" si="16"/>
        <v>100.31936790123456</v>
      </c>
      <c r="G75" s="43">
        <f t="shared" si="16"/>
        <v>100.31936790123456</v>
      </c>
      <c r="H75" s="43">
        <f t="shared" si="16"/>
        <v>100.31936790123456</v>
      </c>
      <c r="I75" s="43">
        <f t="shared" si="16"/>
        <v>100.31936790123456</v>
      </c>
      <c r="J75" s="43">
        <f t="shared" si="16"/>
        <v>100.31936790123456</v>
      </c>
      <c r="K75" s="43">
        <f t="shared" si="16"/>
        <v>0</v>
      </c>
      <c r="L75" s="43">
        <f t="shared" si="16"/>
        <v>0</v>
      </c>
      <c r="M75" s="43">
        <f t="shared" si="16"/>
        <v>0</v>
      </c>
      <c r="N75" s="43">
        <f t="shared" si="16"/>
        <v>0</v>
      </c>
    </row>
    <row r="76" spans="1:14" ht="12.75">
      <c r="A76" s="4" t="str">
        <f>A53</f>
        <v>VGS Paving</v>
      </c>
      <c r="B76" s="43">
        <f aca="true" t="shared" si="17" ref="B76:N76">IF(AND(B$61&gt;=$J53,B$61&lt;=$K53),$C53+$C54,0)</f>
        <v>0</v>
      </c>
      <c r="C76" s="43">
        <f t="shared" si="17"/>
        <v>0</v>
      </c>
      <c r="D76" s="43">
        <f t="shared" si="17"/>
        <v>0</v>
      </c>
      <c r="E76" s="43">
        <f t="shared" si="17"/>
        <v>0</v>
      </c>
      <c r="F76" s="43">
        <f t="shared" si="17"/>
        <v>0</v>
      </c>
      <c r="G76" s="43">
        <f t="shared" si="17"/>
        <v>0</v>
      </c>
      <c r="H76" s="43">
        <f t="shared" si="17"/>
        <v>0</v>
      </c>
      <c r="I76" s="43">
        <f t="shared" si="17"/>
        <v>25.596406631393297</v>
      </c>
      <c r="J76" s="43">
        <f t="shared" si="17"/>
        <v>25.596406631393297</v>
      </c>
      <c r="K76" s="43">
        <f t="shared" si="17"/>
        <v>25.596406631393297</v>
      </c>
      <c r="L76" s="43">
        <f t="shared" si="17"/>
        <v>0</v>
      </c>
      <c r="M76" s="43">
        <f t="shared" si="17"/>
        <v>0</v>
      </c>
      <c r="N76" s="43">
        <f t="shared" si="17"/>
        <v>0</v>
      </c>
    </row>
    <row r="77" spans="1:14" ht="12.75">
      <c r="A77" s="4" t="str">
        <f>A55</f>
        <v>VGS Equipment Installation</v>
      </c>
      <c r="B77" s="43">
        <f aca="true" t="shared" si="18" ref="B77:N77">IF(AND(B$61&gt;=$J55,B$61&lt;=$K55),$C55+$C56,0)</f>
        <v>0</v>
      </c>
      <c r="C77" s="43">
        <f t="shared" si="18"/>
        <v>0</v>
      </c>
      <c r="D77" s="43">
        <f t="shared" si="18"/>
        <v>0</v>
      </c>
      <c r="E77" s="43">
        <f t="shared" si="18"/>
        <v>0</v>
      </c>
      <c r="F77" s="43">
        <f t="shared" si="18"/>
        <v>0</v>
      </c>
      <c r="G77" s="43">
        <f t="shared" si="18"/>
        <v>0</v>
      </c>
      <c r="H77" s="43">
        <f t="shared" si="18"/>
        <v>0</v>
      </c>
      <c r="I77" s="43">
        <f t="shared" si="18"/>
        <v>0</v>
      </c>
      <c r="J77" s="43">
        <f t="shared" si="18"/>
        <v>0</v>
      </c>
      <c r="K77" s="43">
        <f t="shared" si="18"/>
        <v>0</v>
      </c>
      <c r="L77" s="43">
        <f t="shared" si="18"/>
        <v>0</v>
      </c>
      <c r="M77" s="43">
        <f t="shared" si="18"/>
        <v>134.09609664903</v>
      </c>
      <c r="N77" s="43">
        <f t="shared" si="18"/>
        <v>134.09609664903</v>
      </c>
    </row>
    <row r="78" spans="1:14" ht="12.75">
      <c r="A78" s="15" t="s">
        <v>24</v>
      </c>
      <c r="B78" s="44">
        <f aca="true" t="shared" si="19" ref="B78:N78">SUM(B62:B77)</f>
        <v>320.5523390758377</v>
      </c>
      <c r="C78" s="44">
        <f t="shared" si="19"/>
        <v>320.5523390758377</v>
      </c>
      <c r="D78" s="44">
        <f t="shared" si="19"/>
        <v>223.89706906525572</v>
      </c>
      <c r="E78" s="44">
        <f t="shared" si="19"/>
        <v>223.89706906525572</v>
      </c>
      <c r="F78" s="44">
        <f t="shared" si="19"/>
        <v>301.0894727336861</v>
      </c>
      <c r="G78" s="44">
        <f t="shared" si="19"/>
        <v>378.06632606701936</v>
      </c>
      <c r="H78" s="44">
        <f t="shared" si="19"/>
        <v>378.06632606701936</v>
      </c>
      <c r="I78" s="44">
        <f t="shared" si="19"/>
        <v>700.79056345679</v>
      </c>
      <c r="J78" s="44">
        <f t="shared" si="19"/>
        <v>700.79056345679</v>
      </c>
      <c r="K78" s="44">
        <f t="shared" si="19"/>
        <v>600.4711955555555</v>
      </c>
      <c r="L78" s="44">
        <f t="shared" si="19"/>
        <v>574.8747889241622</v>
      </c>
      <c r="M78" s="44">
        <f t="shared" si="19"/>
        <v>626.4024304761905</v>
      </c>
      <c r="N78" s="44">
        <f t="shared" si="19"/>
        <v>626.4024304761905</v>
      </c>
    </row>
    <row r="79" spans="1:14" ht="12.75">
      <c r="A79" s="39" t="s">
        <v>132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7"/>
      <c r="M79" s="47"/>
      <c r="N79" s="47"/>
    </row>
    <row r="80" spans="1:14" ht="12.75">
      <c r="A80" s="62" t="s">
        <v>276</v>
      </c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7"/>
      <c r="M80" s="47"/>
      <c r="N80" s="47"/>
    </row>
    <row r="81" spans="1:11" ht="12.75">
      <c r="A81" s="29"/>
      <c r="B81" s="48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29"/>
      <c r="B82" s="48"/>
      <c r="C82" s="49"/>
      <c r="D82" s="49"/>
      <c r="E82" s="49"/>
      <c r="F82" s="49"/>
      <c r="G82" s="49"/>
      <c r="H82" s="49"/>
      <c r="I82" s="49"/>
      <c r="J82" s="49"/>
      <c r="K82" s="49"/>
    </row>
    <row r="83" spans="1:14" ht="12.75">
      <c r="A83" s="86" t="s">
        <v>311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2.75">
      <c r="A84" s="85" t="s">
        <v>305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1:14" ht="12.75">
      <c r="A85" s="37" t="s">
        <v>87</v>
      </c>
      <c r="B85" s="69">
        <v>1</v>
      </c>
      <c r="C85" s="69">
        <v>10</v>
      </c>
      <c r="D85" s="69">
        <v>11</v>
      </c>
      <c r="E85" s="69">
        <v>15</v>
      </c>
      <c r="F85" s="69">
        <v>16</v>
      </c>
      <c r="G85" s="69">
        <v>18</v>
      </c>
      <c r="H85" s="69">
        <v>20</v>
      </c>
      <c r="I85" s="69">
        <v>21</v>
      </c>
      <c r="J85" s="69">
        <v>22</v>
      </c>
      <c r="K85" s="69">
        <v>25</v>
      </c>
      <c r="L85" s="69">
        <v>28</v>
      </c>
      <c r="M85" s="69">
        <v>29</v>
      </c>
      <c r="N85" s="69">
        <v>150</v>
      </c>
    </row>
    <row r="86" spans="1:14" ht="12.75">
      <c r="A86" s="4" t="str">
        <f>A25</f>
        <v>HGS Tank Demolition</v>
      </c>
      <c r="B86" s="43">
        <f aca="true" t="shared" si="20" ref="B86:N86">IF(AND(B$85&gt;=$J25,B$85&lt;=$K25),$D25+$D26,0)</f>
        <v>297.40631560447486</v>
      </c>
      <c r="C86" s="43">
        <f t="shared" si="20"/>
        <v>297.40631560447486</v>
      </c>
      <c r="D86" s="43">
        <f t="shared" si="20"/>
        <v>0</v>
      </c>
      <c r="E86" s="43">
        <f t="shared" si="20"/>
        <v>0</v>
      </c>
      <c r="F86" s="43">
        <f t="shared" si="20"/>
        <v>0</v>
      </c>
      <c r="G86" s="43">
        <f t="shared" si="20"/>
        <v>0</v>
      </c>
      <c r="H86" s="43">
        <f t="shared" si="20"/>
        <v>0</v>
      </c>
      <c r="I86" s="43">
        <f t="shared" si="20"/>
        <v>0</v>
      </c>
      <c r="J86" s="43">
        <f t="shared" si="20"/>
        <v>0</v>
      </c>
      <c r="K86" s="43">
        <f t="shared" si="20"/>
        <v>0</v>
      </c>
      <c r="L86" s="43">
        <f t="shared" si="20"/>
        <v>0</v>
      </c>
      <c r="M86" s="43">
        <f t="shared" si="20"/>
        <v>0</v>
      </c>
      <c r="N86" s="43">
        <f t="shared" si="20"/>
        <v>0</v>
      </c>
    </row>
    <row r="87" spans="1:14" ht="12.75">
      <c r="A87" s="4" t="str">
        <f>A27</f>
        <v>HGS Backfill</v>
      </c>
      <c r="B87" s="43">
        <f aca="true" t="shared" si="21" ref="B87:N87">IF(AND(B$85&gt;=$J27,B$85&lt;=$K27),$D27+$D28,0)</f>
        <v>0</v>
      </c>
      <c r="C87" s="43">
        <f t="shared" si="21"/>
        <v>0</v>
      </c>
      <c r="D87" s="43">
        <f t="shared" si="21"/>
        <v>39.909825961199296</v>
      </c>
      <c r="E87" s="43">
        <f t="shared" si="21"/>
        <v>39.909825961199296</v>
      </c>
      <c r="F87" s="43">
        <f t="shared" si="21"/>
        <v>39.909825961199296</v>
      </c>
      <c r="G87" s="43">
        <f t="shared" si="21"/>
        <v>39.909825961199296</v>
      </c>
      <c r="H87" s="43">
        <f t="shared" si="21"/>
        <v>39.909825961199296</v>
      </c>
      <c r="I87" s="43">
        <f t="shared" si="21"/>
        <v>0</v>
      </c>
      <c r="J87" s="43">
        <f t="shared" si="21"/>
        <v>0</v>
      </c>
      <c r="K87" s="43">
        <f t="shared" si="21"/>
        <v>0</v>
      </c>
      <c r="L87" s="43">
        <f t="shared" si="21"/>
        <v>0</v>
      </c>
      <c r="M87" s="43">
        <f t="shared" si="21"/>
        <v>0</v>
      </c>
      <c r="N87" s="43">
        <f t="shared" si="21"/>
        <v>0</v>
      </c>
    </row>
    <row r="88" spans="1:14" ht="12.75">
      <c r="A88" s="4" t="str">
        <f>A29</f>
        <v>HGS Grading</v>
      </c>
      <c r="B88" s="43">
        <f aca="true" t="shared" si="22" ref="B88:N88">IF(AND(B$85&gt;=$J29,B$85&lt;=$K29),$D29+$D30,0)</f>
        <v>0</v>
      </c>
      <c r="C88" s="43">
        <f t="shared" si="22"/>
        <v>0</v>
      </c>
      <c r="D88" s="43">
        <f t="shared" si="22"/>
        <v>0</v>
      </c>
      <c r="E88" s="43">
        <f t="shared" si="22"/>
        <v>0</v>
      </c>
      <c r="F88" s="43">
        <f t="shared" si="22"/>
        <v>0</v>
      </c>
      <c r="G88" s="43">
        <f t="shared" si="22"/>
        <v>10.586894885361552</v>
      </c>
      <c r="H88" s="43">
        <f t="shared" si="22"/>
        <v>10.586894885361552</v>
      </c>
      <c r="I88" s="43">
        <f t="shared" si="22"/>
        <v>0</v>
      </c>
      <c r="J88" s="43">
        <f t="shared" si="22"/>
        <v>0</v>
      </c>
      <c r="K88" s="43">
        <f t="shared" si="22"/>
        <v>0</v>
      </c>
      <c r="L88" s="43">
        <f t="shared" si="22"/>
        <v>0</v>
      </c>
      <c r="M88" s="43">
        <f t="shared" si="22"/>
        <v>0</v>
      </c>
      <c r="N88" s="43">
        <f t="shared" si="22"/>
        <v>0</v>
      </c>
    </row>
    <row r="89" spans="1:14" ht="12.75">
      <c r="A89" s="4" t="str">
        <f>A31</f>
        <v>HGS Foundations </v>
      </c>
      <c r="B89" s="43">
        <f aca="true" t="shared" si="23" ref="B89:N89">IF(AND(B$85&gt;=$J31,B$85&lt;=$K31),$D31+$D32,0)</f>
        <v>0</v>
      </c>
      <c r="C89" s="43">
        <f t="shared" si="23"/>
        <v>0</v>
      </c>
      <c r="D89" s="43">
        <f t="shared" si="23"/>
        <v>0</v>
      </c>
      <c r="E89" s="43">
        <f t="shared" si="23"/>
        <v>0</v>
      </c>
      <c r="F89" s="43">
        <f t="shared" si="23"/>
        <v>0</v>
      </c>
      <c r="G89" s="43">
        <f t="shared" si="23"/>
        <v>0</v>
      </c>
      <c r="H89" s="43">
        <f t="shared" si="23"/>
        <v>0</v>
      </c>
      <c r="I89" s="43">
        <f t="shared" si="23"/>
        <v>46.51440059964726</v>
      </c>
      <c r="J89" s="43">
        <f t="shared" si="23"/>
        <v>46.51440059964726</v>
      </c>
      <c r="K89" s="43">
        <f t="shared" si="23"/>
        <v>46.51440059964726</v>
      </c>
      <c r="L89" s="43">
        <f t="shared" si="23"/>
        <v>46.51440059964726</v>
      </c>
      <c r="M89" s="43">
        <f t="shared" si="23"/>
        <v>0</v>
      </c>
      <c r="N89" s="43">
        <f t="shared" si="23"/>
        <v>0</v>
      </c>
    </row>
    <row r="90" spans="1:14" ht="12.75">
      <c r="A90" s="4" t="str">
        <f>A33</f>
        <v>HGS Paving</v>
      </c>
      <c r="B90" s="43">
        <f aca="true" t="shared" si="24" ref="B90:N90">IF(AND(B$85&gt;=$J33,B$85&lt;=$K33),$D33+$D34,0)</f>
        <v>0</v>
      </c>
      <c r="C90" s="43">
        <f t="shared" si="24"/>
        <v>0</v>
      </c>
      <c r="D90" s="43">
        <f t="shared" si="24"/>
        <v>0</v>
      </c>
      <c r="E90" s="43">
        <f t="shared" si="24"/>
        <v>0</v>
      </c>
      <c r="F90" s="43">
        <f t="shared" si="24"/>
        <v>0</v>
      </c>
      <c r="G90" s="43">
        <f t="shared" si="24"/>
        <v>0</v>
      </c>
      <c r="H90" s="43">
        <f t="shared" si="24"/>
        <v>0</v>
      </c>
      <c r="I90" s="43">
        <f t="shared" si="24"/>
        <v>12.846610255095547</v>
      </c>
      <c r="J90" s="43">
        <f t="shared" si="24"/>
        <v>12.846610255095547</v>
      </c>
      <c r="K90" s="43">
        <f t="shared" si="24"/>
        <v>12.846610255095547</v>
      </c>
      <c r="L90" s="43">
        <f t="shared" si="24"/>
        <v>12.846610255095547</v>
      </c>
      <c r="M90" s="43">
        <f t="shared" si="24"/>
        <v>0</v>
      </c>
      <c r="N90" s="43">
        <f t="shared" si="24"/>
        <v>0</v>
      </c>
    </row>
    <row r="91" spans="1:14" ht="12.75">
      <c r="A91" s="4" t="str">
        <f>A35</f>
        <v>HGS Equipment Installation</v>
      </c>
      <c r="B91" s="43">
        <f aca="true" t="shared" si="25" ref="B91:N91">IF(AND(B$85&gt;=$J35,B$85&lt;=$K35),$D35+$D36,0)</f>
        <v>0</v>
      </c>
      <c r="C91" s="43">
        <f t="shared" si="25"/>
        <v>0</v>
      </c>
      <c r="D91" s="43">
        <f t="shared" si="25"/>
        <v>0</v>
      </c>
      <c r="E91" s="43">
        <f t="shared" si="25"/>
        <v>0</v>
      </c>
      <c r="F91" s="43">
        <f t="shared" si="25"/>
        <v>0</v>
      </c>
      <c r="G91" s="43">
        <f t="shared" si="25"/>
        <v>0</v>
      </c>
      <c r="H91" s="43">
        <f t="shared" si="25"/>
        <v>0</v>
      </c>
      <c r="I91" s="43">
        <f t="shared" si="25"/>
        <v>0</v>
      </c>
      <c r="J91" s="43">
        <f t="shared" si="25"/>
        <v>0</v>
      </c>
      <c r="K91" s="43">
        <f t="shared" si="25"/>
        <v>0</v>
      </c>
      <c r="L91" s="43">
        <f t="shared" si="25"/>
        <v>0</v>
      </c>
      <c r="M91" s="43">
        <f t="shared" si="25"/>
        <v>100.38867689594356</v>
      </c>
      <c r="N91" s="43">
        <f t="shared" si="25"/>
        <v>100.38867689594356</v>
      </c>
    </row>
    <row r="92" spans="1:14" ht="12.75">
      <c r="A92" s="4" t="str">
        <f>A37</f>
        <v>SGS Slab Demolition</v>
      </c>
      <c r="B92" s="43">
        <f aca="true" t="shared" si="26" ref="B92:N92">IF(AND(B$85&gt;=$J37,B$85&lt;=$K37),$D37+$D38,0)</f>
        <v>9.830904850088183</v>
      </c>
      <c r="C92" s="43">
        <f t="shared" si="26"/>
        <v>9.830904850088183</v>
      </c>
      <c r="D92" s="43">
        <f t="shared" si="26"/>
        <v>0</v>
      </c>
      <c r="E92" s="43">
        <f t="shared" si="26"/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0</v>
      </c>
      <c r="K92" s="43">
        <f t="shared" si="26"/>
        <v>0</v>
      </c>
      <c r="L92" s="43">
        <f t="shared" si="26"/>
        <v>0</v>
      </c>
      <c r="M92" s="43">
        <f t="shared" si="26"/>
        <v>0</v>
      </c>
      <c r="N92" s="43">
        <f t="shared" si="26"/>
        <v>0</v>
      </c>
    </row>
    <row r="93" spans="1:14" ht="12.75">
      <c r="A93" s="4" t="str">
        <f>A39</f>
        <v>SGS Grading</v>
      </c>
      <c r="B93" s="43">
        <f aca="true" t="shared" si="27" ref="B93:N93">IF(AND(B$85&gt;=$J39,B$85&lt;=$K39),$D39+$D40,0)</f>
        <v>0</v>
      </c>
      <c r="C93" s="43">
        <f t="shared" si="27"/>
        <v>0</v>
      </c>
      <c r="D93" s="43">
        <f t="shared" si="27"/>
        <v>0</v>
      </c>
      <c r="E93" s="43">
        <f t="shared" si="27"/>
        <v>0</v>
      </c>
      <c r="F93" s="43">
        <f t="shared" si="27"/>
        <v>0</v>
      </c>
      <c r="G93" s="43">
        <f t="shared" si="27"/>
        <v>6.094834021164021</v>
      </c>
      <c r="H93" s="43">
        <f t="shared" si="27"/>
        <v>6.094834021164021</v>
      </c>
      <c r="I93" s="43">
        <f t="shared" si="27"/>
        <v>0</v>
      </c>
      <c r="J93" s="43">
        <f t="shared" si="27"/>
        <v>0</v>
      </c>
      <c r="K93" s="43">
        <f t="shared" si="27"/>
        <v>0</v>
      </c>
      <c r="L93" s="43">
        <f t="shared" si="27"/>
        <v>0</v>
      </c>
      <c r="M93" s="43">
        <f t="shared" si="27"/>
        <v>0</v>
      </c>
      <c r="N93" s="43">
        <f t="shared" si="27"/>
        <v>0</v>
      </c>
    </row>
    <row r="94" spans="1:14" ht="12.75">
      <c r="A94" s="4" t="str">
        <f>A41</f>
        <v>SGS Foundations </v>
      </c>
      <c r="B94" s="43">
        <f aca="true" t="shared" si="28" ref="B94:N94">IF(AND(B$85&gt;=$J41,B$85&lt;=$K41),$D41+$D42,0)</f>
        <v>0</v>
      </c>
      <c r="C94" s="43">
        <f t="shared" si="28"/>
        <v>0</v>
      </c>
      <c r="D94" s="43">
        <f t="shared" si="28"/>
        <v>0</v>
      </c>
      <c r="E94" s="43">
        <f t="shared" si="28"/>
        <v>0</v>
      </c>
      <c r="F94" s="43">
        <f t="shared" si="28"/>
        <v>0</v>
      </c>
      <c r="G94" s="43">
        <f t="shared" si="28"/>
        <v>0</v>
      </c>
      <c r="H94" s="43">
        <f t="shared" si="28"/>
        <v>0</v>
      </c>
      <c r="I94" s="43">
        <f t="shared" si="28"/>
        <v>5.111793262786596</v>
      </c>
      <c r="J94" s="43">
        <f t="shared" si="28"/>
        <v>5.111793262786596</v>
      </c>
      <c r="K94" s="43">
        <f t="shared" si="28"/>
        <v>5.111793262786596</v>
      </c>
      <c r="L94" s="43">
        <f t="shared" si="28"/>
        <v>5.111793262786596</v>
      </c>
      <c r="M94" s="43">
        <f t="shared" si="28"/>
        <v>0</v>
      </c>
      <c r="N94" s="43">
        <f t="shared" si="28"/>
        <v>0</v>
      </c>
    </row>
    <row r="95" spans="1:14" ht="12.75">
      <c r="A95" s="4" t="str">
        <f>A43</f>
        <v>SGS Paving</v>
      </c>
      <c r="B95" s="43">
        <f aca="true" t="shared" si="29" ref="B95:N95">IF(AND(B$85&gt;=$J43,B$85&lt;=$K43),$D43+$D44,0)</f>
        <v>0</v>
      </c>
      <c r="C95" s="43">
        <f t="shared" si="29"/>
        <v>0</v>
      </c>
      <c r="D95" s="43">
        <f t="shared" si="29"/>
        <v>0</v>
      </c>
      <c r="E95" s="43">
        <f t="shared" si="29"/>
        <v>0</v>
      </c>
      <c r="F95" s="43">
        <f t="shared" si="29"/>
        <v>0</v>
      </c>
      <c r="G95" s="43">
        <f t="shared" si="29"/>
        <v>0</v>
      </c>
      <c r="H95" s="43">
        <f t="shared" si="29"/>
        <v>0</v>
      </c>
      <c r="I95" s="43">
        <f t="shared" si="29"/>
        <v>3.5191449971817668</v>
      </c>
      <c r="J95" s="43">
        <f t="shared" si="29"/>
        <v>3.5191449971817668</v>
      </c>
      <c r="K95" s="43">
        <f t="shared" si="29"/>
        <v>3.5191449971817668</v>
      </c>
      <c r="L95" s="43">
        <f t="shared" si="29"/>
        <v>3.5191449971817668</v>
      </c>
      <c r="M95" s="43">
        <f t="shared" si="29"/>
        <v>0</v>
      </c>
      <c r="N95" s="43">
        <f t="shared" si="29"/>
        <v>0</v>
      </c>
    </row>
    <row r="96" spans="1:14" ht="12.75">
      <c r="A96" s="4" t="str">
        <f>A45</f>
        <v>SGS Equipment Installation</v>
      </c>
      <c r="B96" s="43">
        <f aca="true" t="shared" si="30" ref="B96:N96">IF(AND(B$85&gt;=$J45,B$85&lt;=$K45),$D45+$D46,0)</f>
        <v>0</v>
      </c>
      <c r="C96" s="43">
        <f t="shared" si="30"/>
        <v>0</v>
      </c>
      <c r="D96" s="43">
        <f t="shared" si="30"/>
        <v>0</v>
      </c>
      <c r="E96" s="43">
        <f t="shared" si="30"/>
        <v>0</v>
      </c>
      <c r="F96" s="43">
        <f t="shared" si="30"/>
        <v>0</v>
      </c>
      <c r="G96" s="43">
        <f t="shared" si="30"/>
        <v>0</v>
      </c>
      <c r="H96" s="43">
        <f t="shared" si="30"/>
        <v>0</v>
      </c>
      <c r="I96" s="43">
        <f t="shared" si="30"/>
        <v>0</v>
      </c>
      <c r="J96" s="43">
        <f t="shared" si="30"/>
        <v>0</v>
      </c>
      <c r="K96" s="43">
        <f t="shared" si="30"/>
        <v>0</v>
      </c>
      <c r="L96" s="43">
        <f t="shared" si="30"/>
        <v>0</v>
      </c>
      <c r="M96" s="43">
        <f t="shared" si="30"/>
        <v>56.649976843033514</v>
      </c>
      <c r="N96" s="43">
        <f t="shared" si="30"/>
        <v>56.649976843033514</v>
      </c>
    </row>
    <row r="97" spans="1:14" ht="12.75">
      <c r="A97" s="4" t="str">
        <f>A47</f>
        <v>VGS Demolition</v>
      </c>
      <c r="B97" s="43">
        <f aca="true" t="shared" si="31" ref="B97:N97">IF(AND(B$85&gt;=$J47,B$85&lt;=$K47),$D47+$D48,0)</f>
        <v>18.802112253023758</v>
      </c>
      <c r="C97" s="43">
        <f t="shared" si="31"/>
        <v>18.802112253023758</v>
      </c>
      <c r="D97" s="43">
        <f t="shared" si="31"/>
        <v>0</v>
      </c>
      <c r="E97" s="43">
        <f t="shared" si="31"/>
        <v>0</v>
      </c>
      <c r="F97" s="43">
        <f t="shared" si="31"/>
        <v>0</v>
      </c>
      <c r="G97" s="43">
        <f t="shared" si="31"/>
        <v>0</v>
      </c>
      <c r="H97" s="43">
        <f t="shared" si="31"/>
        <v>0</v>
      </c>
      <c r="I97" s="43">
        <f t="shared" si="31"/>
        <v>0</v>
      </c>
      <c r="J97" s="43">
        <f t="shared" si="31"/>
        <v>0</v>
      </c>
      <c r="K97" s="43">
        <f t="shared" si="31"/>
        <v>0</v>
      </c>
      <c r="L97" s="43">
        <f t="shared" si="31"/>
        <v>0</v>
      </c>
      <c r="M97" s="43">
        <f t="shared" si="31"/>
        <v>0</v>
      </c>
      <c r="N97" s="43">
        <f t="shared" si="31"/>
        <v>0</v>
      </c>
    </row>
    <row r="98" spans="1:14" ht="12.75">
      <c r="A98" s="4" t="str">
        <f>A49</f>
        <v>VGS Grading</v>
      </c>
      <c r="B98" s="43">
        <f aca="true" t="shared" si="32" ref="B98:N98">IF(AND(B$85&gt;=$J49,B$85&lt;=$K49),$D49+$D50,0)</f>
        <v>0</v>
      </c>
      <c r="C98" s="43">
        <f t="shared" si="32"/>
        <v>0</v>
      </c>
      <c r="D98" s="43">
        <f t="shared" si="32"/>
        <v>6.033614885361552</v>
      </c>
      <c r="E98" s="43">
        <f t="shared" si="32"/>
        <v>6.033614885361552</v>
      </c>
      <c r="F98" s="43">
        <f t="shared" si="32"/>
        <v>0</v>
      </c>
      <c r="G98" s="43">
        <f t="shared" si="32"/>
        <v>0</v>
      </c>
      <c r="H98" s="43">
        <f t="shared" si="32"/>
        <v>0</v>
      </c>
      <c r="I98" s="43">
        <f t="shared" si="32"/>
        <v>0</v>
      </c>
      <c r="J98" s="43">
        <f t="shared" si="32"/>
        <v>0</v>
      </c>
      <c r="K98" s="43">
        <f t="shared" si="32"/>
        <v>0</v>
      </c>
      <c r="L98" s="43">
        <f t="shared" si="32"/>
        <v>0</v>
      </c>
      <c r="M98" s="43">
        <f t="shared" si="32"/>
        <v>0</v>
      </c>
      <c r="N98" s="43">
        <f t="shared" si="32"/>
        <v>0</v>
      </c>
    </row>
    <row r="99" spans="1:14" ht="12.75">
      <c r="A99" s="4" t="str">
        <f>A51</f>
        <v>VGS Foundations </v>
      </c>
      <c r="B99" s="43">
        <f aca="true" t="shared" si="33" ref="B99:N99">IF(AND(B$85&gt;=$J51,B$85&lt;=$K51),$D51+$D52,0)</f>
        <v>0</v>
      </c>
      <c r="C99" s="43">
        <f t="shared" si="33"/>
        <v>0</v>
      </c>
      <c r="D99" s="43">
        <f t="shared" si="33"/>
        <v>0</v>
      </c>
      <c r="E99" s="43">
        <f t="shared" si="33"/>
        <v>0</v>
      </c>
      <c r="F99" s="43">
        <f t="shared" si="33"/>
        <v>11.536346807760141</v>
      </c>
      <c r="G99" s="43">
        <f t="shared" si="33"/>
        <v>11.536346807760141</v>
      </c>
      <c r="H99" s="43">
        <f t="shared" si="33"/>
        <v>11.536346807760141</v>
      </c>
      <c r="I99" s="43">
        <f t="shared" si="33"/>
        <v>11.536346807760141</v>
      </c>
      <c r="J99" s="43">
        <f t="shared" si="33"/>
        <v>11.536346807760141</v>
      </c>
      <c r="K99" s="43">
        <f t="shared" si="33"/>
        <v>0</v>
      </c>
      <c r="L99" s="43">
        <f t="shared" si="33"/>
        <v>0</v>
      </c>
      <c r="M99" s="43">
        <f t="shared" si="33"/>
        <v>0</v>
      </c>
      <c r="N99" s="43">
        <f t="shared" si="33"/>
        <v>0</v>
      </c>
    </row>
    <row r="100" spans="1:14" ht="12.75">
      <c r="A100" s="4" t="str">
        <f>A53</f>
        <v>VGS Paving</v>
      </c>
      <c r="B100" s="43">
        <f aca="true" t="shared" si="34" ref="B100:N100">IF(AND(B$85&gt;=$J53,B$85&lt;=$K53),$D53+$D54,0)</f>
        <v>0</v>
      </c>
      <c r="C100" s="43">
        <f t="shared" si="34"/>
        <v>0</v>
      </c>
      <c r="D100" s="43">
        <f t="shared" si="34"/>
        <v>0</v>
      </c>
      <c r="E100" s="43">
        <f t="shared" si="34"/>
        <v>0</v>
      </c>
      <c r="F100" s="43">
        <f t="shared" si="34"/>
        <v>0</v>
      </c>
      <c r="G100" s="43">
        <f t="shared" si="34"/>
        <v>0</v>
      </c>
      <c r="H100" s="43">
        <f t="shared" si="34"/>
        <v>0</v>
      </c>
      <c r="I100" s="43">
        <f t="shared" si="34"/>
        <v>4.275023158602884</v>
      </c>
      <c r="J100" s="43">
        <f t="shared" si="34"/>
        <v>4.275023158602884</v>
      </c>
      <c r="K100" s="43">
        <f t="shared" si="34"/>
        <v>4.275023158602884</v>
      </c>
      <c r="L100" s="43">
        <f t="shared" si="34"/>
        <v>0</v>
      </c>
      <c r="M100" s="43">
        <f t="shared" si="34"/>
        <v>0</v>
      </c>
      <c r="N100" s="43">
        <f t="shared" si="34"/>
        <v>0</v>
      </c>
    </row>
    <row r="101" spans="1:14" ht="12.75">
      <c r="A101" s="4" t="str">
        <f>A55</f>
        <v>VGS Equipment Installation</v>
      </c>
      <c r="B101" s="43">
        <f aca="true" t="shared" si="35" ref="B101:N101">IF(AND(B$85&gt;=$J55,B$85&lt;=$K55),$D55+$D56,0)</f>
        <v>0</v>
      </c>
      <c r="C101" s="43">
        <f t="shared" si="35"/>
        <v>0</v>
      </c>
      <c r="D101" s="43">
        <f t="shared" si="35"/>
        <v>0</v>
      </c>
      <c r="E101" s="43">
        <f t="shared" si="35"/>
        <v>0</v>
      </c>
      <c r="F101" s="43">
        <f t="shared" si="35"/>
        <v>0</v>
      </c>
      <c r="G101" s="43">
        <f t="shared" si="35"/>
        <v>0</v>
      </c>
      <c r="H101" s="43">
        <f t="shared" si="35"/>
        <v>0</v>
      </c>
      <c r="I101" s="43">
        <f t="shared" si="35"/>
        <v>0</v>
      </c>
      <c r="J101" s="43">
        <f t="shared" si="35"/>
        <v>0</v>
      </c>
      <c r="K101" s="43">
        <f t="shared" si="35"/>
        <v>0</v>
      </c>
      <c r="L101" s="43">
        <f t="shared" si="35"/>
        <v>0</v>
      </c>
      <c r="M101" s="43">
        <f t="shared" si="35"/>
        <v>30.535073509700176</v>
      </c>
      <c r="N101" s="43">
        <f t="shared" si="35"/>
        <v>30.535073509700176</v>
      </c>
    </row>
    <row r="102" spans="1:14" ht="12.75">
      <c r="A102" s="15" t="s">
        <v>24</v>
      </c>
      <c r="B102" s="44">
        <f aca="true" t="shared" si="36" ref="B102:N102">SUM(B86:B101)</f>
        <v>326.0393327075868</v>
      </c>
      <c r="C102" s="44">
        <f t="shared" si="36"/>
        <v>326.0393327075868</v>
      </c>
      <c r="D102" s="44">
        <f t="shared" si="36"/>
        <v>45.94344084656085</v>
      </c>
      <c r="E102" s="44">
        <f t="shared" si="36"/>
        <v>45.94344084656085</v>
      </c>
      <c r="F102" s="44">
        <f t="shared" si="36"/>
        <v>51.446172768959435</v>
      </c>
      <c r="G102" s="44">
        <f t="shared" si="36"/>
        <v>68.127901675485</v>
      </c>
      <c r="H102" s="44">
        <f t="shared" si="36"/>
        <v>68.127901675485</v>
      </c>
      <c r="I102" s="44">
        <f t="shared" si="36"/>
        <v>83.80331908107419</v>
      </c>
      <c r="J102" s="44">
        <f t="shared" si="36"/>
        <v>83.80331908107419</v>
      </c>
      <c r="K102" s="44">
        <f t="shared" si="36"/>
        <v>72.26697227331405</v>
      </c>
      <c r="L102" s="44">
        <f t="shared" si="36"/>
        <v>67.99194911471118</v>
      </c>
      <c r="M102" s="44">
        <f t="shared" si="36"/>
        <v>187.57372724867724</v>
      </c>
      <c r="N102" s="44">
        <f t="shared" si="36"/>
        <v>187.57372724867724</v>
      </c>
    </row>
    <row r="103" spans="1:14" ht="12.75">
      <c r="A103" s="39" t="s">
        <v>132</v>
      </c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7"/>
      <c r="M103" s="47"/>
      <c r="N103" s="47"/>
    </row>
    <row r="104" spans="1:14" ht="12.75">
      <c r="A104" s="62" t="s">
        <v>276</v>
      </c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7"/>
      <c r="M104" s="47"/>
      <c r="N104" s="47"/>
    </row>
    <row r="105" spans="1:11" ht="12.75">
      <c r="A105" s="29"/>
      <c r="B105" s="48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2.75">
      <c r="A106" s="29"/>
      <c r="B106" s="48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4" ht="12.75">
      <c r="A107" s="86" t="s">
        <v>312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">
      <c r="A108" s="85" t="s">
        <v>306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37" t="s">
        <v>87</v>
      </c>
      <c r="B109" s="69">
        <v>1</v>
      </c>
      <c r="C109" s="69">
        <v>10</v>
      </c>
      <c r="D109" s="69">
        <v>11</v>
      </c>
      <c r="E109" s="69">
        <v>15</v>
      </c>
      <c r="F109" s="69">
        <v>16</v>
      </c>
      <c r="G109" s="69">
        <v>18</v>
      </c>
      <c r="H109" s="69">
        <v>20</v>
      </c>
      <c r="I109" s="69">
        <v>21</v>
      </c>
      <c r="J109" s="69">
        <v>22</v>
      </c>
      <c r="K109" s="69">
        <v>25</v>
      </c>
      <c r="L109" s="69">
        <v>28</v>
      </c>
      <c r="M109" s="69">
        <v>29</v>
      </c>
      <c r="N109" s="69">
        <v>150</v>
      </c>
    </row>
    <row r="110" spans="1:14" ht="12.75">
      <c r="A110" s="4" t="str">
        <f>A25</f>
        <v>HGS Tank Demolition</v>
      </c>
      <c r="B110" s="43">
        <f aca="true" t="shared" si="37" ref="B110:N110">IF(AND(B$109&gt;=$J25,B$109&lt;=$K25),$E25+$E26,0)</f>
        <v>260.3767848606702</v>
      </c>
      <c r="C110" s="43">
        <f t="shared" si="37"/>
        <v>260.3767848606702</v>
      </c>
      <c r="D110" s="43">
        <f t="shared" si="37"/>
        <v>0</v>
      </c>
      <c r="E110" s="43">
        <f t="shared" si="37"/>
        <v>0</v>
      </c>
      <c r="F110" s="43">
        <f t="shared" si="37"/>
        <v>0</v>
      </c>
      <c r="G110" s="43">
        <f t="shared" si="37"/>
        <v>0</v>
      </c>
      <c r="H110" s="43">
        <f t="shared" si="37"/>
        <v>0</v>
      </c>
      <c r="I110" s="43">
        <f t="shared" si="37"/>
        <v>0</v>
      </c>
      <c r="J110" s="43">
        <f t="shared" si="37"/>
        <v>0</v>
      </c>
      <c r="K110" s="43">
        <f t="shared" si="37"/>
        <v>0</v>
      </c>
      <c r="L110" s="43">
        <f t="shared" si="37"/>
        <v>0</v>
      </c>
      <c r="M110" s="43">
        <f t="shared" si="37"/>
        <v>0</v>
      </c>
      <c r="N110" s="43">
        <f t="shared" si="37"/>
        <v>0</v>
      </c>
    </row>
    <row r="111" spans="1:14" ht="12.75">
      <c r="A111" s="4" t="str">
        <f>A27</f>
        <v>HGS Backfill</v>
      </c>
      <c r="B111" s="43">
        <f aca="true" t="shared" si="38" ref="B111:N111">IF(AND(B$109&gt;=$J27,B$109&lt;=$K27),$E27+$E28,0)</f>
        <v>0</v>
      </c>
      <c r="C111" s="43">
        <f t="shared" si="38"/>
        <v>0</v>
      </c>
      <c r="D111" s="43">
        <f t="shared" si="38"/>
        <v>344.3539751675485</v>
      </c>
      <c r="E111" s="43">
        <f t="shared" si="38"/>
        <v>344.3539751675485</v>
      </c>
      <c r="F111" s="43">
        <f t="shared" si="38"/>
        <v>344.3539751675485</v>
      </c>
      <c r="G111" s="43">
        <f t="shared" si="38"/>
        <v>344.3539751675485</v>
      </c>
      <c r="H111" s="43">
        <f t="shared" si="38"/>
        <v>344.3539751675485</v>
      </c>
      <c r="I111" s="43">
        <f t="shared" si="38"/>
        <v>0</v>
      </c>
      <c r="J111" s="43">
        <f t="shared" si="38"/>
        <v>0</v>
      </c>
      <c r="K111" s="43">
        <f t="shared" si="38"/>
        <v>0</v>
      </c>
      <c r="L111" s="43">
        <f t="shared" si="38"/>
        <v>0</v>
      </c>
      <c r="M111" s="43">
        <f t="shared" si="38"/>
        <v>0</v>
      </c>
      <c r="N111" s="43">
        <f t="shared" si="38"/>
        <v>0</v>
      </c>
    </row>
    <row r="112" spans="1:14" ht="12.75">
      <c r="A112" s="4" t="str">
        <f>A29</f>
        <v>HGS Grading</v>
      </c>
      <c r="B112" s="43">
        <f aca="true" t="shared" si="39" ref="B112:N112">IF(AND(B$109&gt;=$J29,B$109&lt;=$K29),$E29+$E30,0)</f>
        <v>0</v>
      </c>
      <c r="C112" s="43">
        <f t="shared" si="39"/>
        <v>0</v>
      </c>
      <c r="D112" s="43">
        <f t="shared" si="39"/>
        <v>0</v>
      </c>
      <c r="E112" s="43">
        <f t="shared" si="39"/>
        <v>0</v>
      </c>
      <c r="F112" s="43">
        <f t="shared" si="39"/>
        <v>0</v>
      </c>
      <c r="G112" s="43">
        <f t="shared" si="39"/>
        <v>79.05137209876544</v>
      </c>
      <c r="H112" s="43">
        <f t="shared" si="39"/>
        <v>79.05137209876544</v>
      </c>
      <c r="I112" s="43">
        <f t="shared" si="39"/>
        <v>0</v>
      </c>
      <c r="J112" s="43">
        <f t="shared" si="39"/>
        <v>0</v>
      </c>
      <c r="K112" s="43">
        <f t="shared" si="39"/>
        <v>0</v>
      </c>
      <c r="L112" s="43">
        <f t="shared" si="39"/>
        <v>0</v>
      </c>
      <c r="M112" s="43">
        <f t="shared" si="39"/>
        <v>0</v>
      </c>
      <c r="N112" s="43">
        <f t="shared" si="39"/>
        <v>0</v>
      </c>
    </row>
    <row r="113" spans="1:14" ht="12.75">
      <c r="A113" s="4" t="str">
        <f>A31</f>
        <v>HGS Foundations </v>
      </c>
      <c r="B113" s="43">
        <f aca="true" t="shared" si="40" ref="B113:N113">IF(AND(B$109&gt;=$J31,B$109&lt;=$K31),$E31+$E32,0)</f>
        <v>0</v>
      </c>
      <c r="C113" s="43">
        <f t="shared" si="40"/>
        <v>0</v>
      </c>
      <c r="D113" s="43">
        <f t="shared" si="40"/>
        <v>0</v>
      </c>
      <c r="E113" s="43">
        <f t="shared" si="40"/>
        <v>0</v>
      </c>
      <c r="F113" s="43">
        <f t="shared" si="40"/>
        <v>0</v>
      </c>
      <c r="G113" s="43">
        <f t="shared" si="40"/>
        <v>0</v>
      </c>
      <c r="H113" s="43">
        <f t="shared" si="40"/>
        <v>0</v>
      </c>
      <c r="I113" s="43">
        <f t="shared" si="40"/>
        <v>185.85512296296298</v>
      </c>
      <c r="J113" s="43">
        <f t="shared" si="40"/>
        <v>185.85512296296298</v>
      </c>
      <c r="K113" s="43">
        <f t="shared" si="40"/>
        <v>185.85512296296298</v>
      </c>
      <c r="L113" s="43">
        <f t="shared" si="40"/>
        <v>185.85512296296298</v>
      </c>
      <c r="M113" s="43">
        <f t="shared" si="40"/>
        <v>0</v>
      </c>
      <c r="N113" s="43">
        <f t="shared" si="40"/>
        <v>0</v>
      </c>
    </row>
    <row r="114" spans="1:14" ht="12.75">
      <c r="A114" s="4" t="str">
        <f>A33</f>
        <v>HGS Paving</v>
      </c>
      <c r="B114" s="43">
        <f aca="true" t="shared" si="41" ref="B114:N114">IF(AND(B$109&gt;=$J33,B$109&lt;=$K33),$E33+$E34,0)</f>
        <v>0</v>
      </c>
      <c r="C114" s="43">
        <f t="shared" si="41"/>
        <v>0</v>
      </c>
      <c r="D114" s="43">
        <f t="shared" si="41"/>
        <v>0</v>
      </c>
      <c r="E114" s="43">
        <f t="shared" si="41"/>
        <v>0</v>
      </c>
      <c r="F114" s="43">
        <f t="shared" si="41"/>
        <v>0</v>
      </c>
      <c r="G114" s="43">
        <f t="shared" si="41"/>
        <v>0</v>
      </c>
      <c r="H114" s="43">
        <f t="shared" si="41"/>
        <v>0</v>
      </c>
      <c r="I114" s="43">
        <f t="shared" si="41"/>
        <v>86.38166328042328</v>
      </c>
      <c r="J114" s="43">
        <f t="shared" si="41"/>
        <v>86.38166328042328</v>
      </c>
      <c r="K114" s="43">
        <f t="shared" si="41"/>
        <v>86.38166328042328</v>
      </c>
      <c r="L114" s="43">
        <f t="shared" si="41"/>
        <v>86.38166328042328</v>
      </c>
      <c r="M114" s="43">
        <f t="shared" si="41"/>
        <v>0</v>
      </c>
      <c r="N114" s="43">
        <f t="shared" si="41"/>
        <v>0</v>
      </c>
    </row>
    <row r="115" spans="1:14" ht="12.75">
      <c r="A115" s="4" t="str">
        <f>A35</f>
        <v>HGS Equipment Installation</v>
      </c>
      <c r="B115" s="43">
        <f aca="true" t="shared" si="42" ref="B115:N115">IF(AND(B$109&gt;=$J35,B$109&lt;=$K35),$E35+$E36,0)</f>
        <v>0</v>
      </c>
      <c r="C115" s="43">
        <f t="shared" si="42"/>
        <v>0</v>
      </c>
      <c r="D115" s="43">
        <f t="shared" si="42"/>
        <v>0</v>
      </c>
      <c r="E115" s="43">
        <f t="shared" si="42"/>
        <v>0</v>
      </c>
      <c r="F115" s="43">
        <f t="shared" si="42"/>
        <v>0</v>
      </c>
      <c r="G115" s="43">
        <f t="shared" si="42"/>
        <v>0</v>
      </c>
      <c r="H115" s="43">
        <f t="shared" si="42"/>
        <v>0</v>
      </c>
      <c r="I115" s="43">
        <f t="shared" si="42"/>
        <v>0</v>
      </c>
      <c r="J115" s="43">
        <f t="shared" si="42"/>
        <v>0</v>
      </c>
      <c r="K115" s="43">
        <f t="shared" si="42"/>
        <v>0</v>
      </c>
      <c r="L115" s="43">
        <f t="shared" si="42"/>
        <v>0</v>
      </c>
      <c r="M115" s="43">
        <f t="shared" si="42"/>
        <v>364.2623581657848</v>
      </c>
      <c r="N115" s="43">
        <f t="shared" si="42"/>
        <v>364.2623581657848</v>
      </c>
    </row>
    <row r="116" spans="1:14" ht="12.75">
      <c r="A116" s="4" t="str">
        <f>A37</f>
        <v>SGS Slab Demolition</v>
      </c>
      <c r="B116" s="43">
        <f aca="true" t="shared" si="43" ref="B116:N116">IF(AND(B$109&gt;=$J37,B$109&lt;=$K37),$E37+$E38,0)</f>
        <v>68.27445569664903</v>
      </c>
      <c r="C116" s="43">
        <f t="shared" si="43"/>
        <v>68.27445569664903</v>
      </c>
      <c r="D116" s="43">
        <f t="shared" si="43"/>
        <v>0</v>
      </c>
      <c r="E116" s="43">
        <f t="shared" si="43"/>
        <v>0</v>
      </c>
      <c r="F116" s="43">
        <f t="shared" si="43"/>
        <v>0</v>
      </c>
      <c r="G116" s="43">
        <f t="shared" si="43"/>
        <v>0</v>
      </c>
      <c r="H116" s="43">
        <f t="shared" si="43"/>
        <v>0</v>
      </c>
      <c r="I116" s="43">
        <f t="shared" si="43"/>
        <v>0</v>
      </c>
      <c r="J116" s="43">
        <f t="shared" si="43"/>
        <v>0</v>
      </c>
      <c r="K116" s="43">
        <f t="shared" si="43"/>
        <v>0</v>
      </c>
      <c r="L116" s="43">
        <f t="shared" si="43"/>
        <v>0</v>
      </c>
      <c r="M116" s="43">
        <f t="shared" si="43"/>
        <v>0</v>
      </c>
      <c r="N116" s="43">
        <f t="shared" si="43"/>
        <v>0</v>
      </c>
    </row>
    <row r="117" spans="1:14" ht="12.75">
      <c r="A117" s="4" t="str">
        <f>A39</f>
        <v>SGS Grading</v>
      </c>
      <c r="B117" s="43">
        <f aca="true" t="shared" si="44" ref="B117:N117">IF(AND(B$109&gt;=$J39,B$109&lt;=$K39),$E39+$E40,0)</f>
        <v>0</v>
      </c>
      <c r="C117" s="43">
        <f t="shared" si="44"/>
        <v>0</v>
      </c>
      <c r="D117" s="43">
        <f t="shared" si="44"/>
        <v>0</v>
      </c>
      <c r="E117" s="43">
        <f t="shared" si="44"/>
        <v>0</v>
      </c>
      <c r="F117" s="43">
        <f t="shared" si="44"/>
        <v>0</v>
      </c>
      <c r="G117" s="43">
        <f t="shared" si="44"/>
        <v>42.65416649029982</v>
      </c>
      <c r="H117" s="43">
        <f t="shared" si="44"/>
        <v>42.65416649029982</v>
      </c>
      <c r="I117" s="43">
        <f t="shared" si="44"/>
        <v>0</v>
      </c>
      <c r="J117" s="43">
        <f t="shared" si="44"/>
        <v>0</v>
      </c>
      <c r="K117" s="43">
        <f t="shared" si="44"/>
        <v>0</v>
      </c>
      <c r="L117" s="43">
        <f t="shared" si="44"/>
        <v>0</v>
      </c>
      <c r="M117" s="43">
        <f t="shared" si="44"/>
        <v>0</v>
      </c>
      <c r="N117" s="43">
        <f t="shared" si="44"/>
        <v>0</v>
      </c>
    </row>
    <row r="118" spans="1:14" ht="12.75">
      <c r="A118" s="4" t="str">
        <f>A41</f>
        <v>SGS Foundations </v>
      </c>
      <c r="B118" s="43">
        <f aca="true" t="shared" si="45" ref="B118:N118">IF(AND(B$109&gt;=$J41,B$109&lt;=$K41),$E41+$E42,0)</f>
        <v>0</v>
      </c>
      <c r="C118" s="43">
        <f t="shared" si="45"/>
        <v>0</v>
      </c>
      <c r="D118" s="43">
        <f t="shared" si="45"/>
        <v>0</v>
      </c>
      <c r="E118" s="43">
        <f t="shared" si="45"/>
        <v>0</v>
      </c>
      <c r="F118" s="43">
        <f t="shared" si="45"/>
        <v>0</v>
      </c>
      <c r="G118" s="43">
        <f t="shared" si="45"/>
        <v>0</v>
      </c>
      <c r="H118" s="43">
        <f t="shared" si="45"/>
        <v>0</v>
      </c>
      <c r="I118" s="43">
        <f t="shared" si="45"/>
        <v>28.02090271604938</v>
      </c>
      <c r="J118" s="43">
        <f t="shared" si="45"/>
        <v>28.02090271604938</v>
      </c>
      <c r="K118" s="43">
        <f t="shared" si="45"/>
        <v>28.02090271604938</v>
      </c>
      <c r="L118" s="43">
        <f t="shared" si="45"/>
        <v>28.02090271604938</v>
      </c>
      <c r="M118" s="43">
        <f t="shared" si="45"/>
        <v>0</v>
      </c>
      <c r="N118" s="43">
        <f t="shared" si="45"/>
        <v>0</v>
      </c>
    </row>
    <row r="119" spans="1:14" ht="12.75">
      <c r="A119" s="4" t="str">
        <f>A43</f>
        <v>SGS Paving</v>
      </c>
      <c r="B119" s="43">
        <f aca="true" t="shared" si="46" ref="B119:N119">IF(AND(B$109&gt;=$J43,B$109&lt;=$K43),$E43+$E44,0)</f>
        <v>0</v>
      </c>
      <c r="C119" s="43">
        <f t="shared" si="46"/>
        <v>0</v>
      </c>
      <c r="D119" s="43">
        <f t="shared" si="46"/>
        <v>0</v>
      </c>
      <c r="E119" s="43">
        <f t="shared" si="46"/>
        <v>0</v>
      </c>
      <c r="F119" s="43">
        <f t="shared" si="46"/>
        <v>0</v>
      </c>
      <c r="G119" s="43">
        <f t="shared" si="46"/>
        <v>0</v>
      </c>
      <c r="H119" s="43">
        <f t="shared" si="46"/>
        <v>0</v>
      </c>
      <c r="I119" s="43">
        <f t="shared" si="46"/>
        <v>37.23174603174603</v>
      </c>
      <c r="J119" s="43">
        <f t="shared" si="46"/>
        <v>37.23174603174603</v>
      </c>
      <c r="K119" s="43">
        <f t="shared" si="46"/>
        <v>37.23174603174603</v>
      </c>
      <c r="L119" s="43">
        <f t="shared" si="46"/>
        <v>37.23174603174603</v>
      </c>
      <c r="M119" s="43">
        <f t="shared" si="46"/>
        <v>0</v>
      </c>
      <c r="N119" s="43">
        <f t="shared" si="46"/>
        <v>0</v>
      </c>
    </row>
    <row r="120" spans="1:14" ht="12.75">
      <c r="A120" s="4" t="str">
        <f>A45</f>
        <v>SGS Equipment Installation</v>
      </c>
      <c r="B120" s="43">
        <f aca="true" t="shared" si="47" ref="B120:N120">IF(AND(B$109&gt;=$J45,B$109&lt;=$K45),$E45+$E46,0)</f>
        <v>0</v>
      </c>
      <c r="C120" s="43">
        <f t="shared" si="47"/>
        <v>0</v>
      </c>
      <c r="D120" s="43">
        <f t="shared" si="47"/>
        <v>0</v>
      </c>
      <c r="E120" s="43">
        <f t="shared" si="47"/>
        <v>0</v>
      </c>
      <c r="F120" s="43">
        <f t="shared" si="47"/>
        <v>0</v>
      </c>
      <c r="G120" s="43">
        <f t="shared" si="47"/>
        <v>0</v>
      </c>
      <c r="H120" s="43">
        <f t="shared" si="47"/>
        <v>0</v>
      </c>
      <c r="I120" s="43">
        <f t="shared" si="47"/>
        <v>0</v>
      </c>
      <c r="J120" s="43">
        <f t="shared" si="47"/>
        <v>0</v>
      </c>
      <c r="K120" s="43">
        <f t="shared" si="47"/>
        <v>0</v>
      </c>
      <c r="L120" s="43">
        <f t="shared" si="47"/>
        <v>0</v>
      </c>
      <c r="M120" s="43">
        <f t="shared" si="47"/>
        <v>135.89386155202823</v>
      </c>
      <c r="N120" s="43">
        <f t="shared" si="47"/>
        <v>135.89386155202823</v>
      </c>
    </row>
    <row r="121" spans="1:14" ht="12.75">
      <c r="A121" s="4" t="str">
        <f>A47</f>
        <v>VGS Demolition</v>
      </c>
      <c r="B121" s="43">
        <f aca="true" t="shared" si="48" ref="B121:N121">IF(AND(B$109&gt;=$J47,B$109&lt;=$K47),$E47+$E48,0)</f>
        <v>152.58700181305113</v>
      </c>
      <c r="C121" s="43">
        <f t="shared" si="48"/>
        <v>152.58700181305113</v>
      </c>
      <c r="D121" s="43">
        <f t="shared" si="48"/>
        <v>0</v>
      </c>
      <c r="E121" s="43">
        <f t="shared" si="48"/>
        <v>0</v>
      </c>
      <c r="F121" s="43">
        <f t="shared" si="48"/>
        <v>0</v>
      </c>
      <c r="G121" s="43">
        <f t="shared" si="48"/>
        <v>0</v>
      </c>
      <c r="H121" s="43">
        <f t="shared" si="48"/>
        <v>0</v>
      </c>
      <c r="I121" s="43">
        <f t="shared" si="48"/>
        <v>0</v>
      </c>
      <c r="J121" s="43">
        <f t="shared" si="48"/>
        <v>0</v>
      </c>
      <c r="K121" s="43">
        <f t="shared" si="48"/>
        <v>0</v>
      </c>
      <c r="L121" s="43">
        <f t="shared" si="48"/>
        <v>0</v>
      </c>
      <c r="M121" s="43">
        <f t="shared" si="48"/>
        <v>0</v>
      </c>
      <c r="N121" s="43">
        <f t="shared" si="48"/>
        <v>0</v>
      </c>
    </row>
    <row r="122" spans="1:14" ht="12.75">
      <c r="A122" s="4" t="str">
        <f>A49</f>
        <v>VGS Grading</v>
      </c>
      <c r="B122" s="43">
        <f aca="true" t="shared" si="49" ref="B122:N122">IF(AND(B$109&gt;=$J49,B$109&lt;=$K49),$E49+$E50,0)</f>
        <v>0</v>
      </c>
      <c r="C122" s="43">
        <f t="shared" si="49"/>
        <v>0</v>
      </c>
      <c r="D122" s="43">
        <f t="shared" si="49"/>
        <v>42.625132098765434</v>
      </c>
      <c r="E122" s="43">
        <f t="shared" si="49"/>
        <v>42.625132098765434</v>
      </c>
      <c r="F122" s="43">
        <f t="shared" si="49"/>
        <v>0</v>
      </c>
      <c r="G122" s="43">
        <f t="shared" si="49"/>
        <v>0</v>
      </c>
      <c r="H122" s="43">
        <f t="shared" si="49"/>
        <v>0</v>
      </c>
      <c r="I122" s="43">
        <f t="shared" si="49"/>
        <v>0</v>
      </c>
      <c r="J122" s="43">
        <f t="shared" si="49"/>
        <v>0</v>
      </c>
      <c r="K122" s="43">
        <f t="shared" si="49"/>
        <v>0</v>
      </c>
      <c r="L122" s="43">
        <f t="shared" si="49"/>
        <v>0</v>
      </c>
      <c r="M122" s="43">
        <f t="shared" si="49"/>
        <v>0</v>
      </c>
      <c r="N122" s="43">
        <f t="shared" si="49"/>
        <v>0</v>
      </c>
    </row>
    <row r="123" spans="1:14" ht="12.75">
      <c r="A123" s="4" t="str">
        <f>A51</f>
        <v>VGS Foundations </v>
      </c>
      <c r="B123" s="43">
        <f aca="true" t="shared" si="50" ref="B123:N123">IF(AND(B$109&gt;=$J51,B$109&lt;=$K51),$E51+$E52,0)</f>
        <v>0</v>
      </c>
      <c r="C123" s="43">
        <f t="shared" si="50"/>
        <v>0</v>
      </c>
      <c r="D123" s="43">
        <f t="shared" si="50"/>
        <v>0</v>
      </c>
      <c r="E123" s="43">
        <f t="shared" si="50"/>
        <v>0</v>
      </c>
      <c r="F123" s="43">
        <f t="shared" si="50"/>
        <v>53.23155964726631</v>
      </c>
      <c r="G123" s="43">
        <f t="shared" si="50"/>
        <v>53.23155964726631</v>
      </c>
      <c r="H123" s="43">
        <f t="shared" si="50"/>
        <v>53.23155964726631</v>
      </c>
      <c r="I123" s="43">
        <f t="shared" si="50"/>
        <v>53.23155964726631</v>
      </c>
      <c r="J123" s="43">
        <f t="shared" si="50"/>
        <v>53.23155964726631</v>
      </c>
      <c r="K123" s="43">
        <f t="shared" si="50"/>
        <v>0</v>
      </c>
      <c r="L123" s="43">
        <f t="shared" si="50"/>
        <v>0</v>
      </c>
      <c r="M123" s="43">
        <f t="shared" si="50"/>
        <v>0</v>
      </c>
      <c r="N123" s="43">
        <f t="shared" si="50"/>
        <v>0</v>
      </c>
    </row>
    <row r="124" spans="1:14" ht="12.75">
      <c r="A124" s="4" t="str">
        <f>A53</f>
        <v>VGS Paving</v>
      </c>
      <c r="B124" s="43">
        <f aca="true" t="shared" si="51" ref="B124:N124">IF(AND(B$109&gt;=$J53,B$109&lt;=$K53),$E53+$E54,0)</f>
        <v>0</v>
      </c>
      <c r="C124" s="43">
        <f t="shared" si="51"/>
        <v>0</v>
      </c>
      <c r="D124" s="43">
        <f t="shared" si="51"/>
        <v>0</v>
      </c>
      <c r="E124" s="43">
        <f t="shared" si="51"/>
        <v>0</v>
      </c>
      <c r="F124" s="43">
        <f t="shared" si="51"/>
        <v>0</v>
      </c>
      <c r="G124" s="43">
        <f t="shared" si="51"/>
        <v>0</v>
      </c>
      <c r="H124" s="43">
        <f t="shared" si="51"/>
        <v>0</v>
      </c>
      <c r="I124" s="43">
        <f t="shared" si="51"/>
        <v>38.94576719576719</v>
      </c>
      <c r="J124" s="43">
        <f t="shared" si="51"/>
        <v>38.94576719576719</v>
      </c>
      <c r="K124" s="43">
        <f t="shared" si="51"/>
        <v>38.94576719576719</v>
      </c>
      <c r="L124" s="43">
        <f t="shared" si="51"/>
        <v>0</v>
      </c>
      <c r="M124" s="43">
        <f t="shared" si="51"/>
        <v>0</v>
      </c>
      <c r="N124" s="43">
        <f t="shared" si="51"/>
        <v>0</v>
      </c>
    </row>
    <row r="125" spans="1:14" ht="12.75">
      <c r="A125" s="4" t="str">
        <f>A55</f>
        <v>VGS Equipment Installation</v>
      </c>
      <c r="B125" s="43">
        <f aca="true" t="shared" si="52" ref="B125:N125">IF(AND(B$109&gt;=$J55,B$109&lt;=$K55),$E55+$E56,0)</f>
        <v>0</v>
      </c>
      <c r="C125" s="43">
        <f t="shared" si="52"/>
        <v>0</v>
      </c>
      <c r="D125" s="43">
        <f t="shared" si="52"/>
        <v>0</v>
      </c>
      <c r="E125" s="43">
        <f t="shared" si="52"/>
        <v>0</v>
      </c>
      <c r="F125" s="43">
        <f t="shared" si="52"/>
        <v>0</v>
      </c>
      <c r="G125" s="43">
        <f t="shared" si="52"/>
        <v>0</v>
      </c>
      <c r="H125" s="43">
        <f t="shared" si="52"/>
        <v>0</v>
      </c>
      <c r="I125" s="43">
        <f t="shared" si="52"/>
        <v>0</v>
      </c>
      <c r="J125" s="43">
        <f t="shared" si="52"/>
        <v>0</v>
      </c>
      <c r="K125" s="43">
        <f t="shared" si="52"/>
        <v>0</v>
      </c>
      <c r="L125" s="43">
        <f t="shared" si="52"/>
        <v>0</v>
      </c>
      <c r="M125" s="43">
        <f t="shared" si="52"/>
        <v>146.18512529100528</v>
      </c>
      <c r="N125" s="43">
        <f t="shared" si="52"/>
        <v>146.18512529100528</v>
      </c>
    </row>
    <row r="126" spans="1:14" ht="12.75">
      <c r="A126" s="15" t="s">
        <v>24</v>
      </c>
      <c r="B126" s="44">
        <f aca="true" t="shared" si="53" ref="B126:N126">SUM(B110:B125)</f>
        <v>481.2382423703704</v>
      </c>
      <c r="C126" s="44">
        <f t="shared" si="53"/>
        <v>481.2382423703704</v>
      </c>
      <c r="D126" s="44">
        <f t="shared" si="53"/>
        <v>386.979107266314</v>
      </c>
      <c r="E126" s="44">
        <f t="shared" si="53"/>
        <v>386.979107266314</v>
      </c>
      <c r="F126" s="44">
        <f t="shared" si="53"/>
        <v>397.5855348148148</v>
      </c>
      <c r="G126" s="44">
        <f t="shared" si="53"/>
        <v>519.2910734038801</v>
      </c>
      <c r="H126" s="44">
        <f t="shared" si="53"/>
        <v>519.2910734038801</v>
      </c>
      <c r="I126" s="44">
        <f t="shared" si="53"/>
        <v>429.66676183421515</v>
      </c>
      <c r="J126" s="44">
        <f t="shared" si="53"/>
        <v>429.66676183421515</v>
      </c>
      <c r="K126" s="44">
        <f t="shared" si="53"/>
        <v>376.43520218694886</v>
      </c>
      <c r="L126" s="44">
        <f t="shared" si="53"/>
        <v>337.48943499118167</v>
      </c>
      <c r="M126" s="44">
        <f t="shared" si="53"/>
        <v>646.3413450088183</v>
      </c>
      <c r="N126" s="44">
        <f t="shared" si="53"/>
        <v>646.3413450088183</v>
      </c>
    </row>
    <row r="127" spans="1:14" ht="12.75">
      <c r="A127" s="39" t="s">
        <v>132</v>
      </c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7"/>
      <c r="M127" s="47"/>
      <c r="N127" s="47"/>
    </row>
    <row r="128" spans="1:14" ht="12.75">
      <c r="A128" s="62" t="s">
        <v>276</v>
      </c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7"/>
      <c r="M128" s="47"/>
      <c r="N128" s="47"/>
    </row>
    <row r="129" spans="1:14" ht="12.75">
      <c r="A129" s="39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7"/>
      <c r="M129" s="47"/>
      <c r="N129" s="47"/>
    </row>
    <row r="130" spans="1:14" ht="12.75">
      <c r="A130" s="39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7"/>
      <c r="M130" s="47"/>
      <c r="N130" s="47"/>
    </row>
    <row r="131" spans="1:14" ht="12.75">
      <c r="A131" s="87" t="s">
        <v>313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</row>
    <row r="132" spans="1:14" ht="15">
      <c r="A132" s="85" t="s">
        <v>307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1:14" ht="12.75">
      <c r="A133" s="37" t="s">
        <v>87</v>
      </c>
      <c r="B133" s="69">
        <v>1</v>
      </c>
      <c r="C133" s="69">
        <v>10</v>
      </c>
      <c r="D133" s="69">
        <v>11</v>
      </c>
      <c r="E133" s="69">
        <v>15</v>
      </c>
      <c r="F133" s="69">
        <v>16</v>
      </c>
      <c r="G133" s="69">
        <v>18</v>
      </c>
      <c r="H133" s="69">
        <v>20</v>
      </c>
      <c r="I133" s="69">
        <v>21</v>
      </c>
      <c r="J133" s="69">
        <v>22</v>
      </c>
      <c r="K133" s="69">
        <v>25</v>
      </c>
      <c r="L133" s="69">
        <v>28</v>
      </c>
      <c r="M133" s="69">
        <v>29</v>
      </c>
      <c r="N133" s="69">
        <v>150</v>
      </c>
    </row>
    <row r="134" spans="1:14" ht="12.75">
      <c r="A134" s="4" t="str">
        <f>A25</f>
        <v>HGS Tank Demolition</v>
      </c>
      <c r="B134" s="43">
        <f aca="true" t="shared" si="54" ref="B134:N134">IF(AND(B$133&gt;=$J25,B$133&lt;=$K25),$F25+$F26,0)</f>
        <v>20.319903999999998</v>
      </c>
      <c r="C134" s="43">
        <f t="shared" si="54"/>
        <v>20.319903999999998</v>
      </c>
      <c r="D134" s="43">
        <f t="shared" si="54"/>
        <v>0</v>
      </c>
      <c r="E134" s="43">
        <f t="shared" si="54"/>
        <v>0</v>
      </c>
      <c r="F134" s="43">
        <f t="shared" si="54"/>
        <v>0</v>
      </c>
      <c r="G134" s="43">
        <f t="shared" si="54"/>
        <v>0</v>
      </c>
      <c r="H134" s="43">
        <f t="shared" si="54"/>
        <v>0</v>
      </c>
      <c r="I134" s="43">
        <f t="shared" si="54"/>
        <v>0</v>
      </c>
      <c r="J134" s="43">
        <f t="shared" si="54"/>
        <v>0</v>
      </c>
      <c r="K134" s="43">
        <f t="shared" si="54"/>
        <v>0</v>
      </c>
      <c r="L134" s="43">
        <f t="shared" si="54"/>
        <v>0</v>
      </c>
      <c r="M134" s="43">
        <f t="shared" si="54"/>
        <v>0</v>
      </c>
      <c r="N134" s="43">
        <f t="shared" si="54"/>
        <v>0</v>
      </c>
    </row>
    <row r="135" spans="1:14" ht="12.75">
      <c r="A135" s="4" t="str">
        <f>A27</f>
        <v>HGS Backfill</v>
      </c>
      <c r="B135" s="43">
        <f aca="true" t="shared" si="55" ref="B135:N135">IF(AND(B$133&gt;=$J27,B$133&lt;=$K27),$F27+$F28,0)</f>
        <v>0</v>
      </c>
      <c r="C135" s="43">
        <f t="shared" si="55"/>
        <v>0</v>
      </c>
      <c r="D135" s="43">
        <f t="shared" si="55"/>
        <v>27.25184</v>
      </c>
      <c r="E135" s="43">
        <f t="shared" si="55"/>
        <v>27.25184</v>
      </c>
      <c r="F135" s="43">
        <f t="shared" si="55"/>
        <v>27.25184</v>
      </c>
      <c r="G135" s="43">
        <f t="shared" si="55"/>
        <v>27.25184</v>
      </c>
      <c r="H135" s="43">
        <f t="shared" si="55"/>
        <v>27.25184</v>
      </c>
      <c r="I135" s="43">
        <f t="shared" si="55"/>
        <v>0</v>
      </c>
      <c r="J135" s="43">
        <f t="shared" si="55"/>
        <v>0</v>
      </c>
      <c r="K135" s="43">
        <f t="shared" si="55"/>
        <v>0</v>
      </c>
      <c r="L135" s="43">
        <f t="shared" si="55"/>
        <v>0</v>
      </c>
      <c r="M135" s="43">
        <f t="shared" si="55"/>
        <v>0</v>
      </c>
      <c r="N135" s="43">
        <f t="shared" si="55"/>
        <v>0</v>
      </c>
    </row>
    <row r="136" spans="1:14" ht="12.75">
      <c r="A136" s="4" t="str">
        <f>A29</f>
        <v>HGS Grading</v>
      </c>
      <c r="B136" s="43">
        <f aca="true" t="shared" si="56" ref="B136:N136">IF(AND(B$133&gt;=$J29,B$133&lt;=$K29),$F29+$F30,0)</f>
        <v>0</v>
      </c>
      <c r="C136" s="43">
        <f t="shared" si="56"/>
        <v>0</v>
      </c>
      <c r="D136" s="43">
        <f t="shared" si="56"/>
        <v>0</v>
      </c>
      <c r="E136" s="43">
        <f t="shared" si="56"/>
        <v>0</v>
      </c>
      <c r="F136" s="43">
        <f t="shared" si="56"/>
        <v>0</v>
      </c>
      <c r="G136" s="43">
        <f t="shared" si="56"/>
        <v>6.928800000000001</v>
      </c>
      <c r="H136" s="43">
        <f t="shared" si="56"/>
        <v>6.928800000000001</v>
      </c>
      <c r="I136" s="43">
        <f t="shared" si="56"/>
        <v>0</v>
      </c>
      <c r="J136" s="43">
        <f t="shared" si="56"/>
        <v>0</v>
      </c>
      <c r="K136" s="43">
        <f t="shared" si="56"/>
        <v>0</v>
      </c>
      <c r="L136" s="43">
        <f t="shared" si="56"/>
        <v>0</v>
      </c>
      <c r="M136" s="43">
        <f t="shared" si="56"/>
        <v>0</v>
      </c>
      <c r="N136" s="43">
        <f t="shared" si="56"/>
        <v>0</v>
      </c>
    </row>
    <row r="137" spans="1:14" ht="12.75">
      <c r="A137" s="4" t="str">
        <f>A31</f>
        <v>HGS Foundations </v>
      </c>
      <c r="B137" s="43">
        <f aca="true" t="shared" si="57" ref="B137:N137">IF(AND(B$133&gt;=$J31,B$133&lt;=$K31),$F31+$F32,0)</f>
        <v>0</v>
      </c>
      <c r="C137" s="43">
        <f t="shared" si="57"/>
        <v>0</v>
      </c>
      <c r="D137" s="43">
        <f t="shared" si="57"/>
        <v>0</v>
      </c>
      <c r="E137" s="43">
        <f t="shared" si="57"/>
        <v>0</v>
      </c>
      <c r="F137" s="43">
        <f t="shared" si="57"/>
        <v>0</v>
      </c>
      <c r="G137" s="43">
        <f t="shared" si="57"/>
        <v>0</v>
      </c>
      <c r="H137" s="43">
        <f t="shared" si="57"/>
        <v>0</v>
      </c>
      <c r="I137" s="43">
        <f t="shared" si="57"/>
        <v>11.38568</v>
      </c>
      <c r="J137" s="43">
        <f t="shared" si="57"/>
        <v>11.38568</v>
      </c>
      <c r="K137" s="43">
        <f t="shared" si="57"/>
        <v>11.38568</v>
      </c>
      <c r="L137" s="43">
        <f t="shared" si="57"/>
        <v>11.38568</v>
      </c>
      <c r="M137" s="43">
        <f t="shared" si="57"/>
        <v>0</v>
      </c>
      <c r="N137" s="43">
        <f t="shared" si="57"/>
        <v>0</v>
      </c>
    </row>
    <row r="138" spans="1:14" ht="12.75">
      <c r="A138" s="4" t="str">
        <f>A33</f>
        <v>HGS Paving</v>
      </c>
      <c r="B138" s="43">
        <f aca="true" t="shared" si="58" ref="B138:N138">IF(AND(B$133&gt;=$J33,B$133&lt;=$K33),$F33+$F34,0)</f>
        <v>0</v>
      </c>
      <c r="C138" s="43">
        <f t="shared" si="58"/>
        <v>0</v>
      </c>
      <c r="D138" s="43">
        <f t="shared" si="58"/>
        <v>0</v>
      </c>
      <c r="E138" s="43">
        <f t="shared" si="58"/>
        <v>0</v>
      </c>
      <c r="F138" s="43">
        <f t="shared" si="58"/>
        <v>0</v>
      </c>
      <c r="G138" s="43">
        <f t="shared" si="58"/>
        <v>0</v>
      </c>
      <c r="H138" s="43">
        <f t="shared" si="58"/>
        <v>0</v>
      </c>
      <c r="I138" s="43">
        <f t="shared" si="58"/>
        <v>5.76544</v>
      </c>
      <c r="J138" s="43">
        <f t="shared" si="58"/>
        <v>5.76544</v>
      </c>
      <c r="K138" s="43">
        <f t="shared" si="58"/>
        <v>5.76544</v>
      </c>
      <c r="L138" s="43">
        <f t="shared" si="58"/>
        <v>5.76544</v>
      </c>
      <c r="M138" s="43">
        <f t="shared" si="58"/>
        <v>0</v>
      </c>
      <c r="N138" s="43">
        <f t="shared" si="58"/>
        <v>0</v>
      </c>
    </row>
    <row r="139" spans="1:14" ht="12.75">
      <c r="A139" s="4" t="str">
        <f>A35</f>
        <v>HGS Equipment Installation</v>
      </c>
      <c r="B139" s="43">
        <f aca="true" t="shared" si="59" ref="B139:N139">IF(AND(B$133&gt;=$J35,B$133&lt;=$K35),$F35+$F36,0)</f>
        <v>0</v>
      </c>
      <c r="C139" s="43">
        <f t="shared" si="59"/>
        <v>0</v>
      </c>
      <c r="D139" s="43">
        <f t="shared" si="59"/>
        <v>0</v>
      </c>
      <c r="E139" s="43">
        <f t="shared" si="59"/>
        <v>0</v>
      </c>
      <c r="F139" s="43">
        <f t="shared" si="59"/>
        <v>0</v>
      </c>
      <c r="G139" s="43">
        <f t="shared" si="59"/>
        <v>0</v>
      </c>
      <c r="H139" s="43">
        <f t="shared" si="59"/>
        <v>0</v>
      </c>
      <c r="I139" s="43">
        <f t="shared" si="59"/>
        <v>0</v>
      </c>
      <c r="J139" s="43">
        <f t="shared" si="59"/>
        <v>0</v>
      </c>
      <c r="K139" s="43">
        <f t="shared" si="59"/>
        <v>0</v>
      </c>
      <c r="L139" s="43">
        <f t="shared" si="59"/>
        <v>0</v>
      </c>
      <c r="M139" s="43">
        <f t="shared" si="59"/>
        <v>26.082080000000005</v>
      </c>
      <c r="N139" s="43">
        <f t="shared" si="59"/>
        <v>26.082080000000005</v>
      </c>
    </row>
    <row r="140" spans="1:14" ht="12.75">
      <c r="A140" s="4" t="str">
        <f>A37</f>
        <v>SGS Slab Demolition</v>
      </c>
      <c r="B140" s="43">
        <f aca="true" t="shared" si="60" ref="B140:N140">IF(AND(B$133&gt;=$J37,B$133&lt;=$K37),$F37+$F38,0)</f>
        <v>4.94304</v>
      </c>
      <c r="C140" s="43">
        <f t="shared" si="60"/>
        <v>4.94304</v>
      </c>
      <c r="D140" s="43">
        <f t="shared" si="60"/>
        <v>0</v>
      </c>
      <c r="E140" s="43">
        <f t="shared" si="60"/>
        <v>0</v>
      </c>
      <c r="F140" s="43">
        <f t="shared" si="60"/>
        <v>0</v>
      </c>
      <c r="G140" s="43">
        <f t="shared" si="60"/>
        <v>0</v>
      </c>
      <c r="H140" s="43">
        <f t="shared" si="60"/>
        <v>0</v>
      </c>
      <c r="I140" s="43">
        <f t="shared" si="60"/>
        <v>0</v>
      </c>
      <c r="J140" s="43">
        <f t="shared" si="60"/>
        <v>0</v>
      </c>
      <c r="K140" s="43">
        <f t="shared" si="60"/>
        <v>0</v>
      </c>
      <c r="L140" s="43">
        <f t="shared" si="60"/>
        <v>0</v>
      </c>
      <c r="M140" s="43">
        <f t="shared" si="60"/>
        <v>0</v>
      </c>
      <c r="N140" s="43">
        <f t="shared" si="60"/>
        <v>0</v>
      </c>
    </row>
    <row r="141" spans="1:14" ht="12.75">
      <c r="A141" s="4" t="str">
        <f>A39</f>
        <v>SGS Grading</v>
      </c>
      <c r="B141" s="43">
        <f aca="true" t="shared" si="61" ref="B141:N141">IF(AND(B$133&gt;=$J39,B$133&lt;=$K39),$F39+$F40,0)</f>
        <v>0</v>
      </c>
      <c r="C141" s="43">
        <f t="shared" si="61"/>
        <v>0</v>
      </c>
      <c r="D141" s="43">
        <f t="shared" si="61"/>
        <v>0</v>
      </c>
      <c r="E141" s="43">
        <f t="shared" si="61"/>
        <v>0</v>
      </c>
      <c r="F141" s="43">
        <f t="shared" si="61"/>
        <v>0</v>
      </c>
      <c r="G141" s="43">
        <f t="shared" si="61"/>
        <v>3.89328</v>
      </c>
      <c r="H141" s="43">
        <f t="shared" si="61"/>
        <v>3.89328</v>
      </c>
      <c r="I141" s="43">
        <f t="shared" si="61"/>
        <v>0</v>
      </c>
      <c r="J141" s="43">
        <f t="shared" si="61"/>
        <v>0</v>
      </c>
      <c r="K141" s="43">
        <f t="shared" si="61"/>
        <v>0</v>
      </c>
      <c r="L141" s="43">
        <f t="shared" si="61"/>
        <v>0</v>
      </c>
      <c r="M141" s="43">
        <f t="shared" si="61"/>
        <v>0</v>
      </c>
      <c r="N141" s="43">
        <f t="shared" si="61"/>
        <v>0</v>
      </c>
    </row>
    <row r="142" spans="1:14" ht="12.75">
      <c r="A142" s="4" t="str">
        <f>A41</f>
        <v>SGS Foundations </v>
      </c>
      <c r="B142" s="43">
        <f aca="true" t="shared" si="62" ref="B142:N142">IF(AND(B$133&gt;=$J41,B$133&lt;=$K41),$F41+$F42,0)</f>
        <v>0</v>
      </c>
      <c r="C142" s="43">
        <f t="shared" si="62"/>
        <v>0</v>
      </c>
      <c r="D142" s="43">
        <f t="shared" si="62"/>
        <v>0</v>
      </c>
      <c r="E142" s="43">
        <f t="shared" si="62"/>
        <v>0</v>
      </c>
      <c r="F142" s="43">
        <f t="shared" si="62"/>
        <v>0</v>
      </c>
      <c r="G142" s="43">
        <f t="shared" si="62"/>
        <v>0</v>
      </c>
      <c r="H142" s="43">
        <f t="shared" si="62"/>
        <v>0</v>
      </c>
      <c r="I142" s="43">
        <f t="shared" si="62"/>
        <v>1.67896</v>
      </c>
      <c r="J142" s="43">
        <f t="shared" si="62"/>
        <v>1.67896</v>
      </c>
      <c r="K142" s="43">
        <f t="shared" si="62"/>
        <v>1.67896</v>
      </c>
      <c r="L142" s="43">
        <f t="shared" si="62"/>
        <v>1.67896</v>
      </c>
      <c r="M142" s="43">
        <f t="shared" si="62"/>
        <v>0</v>
      </c>
      <c r="N142" s="43">
        <f t="shared" si="62"/>
        <v>0</v>
      </c>
    </row>
    <row r="143" spans="1:14" ht="12.75">
      <c r="A143" s="4" t="str">
        <f>A43</f>
        <v>SGS Paving</v>
      </c>
      <c r="B143" s="43">
        <f aca="true" t="shared" si="63" ref="B143:N143">IF(AND(B$133&gt;=$J43,B$133&lt;=$K43),$F43+$F44,0)</f>
        <v>0</v>
      </c>
      <c r="C143" s="43">
        <f t="shared" si="63"/>
        <v>0</v>
      </c>
      <c r="D143" s="43">
        <f t="shared" si="63"/>
        <v>0</v>
      </c>
      <c r="E143" s="43">
        <f t="shared" si="63"/>
        <v>0</v>
      </c>
      <c r="F143" s="43">
        <f t="shared" si="63"/>
        <v>0</v>
      </c>
      <c r="G143" s="43">
        <f t="shared" si="63"/>
        <v>0</v>
      </c>
      <c r="H143" s="43">
        <f t="shared" si="63"/>
        <v>0</v>
      </c>
      <c r="I143" s="43">
        <f t="shared" si="63"/>
        <v>2.72992</v>
      </c>
      <c r="J143" s="43">
        <f t="shared" si="63"/>
        <v>2.72992</v>
      </c>
      <c r="K143" s="43">
        <f t="shared" si="63"/>
        <v>2.72992</v>
      </c>
      <c r="L143" s="43">
        <f t="shared" si="63"/>
        <v>2.72992</v>
      </c>
      <c r="M143" s="43">
        <f t="shared" si="63"/>
        <v>0</v>
      </c>
      <c r="N143" s="43">
        <f t="shared" si="63"/>
        <v>0</v>
      </c>
    </row>
    <row r="144" spans="1:14" ht="12.75">
      <c r="A144" s="4" t="str">
        <f>A45</f>
        <v>SGS Equipment Installation</v>
      </c>
      <c r="B144" s="43">
        <f aca="true" t="shared" si="64" ref="B144:N144">IF(AND(B$133&gt;=$J45,B$133&lt;=$K45),$F45+$F46,0)</f>
        <v>0</v>
      </c>
      <c r="C144" s="43">
        <f t="shared" si="64"/>
        <v>0</v>
      </c>
      <c r="D144" s="43">
        <f t="shared" si="64"/>
        <v>0</v>
      </c>
      <c r="E144" s="43">
        <f t="shared" si="64"/>
        <v>0</v>
      </c>
      <c r="F144" s="43">
        <f t="shared" si="64"/>
        <v>0</v>
      </c>
      <c r="G144" s="43">
        <f t="shared" si="64"/>
        <v>0</v>
      </c>
      <c r="H144" s="43">
        <f t="shared" si="64"/>
        <v>0</v>
      </c>
      <c r="I144" s="43">
        <f t="shared" si="64"/>
        <v>0</v>
      </c>
      <c r="J144" s="43">
        <f t="shared" si="64"/>
        <v>0</v>
      </c>
      <c r="K144" s="43">
        <f t="shared" si="64"/>
        <v>0</v>
      </c>
      <c r="L144" s="43">
        <f t="shared" si="64"/>
        <v>0</v>
      </c>
      <c r="M144" s="43">
        <f t="shared" si="64"/>
        <v>10.365120000000001</v>
      </c>
      <c r="N144" s="43">
        <f t="shared" si="64"/>
        <v>10.365120000000001</v>
      </c>
    </row>
    <row r="145" spans="1:14" ht="12.75">
      <c r="A145" s="4" t="str">
        <f>A47</f>
        <v>VGS Demolition</v>
      </c>
      <c r="B145" s="43">
        <f aca="true" t="shared" si="65" ref="B145:N145">IF(AND(B$133&gt;=$J47,B$133&lt;=$K47),$F47+$F48,0)</f>
        <v>12.615391999999998</v>
      </c>
      <c r="C145" s="43">
        <f t="shared" si="65"/>
        <v>12.615391999999998</v>
      </c>
      <c r="D145" s="43">
        <f t="shared" si="65"/>
        <v>0</v>
      </c>
      <c r="E145" s="43">
        <f t="shared" si="65"/>
        <v>0</v>
      </c>
      <c r="F145" s="43">
        <f t="shared" si="65"/>
        <v>0</v>
      </c>
      <c r="G145" s="43">
        <f t="shared" si="65"/>
        <v>0</v>
      </c>
      <c r="H145" s="43">
        <f t="shared" si="65"/>
        <v>0</v>
      </c>
      <c r="I145" s="43">
        <f t="shared" si="65"/>
        <v>0</v>
      </c>
      <c r="J145" s="43">
        <f t="shared" si="65"/>
        <v>0</v>
      </c>
      <c r="K145" s="43">
        <f t="shared" si="65"/>
        <v>0</v>
      </c>
      <c r="L145" s="43">
        <f t="shared" si="65"/>
        <v>0</v>
      </c>
      <c r="M145" s="43">
        <f t="shared" si="65"/>
        <v>0</v>
      </c>
      <c r="N145" s="43">
        <f t="shared" si="65"/>
        <v>0</v>
      </c>
    </row>
    <row r="146" spans="1:14" ht="12.75">
      <c r="A146" s="4" t="str">
        <f>A49</f>
        <v>VGS Grading</v>
      </c>
      <c r="B146" s="43">
        <f aca="true" t="shared" si="66" ref="B146:N146">IF(AND(B$133&gt;=$J49,B$133&lt;=$K49),$F49+$F50,0)</f>
        <v>0</v>
      </c>
      <c r="C146" s="43">
        <f t="shared" si="66"/>
        <v>0</v>
      </c>
      <c r="D146" s="43">
        <f t="shared" si="66"/>
        <v>3.89328</v>
      </c>
      <c r="E146" s="43">
        <f t="shared" si="66"/>
        <v>3.89328</v>
      </c>
      <c r="F146" s="43">
        <f t="shared" si="66"/>
        <v>0</v>
      </c>
      <c r="G146" s="43">
        <f t="shared" si="66"/>
        <v>0</v>
      </c>
      <c r="H146" s="43">
        <f t="shared" si="66"/>
        <v>0</v>
      </c>
      <c r="I146" s="43">
        <f t="shared" si="66"/>
        <v>0</v>
      </c>
      <c r="J146" s="43">
        <f t="shared" si="66"/>
        <v>0</v>
      </c>
      <c r="K146" s="43">
        <f t="shared" si="66"/>
        <v>0</v>
      </c>
      <c r="L146" s="43">
        <f t="shared" si="66"/>
        <v>0</v>
      </c>
      <c r="M146" s="43">
        <f t="shared" si="66"/>
        <v>0</v>
      </c>
      <c r="N146" s="43">
        <f t="shared" si="66"/>
        <v>0</v>
      </c>
    </row>
    <row r="147" spans="1:14" ht="12.75">
      <c r="A147" s="4" t="str">
        <f>A51</f>
        <v>VGS Foundations </v>
      </c>
      <c r="B147" s="43">
        <f aca="true" t="shared" si="67" ref="B147:N147">IF(AND(B$133&gt;=$J51,B$133&lt;=$K51),$F51+$F52,0)</f>
        <v>0</v>
      </c>
      <c r="C147" s="43">
        <f t="shared" si="67"/>
        <v>0</v>
      </c>
      <c r="D147" s="43">
        <f t="shared" si="67"/>
        <v>0</v>
      </c>
      <c r="E147" s="43">
        <f t="shared" si="67"/>
        <v>0</v>
      </c>
      <c r="F147" s="43">
        <f t="shared" si="67"/>
        <v>2.34608</v>
      </c>
      <c r="G147" s="43">
        <f t="shared" si="67"/>
        <v>2.34608</v>
      </c>
      <c r="H147" s="43">
        <f t="shared" si="67"/>
        <v>2.34608</v>
      </c>
      <c r="I147" s="43">
        <f t="shared" si="67"/>
        <v>2.34608</v>
      </c>
      <c r="J147" s="43">
        <f t="shared" si="67"/>
        <v>2.34608</v>
      </c>
      <c r="K147" s="43">
        <f t="shared" si="67"/>
        <v>0</v>
      </c>
      <c r="L147" s="43">
        <f t="shared" si="67"/>
        <v>0</v>
      </c>
      <c r="M147" s="43">
        <f t="shared" si="67"/>
        <v>0</v>
      </c>
      <c r="N147" s="43">
        <f t="shared" si="67"/>
        <v>0</v>
      </c>
    </row>
    <row r="148" spans="1:14" ht="12.75">
      <c r="A148" s="4" t="str">
        <f>A53</f>
        <v>VGS Paving</v>
      </c>
      <c r="B148" s="43">
        <f aca="true" t="shared" si="68" ref="B148:N148">IF(AND(B$133&gt;=$J53,B$133&lt;=$K53),$F53+$F54,0)</f>
        <v>0</v>
      </c>
      <c r="C148" s="43">
        <f t="shared" si="68"/>
        <v>0</v>
      </c>
      <c r="D148" s="43">
        <f t="shared" si="68"/>
        <v>0</v>
      </c>
      <c r="E148" s="43">
        <f t="shared" si="68"/>
        <v>0</v>
      </c>
      <c r="F148" s="43">
        <f t="shared" si="68"/>
        <v>0</v>
      </c>
      <c r="G148" s="43">
        <f t="shared" si="68"/>
        <v>0</v>
      </c>
      <c r="H148" s="43">
        <f t="shared" si="68"/>
        <v>0</v>
      </c>
      <c r="I148" s="43">
        <f t="shared" si="68"/>
        <v>2.72992</v>
      </c>
      <c r="J148" s="43">
        <f t="shared" si="68"/>
        <v>2.72992</v>
      </c>
      <c r="K148" s="43">
        <f t="shared" si="68"/>
        <v>2.72992</v>
      </c>
      <c r="L148" s="43">
        <f t="shared" si="68"/>
        <v>0</v>
      </c>
      <c r="M148" s="43">
        <f t="shared" si="68"/>
        <v>0</v>
      </c>
      <c r="N148" s="43">
        <f t="shared" si="68"/>
        <v>0</v>
      </c>
    </row>
    <row r="149" spans="1:14" ht="12.75">
      <c r="A149" s="4" t="str">
        <f>A55</f>
        <v>VGS Equipment Installation</v>
      </c>
      <c r="B149" s="43">
        <f aca="true" t="shared" si="69" ref="B149:N149">IF(AND(B$133&gt;=$J55,B$133&lt;=$K55),$F55+$F56,0)</f>
        <v>0</v>
      </c>
      <c r="C149" s="43">
        <f t="shared" si="69"/>
        <v>0</v>
      </c>
      <c r="D149" s="43">
        <f t="shared" si="69"/>
        <v>0</v>
      </c>
      <c r="E149" s="43">
        <f t="shared" si="69"/>
        <v>0</v>
      </c>
      <c r="F149" s="43">
        <f t="shared" si="69"/>
        <v>0</v>
      </c>
      <c r="G149" s="43">
        <f t="shared" si="69"/>
        <v>0</v>
      </c>
      <c r="H149" s="43">
        <f t="shared" si="69"/>
        <v>0</v>
      </c>
      <c r="I149" s="43">
        <f t="shared" si="69"/>
        <v>0</v>
      </c>
      <c r="J149" s="43">
        <f t="shared" si="69"/>
        <v>0</v>
      </c>
      <c r="K149" s="43">
        <f t="shared" si="69"/>
        <v>0</v>
      </c>
      <c r="L149" s="43">
        <f t="shared" si="69"/>
        <v>0</v>
      </c>
      <c r="M149" s="43">
        <f t="shared" si="69"/>
        <v>10.99984</v>
      </c>
      <c r="N149" s="43">
        <f t="shared" si="69"/>
        <v>10.99984</v>
      </c>
    </row>
    <row r="150" spans="1:14" ht="12.75">
      <c r="A150" s="15" t="s">
        <v>24</v>
      </c>
      <c r="B150" s="44">
        <f aca="true" t="shared" si="70" ref="B150:N150">SUM(B134:B149)</f>
        <v>37.878336</v>
      </c>
      <c r="C150" s="44">
        <f t="shared" si="70"/>
        <v>37.878336</v>
      </c>
      <c r="D150" s="44">
        <f t="shared" si="70"/>
        <v>31.145120000000002</v>
      </c>
      <c r="E150" s="44">
        <f t="shared" si="70"/>
        <v>31.145120000000002</v>
      </c>
      <c r="F150" s="44">
        <f t="shared" si="70"/>
        <v>29.597920000000002</v>
      </c>
      <c r="G150" s="44">
        <f t="shared" si="70"/>
        <v>40.42</v>
      </c>
      <c r="H150" s="44">
        <f t="shared" si="70"/>
        <v>40.42</v>
      </c>
      <c r="I150" s="44">
        <f t="shared" si="70"/>
        <v>26.636</v>
      </c>
      <c r="J150" s="44">
        <f t="shared" si="70"/>
        <v>26.636</v>
      </c>
      <c r="K150" s="44">
        <f t="shared" si="70"/>
        <v>24.28992</v>
      </c>
      <c r="L150" s="44">
        <f t="shared" si="70"/>
        <v>21.56</v>
      </c>
      <c r="M150" s="44">
        <f t="shared" si="70"/>
        <v>47.44704000000001</v>
      </c>
      <c r="N150" s="44">
        <f t="shared" si="70"/>
        <v>47.44704000000001</v>
      </c>
    </row>
    <row r="151" spans="1:14" ht="12.75">
      <c r="A151" s="39" t="s">
        <v>132</v>
      </c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7"/>
      <c r="M151" s="47"/>
      <c r="N151" s="47"/>
    </row>
    <row r="152" spans="1:14" ht="12.75">
      <c r="A152" s="62" t="s">
        <v>276</v>
      </c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7"/>
      <c r="M152" s="47"/>
      <c r="N152" s="47"/>
    </row>
    <row r="153" spans="1:11" ht="12.75">
      <c r="A153" s="29"/>
      <c r="B153" s="48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2.75">
      <c r="A154" s="29"/>
      <c r="B154" s="48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4" ht="12.75">
      <c r="A155" s="86" t="s">
        <v>314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5">
      <c r="A156" s="85" t="s">
        <v>308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</row>
    <row r="157" spans="1:14" ht="12.75">
      <c r="A157" s="37" t="s">
        <v>87</v>
      </c>
      <c r="B157" s="69">
        <v>1</v>
      </c>
      <c r="C157" s="69">
        <v>10</v>
      </c>
      <c r="D157" s="69">
        <v>11</v>
      </c>
      <c r="E157" s="69">
        <v>15</v>
      </c>
      <c r="F157" s="69">
        <v>16</v>
      </c>
      <c r="G157" s="69">
        <v>18</v>
      </c>
      <c r="H157" s="69">
        <v>20</v>
      </c>
      <c r="I157" s="69">
        <v>21</v>
      </c>
      <c r="J157" s="69">
        <v>22</v>
      </c>
      <c r="K157" s="69">
        <v>25</v>
      </c>
      <c r="L157" s="69">
        <v>28</v>
      </c>
      <c r="M157" s="69">
        <v>29</v>
      </c>
      <c r="N157" s="69">
        <v>150</v>
      </c>
    </row>
    <row r="158" spans="1:14" ht="12.75">
      <c r="A158" s="4" t="str">
        <f>A25</f>
        <v>HGS Tank Demolition</v>
      </c>
      <c r="B158" s="43">
        <f aca="true" t="shared" si="71" ref="B158:N158">IF(AND(B$157&gt;=$J25,B$157&lt;=$K25),$I25+$I26,0)</f>
        <v>134.39091473781045</v>
      </c>
      <c r="C158" s="43">
        <f t="shared" si="71"/>
        <v>134.39091473781045</v>
      </c>
      <c r="D158" s="43">
        <f t="shared" si="71"/>
        <v>0</v>
      </c>
      <c r="E158" s="43">
        <f t="shared" si="71"/>
        <v>0</v>
      </c>
      <c r="F158" s="43">
        <f t="shared" si="71"/>
        <v>0</v>
      </c>
      <c r="G158" s="43">
        <f t="shared" si="71"/>
        <v>0</v>
      </c>
      <c r="H158" s="43">
        <f t="shared" si="71"/>
        <v>0</v>
      </c>
      <c r="I158" s="43">
        <f t="shared" si="71"/>
        <v>0</v>
      </c>
      <c r="J158" s="43">
        <f t="shared" si="71"/>
        <v>0</v>
      </c>
      <c r="K158" s="43">
        <f t="shared" si="71"/>
        <v>0</v>
      </c>
      <c r="L158" s="43">
        <f t="shared" si="71"/>
        <v>0</v>
      </c>
      <c r="M158" s="43">
        <f t="shared" si="71"/>
        <v>0</v>
      </c>
      <c r="N158" s="43">
        <f t="shared" si="71"/>
        <v>0</v>
      </c>
    </row>
    <row r="159" spans="1:14" ht="12.75">
      <c r="A159" s="4" t="str">
        <f>A27</f>
        <v>HGS Backfill</v>
      </c>
      <c r="B159" s="43">
        <f aca="true" t="shared" si="72" ref="B159:N159">IF(AND(B$157&gt;=$J27,B$157&lt;=$K27),$I27+$I28,0)</f>
        <v>0</v>
      </c>
      <c r="C159" s="43">
        <f t="shared" si="72"/>
        <v>0</v>
      </c>
      <c r="D159" s="43">
        <f t="shared" si="72"/>
        <v>307.7997246583965</v>
      </c>
      <c r="E159" s="43">
        <f t="shared" si="72"/>
        <v>307.7997246583965</v>
      </c>
      <c r="F159" s="43">
        <f t="shared" si="72"/>
        <v>307.7997246583965</v>
      </c>
      <c r="G159" s="43">
        <f t="shared" si="72"/>
        <v>307.7997246583965</v>
      </c>
      <c r="H159" s="43">
        <f t="shared" si="72"/>
        <v>307.7997246583965</v>
      </c>
      <c r="I159" s="43">
        <f t="shared" si="72"/>
        <v>0</v>
      </c>
      <c r="J159" s="43">
        <f t="shared" si="72"/>
        <v>0</v>
      </c>
      <c r="K159" s="43">
        <f t="shared" si="72"/>
        <v>0</v>
      </c>
      <c r="L159" s="43">
        <f t="shared" si="72"/>
        <v>0</v>
      </c>
      <c r="M159" s="43">
        <f t="shared" si="72"/>
        <v>0</v>
      </c>
      <c r="N159" s="43">
        <f t="shared" si="72"/>
        <v>0</v>
      </c>
    </row>
    <row r="160" spans="1:14" ht="12.75">
      <c r="A160" s="4" t="str">
        <f>A29</f>
        <v>HGS Grading</v>
      </c>
      <c r="B160" s="43">
        <f aca="true" t="shared" si="73" ref="B160:N160">IF(AND(B$157&gt;=$J29,B$157&lt;=$K29),$I29+$I30,0)</f>
        <v>0</v>
      </c>
      <c r="C160" s="43">
        <f t="shared" si="73"/>
        <v>0</v>
      </c>
      <c r="D160" s="43">
        <f t="shared" si="73"/>
        <v>0</v>
      </c>
      <c r="E160" s="43">
        <f t="shared" si="73"/>
        <v>0</v>
      </c>
      <c r="F160" s="43">
        <f t="shared" si="73"/>
        <v>0</v>
      </c>
      <c r="G160" s="43">
        <f t="shared" si="73"/>
        <v>7.346339032471537</v>
      </c>
      <c r="H160" s="43">
        <f t="shared" si="73"/>
        <v>7.346339032471537</v>
      </c>
      <c r="I160" s="43">
        <f t="shared" si="73"/>
        <v>0</v>
      </c>
      <c r="J160" s="43">
        <f t="shared" si="73"/>
        <v>0</v>
      </c>
      <c r="K160" s="43">
        <f t="shared" si="73"/>
        <v>0</v>
      </c>
      <c r="L160" s="43">
        <f t="shared" si="73"/>
        <v>0</v>
      </c>
      <c r="M160" s="43">
        <f t="shared" si="73"/>
        <v>0</v>
      </c>
      <c r="N160" s="43">
        <f t="shared" si="73"/>
        <v>0</v>
      </c>
    </row>
    <row r="161" spans="1:14" ht="12.75">
      <c r="A161" s="4" t="str">
        <f>A31</f>
        <v>HGS Foundations </v>
      </c>
      <c r="B161" s="43">
        <f aca="true" t="shared" si="74" ref="B161:N161">IF(AND(B$157&gt;=$J31,B$157&lt;=$K31),$I31+$I32,0)</f>
        <v>0</v>
      </c>
      <c r="C161" s="43">
        <f t="shared" si="74"/>
        <v>0</v>
      </c>
      <c r="D161" s="43">
        <f t="shared" si="74"/>
        <v>0</v>
      </c>
      <c r="E161" s="43">
        <f t="shared" si="74"/>
        <v>0</v>
      </c>
      <c r="F161" s="43">
        <f t="shared" si="74"/>
        <v>0</v>
      </c>
      <c r="G161" s="43">
        <f t="shared" si="74"/>
        <v>0</v>
      </c>
      <c r="H161" s="43">
        <f t="shared" si="74"/>
        <v>0</v>
      </c>
      <c r="I161" s="43">
        <f t="shared" si="74"/>
        <v>140.8768784446616</v>
      </c>
      <c r="J161" s="43">
        <f t="shared" si="74"/>
        <v>140.8768784446616</v>
      </c>
      <c r="K161" s="43">
        <f t="shared" si="74"/>
        <v>140.8768784446616</v>
      </c>
      <c r="L161" s="43">
        <f t="shared" si="74"/>
        <v>140.8768784446616</v>
      </c>
      <c r="M161" s="43">
        <f t="shared" si="74"/>
        <v>0</v>
      </c>
      <c r="N161" s="43">
        <f t="shared" si="74"/>
        <v>0</v>
      </c>
    </row>
    <row r="162" spans="1:14" ht="12.75">
      <c r="A162" s="4" t="str">
        <f>A33</f>
        <v>HGS Paving</v>
      </c>
      <c r="B162" s="43">
        <f aca="true" t="shared" si="75" ref="B162:N162">IF(AND(B$157&gt;=$J33,B$157&lt;=$K33),$I33+$I34,0)</f>
        <v>0</v>
      </c>
      <c r="C162" s="43">
        <f t="shared" si="75"/>
        <v>0</v>
      </c>
      <c r="D162" s="43">
        <f t="shared" si="75"/>
        <v>0</v>
      </c>
      <c r="E162" s="43">
        <f t="shared" si="75"/>
        <v>0</v>
      </c>
      <c r="F162" s="43">
        <f t="shared" si="75"/>
        <v>0</v>
      </c>
      <c r="G162" s="43">
        <f t="shared" si="75"/>
        <v>0</v>
      </c>
      <c r="H162" s="43">
        <f t="shared" si="75"/>
        <v>0</v>
      </c>
      <c r="I162" s="43">
        <f t="shared" si="75"/>
        <v>59.46995175817649</v>
      </c>
      <c r="J162" s="43">
        <f t="shared" si="75"/>
        <v>59.46995175817649</v>
      </c>
      <c r="K162" s="43">
        <f t="shared" si="75"/>
        <v>59.46995175817649</v>
      </c>
      <c r="L162" s="43">
        <f t="shared" si="75"/>
        <v>59.46995175817649</v>
      </c>
      <c r="M162" s="43">
        <f t="shared" si="75"/>
        <v>0</v>
      </c>
      <c r="N162" s="43">
        <f t="shared" si="75"/>
        <v>0</v>
      </c>
    </row>
    <row r="163" spans="1:14" ht="12.75">
      <c r="A163" s="4" t="str">
        <f>A35</f>
        <v>HGS Equipment Installation</v>
      </c>
      <c r="B163" s="43">
        <f aca="true" t="shared" si="76" ref="B163:N163">IF(AND(B$157&gt;=$J35,B$157&lt;=$K35),$I35+$I36,0)</f>
        <v>0</v>
      </c>
      <c r="C163" s="43">
        <f t="shared" si="76"/>
        <v>0</v>
      </c>
      <c r="D163" s="43">
        <f t="shared" si="76"/>
        <v>0</v>
      </c>
      <c r="E163" s="43">
        <f t="shared" si="76"/>
        <v>0</v>
      </c>
      <c r="F163" s="43">
        <f t="shared" si="76"/>
        <v>0</v>
      </c>
      <c r="G163" s="43">
        <f t="shared" si="76"/>
        <v>0</v>
      </c>
      <c r="H163" s="43">
        <f t="shared" si="76"/>
        <v>0</v>
      </c>
      <c r="I163" s="43">
        <f t="shared" si="76"/>
        <v>0</v>
      </c>
      <c r="J163" s="43">
        <f t="shared" si="76"/>
        <v>0</v>
      </c>
      <c r="K163" s="43">
        <f t="shared" si="76"/>
        <v>0</v>
      </c>
      <c r="L163" s="43">
        <f t="shared" si="76"/>
        <v>0</v>
      </c>
      <c r="M163" s="43">
        <f t="shared" si="76"/>
        <v>79.8564657244381</v>
      </c>
      <c r="N163" s="43">
        <f t="shared" si="76"/>
        <v>79.8564657244381</v>
      </c>
    </row>
    <row r="164" spans="1:14" ht="12.75">
      <c r="A164" s="4" t="str">
        <f>A37</f>
        <v>SGS Slab Demolition</v>
      </c>
      <c r="B164" s="43">
        <f aca="true" t="shared" si="77" ref="B164:N164">IF(AND(B$157&gt;=$J37,B$157&lt;=$K37),$I37+$I38,0)</f>
        <v>72.5777951886117</v>
      </c>
      <c r="C164" s="43">
        <f t="shared" si="77"/>
        <v>72.5777951886117</v>
      </c>
      <c r="D164" s="43">
        <f t="shared" si="77"/>
        <v>0</v>
      </c>
      <c r="E164" s="43">
        <f t="shared" si="77"/>
        <v>0</v>
      </c>
      <c r="F164" s="43">
        <f t="shared" si="77"/>
        <v>0</v>
      </c>
      <c r="G164" s="43">
        <f t="shared" si="77"/>
        <v>0</v>
      </c>
      <c r="H164" s="43">
        <f t="shared" si="77"/>
        <v>0</v>
      </c>
      <c r="I164" s="43">
        <f t="shared" si="77"/>
        <v>0</v>
      </c>
      <c r="J164" s="43">
        <f t="shared" si="77"/>
        <v>0</v>
      </c>
      <c r="K164" s="43">
        <f t="shared" si="77"/>
        <v>0</v>
      </c>
      <c r="L164" s="43">
        <f t="shared" si="77"/>
        <v>0</v>
      </c>
      <c r="M164" s="43">
        <f t="shared" si="77"/>
        <v>0</v>
      </c>
      <c r="N164" s="43">
        <f t="shared" si="77"/>
        <v>0</v>
      </c>
    </row>
    <row r="165" spans="1:14" ht="12.75">
      <c r="A165" s="4" t="str">
        <f>A39</f>
        <v>SGS Grading</v>
      </c>
      <c r="B165" s="43">
        <f aca="true" t="shared" si="78" ref="B165:N165">IF(AND(B$157&gt;=$J39,B$157&lt;=$K39),$I39+$I40,0)</f>
        <v>0</v>
      </c>
      <c r="C165" s="43">
        <f t="shared" si="78"/>
        <v>0</v>
      </c>
      <c r="D165" s="43">
        <f t="shared" si="78"/>
        <v>0</v>
      </c>
      <c r="E165" s="43">
        <f t="shared" si="78"/>
        <v>0</v>
      </c>
      <c r="F165" s="43">
        <f t="shared" si="78"/>
        <v>0</v>
      </c>
      <c r="G165" s="43">
        <f t="shared" si="78"/>
        <v>5.999637481515182</v>
      </c>
      <c r="H165" s="43">
        <f t="shared" si="78"/>
        <v>5.999637481515182</v>
      </c>
      <c r="I165" s="43">
        <f t="shared" si="78"/>
        <v>0</v>
      </c>
      <c r="J165" s="43">
        <f t="shared" si="78"/>
        <v>0</v>
      </c>
      <c r="K165" s="43">
        <f t="shared" si="78"/>
        <v>0</v>
      </c>
      <c r="L165" s="43">
        <f t="shared" si="78"/>
        <v>0</v>
      </c>
      <c r="M165" s="43">
        <f t="shared" si="78"/>
        <v>0</v>
      </c>
      <c r="N165" s="43">
        <f t="shared" si="78"/>
        <v>0</v>
      </c>
    </row>
    <row r="166" spans="1:14" ht="12.75">
      <c r="A166" s="4" t="str">
        <f>A41</f>
        <v>SGS Foundations </v>
      </c>
      <c r="B166" s="43">
        <f aca="true" t="shared" si="79" ref="B166:N166">IF(AND(B$157&gt;=$J41,B$157&lt;=$K41),$I41+$I42,0)</f>
        <v>0</v>
      </c>
      <c r="C166" s="43">
        <f t="shared" si="79"/>
        <v>0</v>
      </c>
      <c r="D166" s="43">
        <f t="shared" si="79"/>
        <v>0</v>
      </c>
      <c r="E166" s="43">
        <f t="shared" si="79"/>
        <v>0</v>
      </c>
      <c r="F166" s="43">
        <f t="shared" si="79"/>
        <v>0</v>
      </c>
      <c r="G166" s="43">
        <f t="shared" si="79"/>
        <v>0</v>
      </c>
      <c r="H166" s="43">
        <f t="shared" si="79"/>
        <v>0</v>
      </c>
      <c r="I166" s="43">
        <f t="shared" si="79"/>
        <v>26.421897379948625</v>
      </c>
      <c r="J166" s="43">
        <f t="shared" si="79"/>
        <v>26.421897379948625</v>
      </c>
      <c r="K166" s="43">
        <f t="shared" si="79"/>
        <v>26.421897379948625</v>
      </c>
      <c r="L166" s="43">
        <f t="shared" si="79"/>
        <v>26.421897379948625</v>
      </c>
      <c r="M166" s="43">
        <f t="shared" si="79"/>
        <v>0</v>
      </c>
      <c r="N166" s="43">
        <f t="shared" si="79"/>
        <v>0</v>
      </c>
    </row>
    <row r="167" spans="1:14" ht="12.75">
      <c r="A167" s="4" t="str">
        <f>A43</f>
        <v>SGS Paving</v>
      </c>
      <c r="B167" s="43">
        <f aca="true" t="shared" si="80" ref="B167:N167">IF(AND(B$157&gt;=$J43,B$157&lt;=$K43),$I43+$I44,0)</f>
        <v>0</v>
      </c>
      <c r="C167" s="43">
        <f t="shared" si="80"/>
        <v>0</v>
      </c>
      <c r="D167" s="43">
        <f t="shared" si="80"/>
        <v>0</v>
      </c>
      <c r="E167" s="43">
        <f t="shared" si="80"/>
        <v>0</v>
      </c>
      <c r="F167" s="43">
        <f t="shared" si="80"/>
        <v>0</v>
      </c>
      <c r="G167" s="43">
        <f t="shared" si="80"/>
        <v>0</v>
      </c>
      <c r="H167" s="43">
        <f t="shared" si="80"/>
        <v>0</v>
      </c>
      <c r="I167" s="43">
        <f t="shared" si="80"/>
        <v>18.81584790710884</v>
      </c>
      <c r="J167" s="43">
        <f t="shared" si="80"/>
        <v>18.81584790710884</v>
      </c>
      <c r="K167" s="43">
        <f t="shared" si="80"/>
        <v>18.81584790710884</v>
      </c>
      <c r="L167" s="43">
        <f t="shared" si="80"/>
        <v>18.81584790710884</v>
      </c>
      <c r="M167" s="43">
        <f t="shared" si="80"/>
        <v>0</v>
      </c>
      <c r="N167" s="43">
        <f t="shared" si="80"/>
        <v>0</v>
      </c>
    </row>
    <row r="168" spans="1:14" ht="12.75">
      <c r="A168" s="4" t="str">
        <f>A45</f>
        <v>SGS Equipment Installation</v>
      </c>
      <c r="B168" s="43">
        <f aca="true" t="shared" si="81" ref="B168:N168">IF(AND(B$157&gt;=$J45,B$157&lt;=$K45),$I45+$I46,0)</f>
        <v>0</v>
      </c>
      <c r="C168" s="43">
        <f t="shared" si="81"/>
        <v>0</v>
      </c>
      <c r="D168" s="43">
        <f t="shared" si="81"/>
        <v>0</v>
      </c>
      <c r="E168" s="43">
        <f t="shared" si="81"/>
        <v>0</v>
      </c>
      <c r="F168" s="43">
        <f t="shared" si="81"/>
        <v>0</v>
      </c>
      <c r="G168" s="43">
        <f t="shared" si="81"/>
        <v>0</v>
      </c>
      <c r="H168" s="43">
        <f t="shared" si="81"/>
        <v>0</v>
      </c>
      <c r="I168" s="43">
        <f t="shared" si="81"/>
        <v>0</v>
      </c>
      <c r="J168" s="43">
        <f t="shared" si="81"/>
        <v>0</v>
      </c>
      <c r="K168" s="43">
        <f t="shared" si="81"/>
        <v>0</v>
      </c>
      <c r="L168" s="43">
        <f t="shared" si="81"/>
        <v>0</v>
      </c>
      <c r="M168" s="43">
        <f t="shared" si="81"/>
        <v>45.72434536362856</v>
      </c>
      <c r="N168" s="43">
        <f t="shared" si="81"/>
        <v>45.72434536362856</v>
      </c>
    </row>
    <row r="169" spans="1:14" ht="12.75">
      <c r="A169" s="4" t="str">
        <f>A47</f>
        <v>VGS Demolition</v>
      </c>
      <c r="B169" s="43">
        <f aca="true" t="shared" si="82" ref="B169:N169">IF(AND(B$157&gt;=$J47,B$157&lt;=$K47),$I47+$I48,0)</f>
        <v>53.53275396697393</v>
      </c>
      <c r="C169" s="43">
        <f t="shared" si="82"/>
        <v>53.53275396697393</v>
      </c>
      <c r="D169" s="43">
        <f t="shared" si="82"/>
        <v>0</v>
      </c>
      <c r="E169" s="43">
        <f t="shared" si="82"/>
        <v>0</v>
      </c>
      <c r="F169" s="43">
        <f t="shared" si="82"/>
        <v>0</v>
      </c>
      <c r="G169" s="43">
        <f t="shared" si="82"/>
        <v>0</v>
      </c>
      <c r="H169" s="43">
        <f t="shared" si="82"/>
        <v>0</v>
      </c>
      <c r="I169" s="43">
        <f t="shared" si="82"/>
        <v>0</v>
      </c>
      <c r="J169" s="43">
        <f t="shared" si="82"/>
        <v>0</v>
      </c>
      <c r="K169" s="43">
        <f t="shared" si="82"/>
        <v>0</v>
      </c>
      <c r="L169" s="43">
        <f t="shared" si="82"/>
        <v>0</v>
      </c>
      <c r="M169" s="43">
        <f t="shared" si="82"/>
        <v>0</v>
      </c>
      <c r="N169" s="43">
        <f t="shared" si="82"/>
        <v>0</v>
      </c>
    </row>
    <row r="170" spans="1:14" ht="12.75">
      <c r="A170" s="4" t="str">
        <f>A49</f>
        <v>VGS Grading</v>
      </c>
      <c r="B170" s="43">
        <f aca="true" t="shared" si="83" ref="B170:N170">IF(AND(B$157&gt;=$J49,B$157&lt;=$K49),$I49+$I50,0)</f>
        <v>0</v>
      </c>
      <c r="C170" s="43">
        <f t="shared" si="83"/>
        <v>0</v>
      </c>
      <c r="D170" s="43">
        <f t="shared" si="83"/>
        <v>5.069699032471537</v>
      </c>
      <c r="E170" s="43">
        <f t="shared" si="83"/>
        <v>5.069699032471537</v>
      </c>
      <c r="F170" s="43">
        <f t="shared" si="83"/>
        <v>0</v>
      </c>
      <c r="G170" s="43">
        <f t="shared" si="83"/>
        <v>0</v>
      </c>
      <c r="H170" s="43">
        <f t="shared" si="83"/>
        <v>0</v>
      </c>
      <c r="I170" s="43">
        <f t="shared" si="83"/>
        <v>0</v>
      </c>
      <c r="J170" s="43">
        <f t="shared" si="83"/>
        <v>0</v>
      </c>
      <c r="K170" s="43">
        <f t="shared" si="83"/>
        <v>0</v>
      </c>
      <c r="L170" s="43">
        <f t="shared" si="83"/>
        <v>0</v>
      </c>
      <c r="M170" s="43">
        <f t="shared" si="83"/>
        <v>0</v>
      </c>
      <c r="N170" s="43">
        <f t="shared" si="83"/>
        <v>0</v>
      </c>
    </row>
    <row r="171" spans="1:14" ht="12.75">
      <c r="A171" s="4" t="str">
        <f>A51</f>
        <v>VGS Foundations </v>
      </c>
      <c r="B171" s="43">
        <f aca="true" t="shared" si="84" ref="B171:N171">IF(AND(B$157&gt;=$J51,B$157&lt;=$K51),$I51+$I52,0)</f>
        <v>0</v>
      </c>
      <c r="C171" s="43">
        <f t="shared" si="84"/>
        <v>0</v>
      </c>
      <c r="D171" s="43">
        <f t="shared" si="84"/>
        <v>0</v>
      </c>
      <c r="E171" s="43">
        <f t="shared" si="84"/>
        <v>0</v>
      </c>
      <c r="F171" s="43">
        <f t="shared" si="84"/>
        <v>73.29648829514942</v>
      </c>
      <c r="G171" s="43">
        <f t="shared" si="84"/>
        <v>73.29648829514942</v>
      </c>
      <c r="H171" s="43">
        <f t="shared" si="84"/>
        <v>73.29648829514942</v>
      </c>
      <c r="I171" s="43">
        <f t="shared" si="84"/>
        <v>73.29648829514942</v>
      </c>
      <c r="J171" s="43">
        <f t="shared" si="84"/>
        <v>73.29648829514942</v>
      </c>
      <c r="K171" s="43">
        <f t="shared" si="84"/>
        <v>0</v>
      </c>
      <c r="L171" s="43">
        <f t="shared" si="84"/>
        <v>0</v>
      </c>
      <c r="M171" s="43">
        <f t="shared" si="84"/>
        <v>0</v>
      </c>
      <c r="N171" s="43">
        <f t="shared" si="84"/>
        <v>0</v>
      </c>
    </row>
    <row r="172" spans="1:14" ht="12.75">
      <c r="A172" s="4" t="str">
        <f>A53</f>
        <v>VGS Paving</v>
      </c>
      <c r="B172" s="43">
        <f aca="true" t="shared" si="85" ref="B172:N172">IF(AND(B$157&gt;=$J53,B$157&lt;=$K53),$I53+$I54,0)</f>
        <v>0</v>
      </c>
      <c r="C172" s="43">
        <f t="shared" si="85"/>
        <v>0</v>
      </c>
      <c r="D172" s="43">
        <f t="shared" si="85"/>
        <v>0</v>
      </c>
      <c r="E172" s="43">
        <f t="shared" si="85"/>
        <v>0</v>
      </c>
      <c r="F172" s="43">
        <f t="shared" si="85"/>
        <v>0</v>
      </c>
      <c r="G172" s="43">
        <f t="shared" si="85"/>
        <v>0</v>
      </c>
      <c r="H172" s="43">
        <f t="shared" si="85"/>
        <v>0</v>
      </c>
      <c r="I172" s="43">
        <f t="shared" si="85"/>
        <v>24.197738663038628</v>
      </c>
      <c r="J172" s="43">
        <f t="shared" si="85"/>
        <v>24.197738663038628</v>
      </c>
      <c r="K172" s="43">
        <f t="shared" si="85"/>
        <v>24.197738663038628</v>
      </c>
      <c r="L172" s="43">
        <f t="shared" si="85"/>
        <v>0</v>
      </c>
      <c r="M172" s="43">
        <f t="shared" si="85"/>
        <v>0</v>
      </c>
      <c r="N172" s="43">
        <f t="shared" si="85"/>
        <v>0</v>
      </c>
    </row>
    <row r="173" spans="1:14" ht="12.75">
      <c r="A173" s="4" t="str">
        <f>A55</f>
        <v>VGS Equipment Installation</v>
      </c>
      <c r="B173" s="43">
        <f aca="true" t="shared" si="86" ref="B173:N173">IF(AND(B$157&gt;=$J55,B$157&lt;=$K55),$I55+$I56,0)</f>
        <v>0</v>
      </c>
      <c r="C173" s="43">
        <f t="shared" si="86"/>
        <v>0</v>
      </c>
      <c r="D173" s="43">
        <f t="shared" si="86"/>
        <v>0</v>
      </c>
      <c r="E173" s="43">
        <f t="shared" si="86"/>
        <v>0</v>
      </c>
      <c r="F173" s="43">
        <f t="shared" si="86"/>
        <v>0</v>
      </c>
      <c r="G173" s="43">
        <f t="shared" si="86"/>
        <v>0</v>
      </c>
      <c r="H173" s="43">
        <f t="shared" si="86"/>
        <v>0</v>
      </c>
      <c r="I173" s="43">
        <f t="shared" si="86"/>
        <v>0</v>
      </c>
      <c r="J173" s="43">
        <f t="shared" si="86"/>
        <v>0</v>
      </c>
      <c r="K173" s="43">
        <f t="shared" si="86"/>
        <v>0</v>
      </c>
      <c r="L173" s="43">
        <f t="shared" si="86"/>
        <v>0</v>
      </c>
      <c r="M173" s="43">
        <f t="shared" si="86"/>
        <v>44.34768897285073</v>
      </c>
      <c r="N173" s="43">
        <f t="shared" si="86"/>
        <v>44.34768897285073</v>
      </c>
    </row>
    <row r="174" spans="1:14" ht="12.75">
      <c r="A174" s="15" t="s">
        <v>24</v>
      </c>
      <c r="B174" s="44">
        <f aca="true" t="shared" si="87" ref="B174:N174">SUM(B158:B173)</f>
        <v>260.5014638933961</v>
      </c>
      <c r="C174" s="44">
        <f t="shared" si="87"/>
        <v>260.5014638933961</v>
      </c>
      <c r="D174" s="44">
        <f t="shared" si="87"/>
        <v>312.869423690868</v>
      </c>
      <c r="E174" s="44">
        <f t="shared" si="87"/>
        <v>312.869423690868</v>
      </c>
      <c r="F174" s="44">
        <f t="shared" si="87"/>
        <v>381.0962129535459</v>
      </c>
      <c r="G174" s="44">
        <f t="shared" si="87"/>
        <v>394.4421894675326</v>
      </c>
      <c r="H174" s="44">
        <f t="shared" si="87"/>
        <v>394.4421894675326</v>
      </c>
      <c r="I174" s="44">
        <f t="shared" si="87"/>
        <v>343.0788024480836</v>
      </c>
      <c r="J174" s="44">
        <f t="shared" si="87"/>
        <v>343.0788024480836</v>
      </c>
      <c r="K174" s="44">
        <f t="shared" si="87"/>
        <v>269.7823141529342</v>
      </c>
      <c r="L174" s="44">
        <f t="shared" si="87"/>
        <v>245.58457548989554</v>
      </c>
      <c r="M174" s="44">
        <f t="shared" si="87"/>
        <v>169.92850006091737</v>
      </c>
      <c r="N174" s="44">
        <f t="shared" si="87"/>
        <v>169.92850006091737</v>
      </c>
    </row>
    <row r="175" spans="1:14" ht="12.75">
      <c r="A175" s="39" t="s">
        <v>132</v>
      </c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7"/>
      <c r="M175" s="47"/>
      <c r="N175" s="47"/>
    </row>
    <row r="176" spans="1:14" ht="12.75">
      <c r="A176" s="62" t="s">
        <v>276</v>
      </c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7"/>
      <c r="M176" s="47"/>
      <c r="N176" s="47"/>
    </row>
    <row r="177" spans="1:11" ht="12.75">
      <c r="A177" s="29"/>
      <c r="B177" s="48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ht="12.75">
      <c r="A178" s="29"/>
      <c r="B178" s="48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ht="12.75">
      <c r="A179" s="86" t="s">
        <v>315</v>
      </c>
      <c r="B179" s="86"/>
      <c r="C179" s="86"/>
      <c r="D179" s="86"/>
      <c r="E179" s="86"/>
      <c r="F179" s="86"/>
      <c r="G179" s="86"/>
      <c r="H179" s="86"/>
      <c r="I179" s="49"/>
      <c r="J179" s="49"/>
      <c r="K179" s="49"/>
    </row>
    <row r="180" spans="1:11" ht="12.75">
      <c r="A180" s="85" t="s">
        <v>316</v>
      </c>
      <c r="B180" s="85"/>
      <c r="C180" s="85"/>
      <c r="D180" s="85"/>
      <c r="E180" s="85"/>
      <c r="F180" s="85"/>
      <c r="G180" s="85"/>
      <c r="H180" s="85"/>
      <c r="I180" s="49"/>
      <c r="J180" s="49"/>
      <c r="K180" s="49"/>
    </row>
    <row r="181" spans="1:11" ht="42">
      <c r="A181" s="2" t="s">
        <v>131</v>
      </c>
      <c r="B181" s="3" t="s">
        <v>193</v>
      </c>
      <c r="C181" s="3" t="s">
        <v>194</v>
      </c>
      <c r="D181" s="3" t="s">
        <v>199</v>
      </c>
      <c r="E181" s="3" t="s">
        <v>200</v>
      </c>
      <c r="F181" s="3" t="s">
        <v>208</v>
      </c>
      <c r="G181" s="3" t="s">
        <v>209</v>
      </c>
      <c r="H181" s="3" t="s">
        <v>210</v>
      </c>
      <c r="I181" s="49"/>
      <c r="J181" s="49"/>
      <c r="K181" s="49"/>
    </row>
    <row r="182" spans="1:11" ht="12.75">
      <c r="A182" s="15" t="s">
        <v>94</v>
      </c>
      <c r="B182" s="43">
        <f>FoundationsHGSAltB!B85+PavingHGS!B85+FoundationsSGS!B84+PavingSGS!B85+FoundationsVGS!B85+PavingVGS!B85</f>
        <v>429.02544</v>
      </c>
      <c r="C182" s="43">
        <f>'Equipment InstallationHGSAltB'!C84+'Equipment InstallationSGS'!C84+'Equipment InstallationVGS'!C84</f>
        <v>67.30879999999999</v>
      </c>
      <c r="D182" s="43">
        <f>'Equipment InstallationHGSAltB'!D84+'Equipment InstallationSGS'!D84+'Equipment InstallationVGS'!D84</f>
        <v>577.6033600000001</v>
      </c>
      <c r="E182" s="43">
        <f>'Equipment InstallationHGSAltB'!E84+'Equipment InstallationSGS'!E84+'Equipment InstallationVGS'!E84</f>
        <v>47.44704000000001</v>
      </c>
      <c r="F182" s="43">
        <f>FoundationsHGSAltB!F85+PavingHGS!F85+FoundationsSGS!F84+PavingSGS!F85+FoundationsVGS!F85+PavingVGS!F85</f>
        <v>18.5756</v>
      </c>
      <c r="G182" s="43"/>
      <c r="H182" s="43">
        <f>FoundationsHGS!H85+PavingHGS!H85+FoundationsSGS!H84+PavingSGS!H85+FoundationsVGS!H85+PavingVGS!H85</f>
        <v>18.08332</v>
      </c>
      <c r="I182" s="49"/>
      <c r="J182" s="49"/>
      <c r="K182" s="49"/>
    </row>
    <row r="183" spans="1:11" ht="12.75">
      <c r="A183" s="4" t="s">
        <v>123</v>
      </c>
      <c r="B183" s="40">
        <v>0</v>
      </c>
      <c r="C183" s="40">
        <v>0.05</v>
      </c>
      <c r="D183" s="40">
        <v>0.05</v>
      </c>
      <c r="E183" s="40">
        <v>0.05</v>
      </c>
      <c r="F183" s="40">
        <v>0.05</v>
      </c>
      <c r="G183" s="43"/>
      <c r="H183" s="43">
        <f>FoundationsHGS!H86+PavingHGS!H86+FoundationsSGS!H85+PavingSGS!H86+FoundationsVGS!H86+PavingVGS!H86</f>
        <v>0</v>
      </c>
      <c r="I183" s="49"/>
      <c r="J183" s="49"/>
      <c r="K183" s="49"/>
    </row>
    <row r="184" spans="1:11" ht="12.75">
      <c r="A184" s="4" t="s">
        <v>124</v>
      </c>
      <c r="B184" s="43">
        <f>-B183*B182</f>
        <v>0</v>
      </c>
      <c r="C184" s="43">
        <f>-C183*C182</f>
        <v>-3.3654399999999995</v>
      </c>
      <c r="D184" s="43">
        <f>-D183*D182</f>
        <v>-28.880168000000005</v>
      </c>
      <c r="E184" s="43">
        <f>-E183*E182</f>
        <v>-2.3723520000000007</v>
      </c>
      <c r="F184" s="43">
        <f>-F183*F182</f>
        <v>-0.9287800000000002</v>
      </c>
      <c r="G184" s="43"/>
      <c r="H184" s="43">
        <f>FoundationsHGS!H87+PavingHGS!H87+FoundationsSGS!H86+PavingSGS!H87+FoundationsVGS!H87+PavingVGS!H87</f>
        <v>-0.904166</v>
      </c>
      <c r="I184" s="49"/>
      <c r="J184" s="49"/>
      <c r="K184" s="49"/>
    </row>
    <row r="185" spans="1:11" ht="12.75">
      <c r="A185" s="15" t="s">
        <v>125</v>
      </c>
      <c r="B185" s="44">
        <f>B182+B184</f>
        <v>429.02544</v>
      </c>
      <c r="C185" s="44">
        <f>C182+C184</f>
        <v>63.94335999999999</v>
      </c>
      <c r="D185" s="44">
        <f>D182+D184</f>
        <v>548.723192</v>
      </c>
      <c r="E185" s="44">
        <f>E182+E184</f>
        <v>45.07468800000001</v>
      </c>
      <c r="F185" s="44">
        <f>F182+F184</f>
        <v>17.64682</v>
      </c>
      <c r="G185" s="44"/>
      <c r="H185" s="44">
        <f>F185+G185</f>
        <v>17.64682</v>
      </c>
      <c r="I185" s="49"/>
      <c r="J185" s="49"/>
      <c r="K185" s="49"/>
    </row>
    <row r="186" spans="1:11" ht="12.75">
      <c r="A186" s="15" t="s">
        <v>127</v>
      </c>
      <c r="B186" s="43">
        <f>FoundationsHGSAltB!B89+PavingHGS!B89+FoundationsSGS!B88+PavingSGS!B89+FoundationsVGS!B89+PavingVGS!B89</f>
        <v>13.495282186948854</v>
      </c>
      <c r="C186" s="43">
        <f>'Equipment InstallationHGSAltB'!C88+'Equipment InstallationSGS'!C88+'Equipment InstallationVGS'!C88</f>
        <v>1.300641534391534</v>
      </c>
      <c r="D186" s="43">
        <f>'Equipment InstallationHGSAltB'!D88+'Equipment InstallationSGS'!D88+'Equipment InstallationVGS'!D88</f>
        <v>1.6072089947089945</v>
      </c>
      <c r="E186" s="43">
        <f>'Equipment InstallationHGSAltB'!E88+'Equipment InstallationSGS'!E88+'Equipment InstallationVGS'!E88</f>
        <v>0</v>
      </c>
      <c r="F186" s="43">
        <f>FoundationsHGSAltB!F89+PavingHGS!F89+FoundationsSGS!F88+PavingSGS!F89+FoundationsVGS!F89+PavingVGS!F89</f>
        <v>0.12226631393298058</v>
      </c>
      <c r="G186" s="43"/>
      <c r="H186" s="43">
        <f>FoundationsHGS!H89+PavingHGS!H89+FoundationsSGS!H88+PavingSGS!H89+FoundationsVGS!H89+PavingVGS!H89</f>
        <v>0.12226631393298058</v>
      </c>
      <c r="I186" s="49"/>
      <c r="J186" s="49"/>
      <c r="K186" s="49"/>
    </row>
    <row r="187" spans="1:11" ht="12.75">
      <c r="A187" s="4" t="s">
        <v>123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/>
      <c r="H187" s="44"/>
      <c r="I187" s="49"/>
      <c r="J187" s="49"/>
      <c r="K187" s="49"/>
    </row>
    <row r="188" spans="1:11" ht="12.75">
      <c r="A188" s="4" t="s">
        <v>124</v>
      </c>
      <c r="B188" s="43">
        <f>-B187*B186</f>
        <v>0</v>
      </c>
      <c r="C188" s="43">
        <f>-C187*C186</f>
        <v>0</v>
      </c>
      <c r="D188" s="43">
        <f>-D187*D186</f>
        <v>0</v>
      </c>
      <c r="E188" s="43">
        <f>-E187*E186</f>
        <v>0</v>
      </c>
      <c r="F188" s="43">
        <f>-F187*F186</f>
        <v>0</v>
      </c>
      <c r="G188" s="43"/>
      <c r="H188" s="43">
        <f>FoundationsHGS!H91+PavingHGS!H91+FoundationsSGS!H90+PavingSGS!H91+FoundationsVGS!H91+PavingVGS!H91</f>
        <v>0</v>
      </c>
      <c r="I188" s="49"/>
      <c r="J188" s="49"/>
      <c r="K188" s="49"/>
    </row>
    <row r="189" spans="1:11" ht="12.75">
      <c r="A189" s="15" t="s">
        <v>125</v>
      </c>
      <c r="B189" s="44">
        <f>B186+B188</f>
        <v>13.495282186948854</v>
      </c>
      <c r="C189" s="44">
        <f>C186+C188</f>
        <v>1.300641534391534</v>
      </c>
      <c r="D189" s="44">
        <f>D186+D188</f>
        <v>1.6072089947089945</v>
      </c>
      <c r="E189" s="44">
        <f>E186+E188</f>
        <v>0</v>
      </c>
      <c r="F189" s="44">
        <f>F186+F188</f>
        <v>0.12226631393298058</v>
      </c>
      <c r="G189" s="44"/>
      <c r="H189" s="44">
        <f>F189+G189</f>
        <v>0.12226631393298058</v>
      </c>
      <c r="I189" s="49"/>
      <c r="J189" s="49"/>
      <c r="K189" s="49"/>
    </row>
    <row r="190" spans="1:11" ht="12.75">
      <c r="A190" s="15" t="s">
        <v>95</v>
      </c>
      <c r="B190" s="43"/>
      <c r="C190" s="43"/>
      <c r="D190" s="43"/>
      <c r="E190" s="43"/>
      <c r="F190" s="43"/>
      <c r="G190" s="43">
        <f>FoundationsHGSAltB!G93+PavingHGS!G93+FoundationsSGS!G92+PavingSGS!G93+FoundationsVGS!G93+PavingVGS!G93</f>
        <v>66.04508092748101</v>
      </c>
      <c r="H190" s="43">
        <f>FoundationsHGS!H93+PavingHGS!H93+FoundationsSGS!H92+PavingSGS!H93+FoundationsVGS!H93+PavingVGS!H93</f>
        <v>66.04508092748101</v>
      </c>
      <c r="I190" s="49"/>
      <c r="J190" s="49"/>
      <c r="K190" s="49"/>
    </row>
    <row r="191" spans="1:11" ht="12.75">
      <c r="A191" s="4" t="s">
        <v>123</v>
      </c>
      <c r="B191" s="40"/>
      <c r="C191" s="40"/>
      <c r="D191" s="40"/>
      <c r="E191" s="40"/>
      <c r="F191" s="40"/>
      <c r="G191" s="40">
        <v>0.16</v>
      </c>
      <c r="H191" s="43"/>
      <c r="I191" s="49"/>
      <c r="J191" s="49"/>
      <c r="K191" s="49"/>
    </row>
    <row r="192" spans="1:11" ht="12.75">
      <c r="A192" s="4" t="s">
        <v>124</v>
      </c>
      <c r="B192" s="43"/>
      <c r="C192" s="43"/>
      <c r="D192" s="43"/>
      <c r="E192" s="43"/>
      <c r="F192" s="43"/>
      <c r="G192" s="43">
        <f>-G191*G190</f>
        <v>-10.567212948396962</v>
      </c>
      <c r="H192" s="43">
        <f>F192+G192</f>
        <v>-10.567212948396962</v>
      </c>
      <c r="I192" s="49"/>
      <c r="J192" s="49"/>
      <c r="K192" s="49"/>
    </row>
    <row r="193" spans="1:11" ht="12.75">
      <c r="A193" s="15" t="s">
        <v>125</v>
      </c>
      <c r="B193" s="44"/>
      <c r="C193" s="44"/>
      <c r="D193" s="44"/>
      <c r="E193" s="44"/>
      <c r="F193" s="44"/>
      <c r="G193" s="44">
        <f>G190+G192</f>
        <v>55.477867979084046</v>
      </c>
      <c r="H193" s="44">
        <f>F193+G193</f>
        <v>55.477867979084046</v>
      </c>
      <c r="I193" s="49"/>
      <c r="J193" s="49"/>
      <c r="K193" s="49"/>
    </row>
    <row r="194" spans="1:11" ht="12.75">
      <c r="A194" s="15" t="s">
        <v>96</v>
      </c>
      <c r="B194" s="43"/>
      <c r="C194" s="43">
        <f>'Equipment InstallationHGSAltB'!C96+'Equipment InstallationSGS'!C96+'Equipment InstallationVGS'!C96</f>
        <v>0</v>
      </c>
      <c r="D194" s="43"/>
      <c r="E194" s="43"/>
      <c r="F194" s="43"/>
      <c r="G194" s="43"/>
      <c r="H194" s="43"/>
      <c r="I194" s="49"/>
      <c r="J194" s="49"/>
      <c r="K194" s="49"/>
    </row>
    <row r="195" spans="1:11" ht="12.75">
      <c r="A195" s="4" t="s">
        <v>123</v>
      </c>
      <c r="B195" s="40"/>
      <c r="C195" s="40">
        <v>0</v>
      </c>
      <c r="D195" s="40"/>
      <c r="E195" s="40"/>
      <c r="F195" s="40"/>
      <c r="G195" s="40"/>
      <c r="H195" s="43"/>
      <c r="I195" s="49"/>
      <c r="J195" s="49"/>
      <c r="K195" s="49"/>
    </row>
    <row r="196" spans="1:11" ht="12.75">
      <c r="A196" s="4" t="s">
        <v>124</v>
      </c>
      <c r="B196" s="43"/>
      <c r="C196" s="43">
        <f>-C195*C194</f>
        <v>0</v>
      </c>
      <c r="D196" s="43"/>
      <c r="E196" s="43"/>
      <c r="F196" s="43"/>
      <c r="G196" s="43"/>
      <c r="H196" s="43"/>
      <c r="I196" s="49"/>
      <c r="J196" s="49"/>
      <c r="K196" s="49"/>
    </row>
    <row r="197" spans="1:11" ht="12.75">
      <c r="A197" s="15" t="s">
        <v>125</v>
      </c>
      <c r="B197" s="44"/>
      <c r="C197" s="44">
        <f>C194+C196</f>
        <v>0</v>
      </c>
      <c r="D197" s="44"/>
      <c r="E197" s="44"/>
      <c r="F197" s="44"/>
      <c r="G197" s="44"/>
      <c r="H197" s="44"/>
      <c r="I197" s="49"/>
      <c r="J197" s="49"/>
      <c r="K197" s="49"/>
    </row>
    <row r="198" spans="1:11" ht="12.75">
      <c r="A198" s="15" t="s">
        <v>97</v>
      </c>
      <c r="B198" s="43"/>
      <c r="C198" s="43">
        <f>'Equipment InstallationHGSAltB'!C100+'Equipment InstallationSGS'!C100+'Equipment InstallationVGS'!C100</f>
        <v>77</v>
      </c>
      <c r="D198" s="43"/>
      <c r="E198" s="43"/>
      <c r="F198" s="43"/>
      <c r="G198" s="43"/>
      <c r="H198" s="43"/>
      <c r="I198" s="49"/>
      <c r="J198" s="49"/>
      <c r="K198" s="49"/>
    </row>
    <row r="199" spans="1:11" ht="12.75">
      <c r="A199" s="4" t="s">
        <v>123</v>
      </c>
      <c r="B199" s="40"/>
      <c r="C199" s="40">
        <v>0</v>
      </c>
      <c r="D199" s="40"/>
      <c r="E199" s="40"/>
      <c r="F199" s="40"/>
      <c r="G199" s="40"/>
      <c r="H199" s="43"/>
      <c r="I199" s="49"/>
      <c r="J199" s="49"/>
      <c r="K199" s="49"/>
    </row>
    <row r="200" spans="1:11" ht="12.75">
      <c r="A200" s="4" t="s">
        <v>124</v>
      </c>
      <c r="B200" s="43"/>
      <c r="C200" s="43">
        <f>-C199*C198</f>
        <v>0</v>
      </c>
      <c r="D200" s="43"/>
      <c r="E200" s="43"/>
      <c r="F200" s="43"/>
      <c r="G200" s="43"/>
      <c r="H200" s="43"/>
      <c r="I200" s="49"/>
      <c r="J200" s="49"/>
      <c r="K200" s="49"/>
    </row>
    <row r="201" spans="1:11" ht="12.75">
      <c r="A201" s="15" t="s">
        <v>125</v>
      </c>
      <c r="B201" s="44"/>
      <c r="C201" s="44">
        <f>C198+C200</f>
        <v>77</v>
      </c>
      <c r="D201" s="44"/>
      <c r="E201" s="44"/>
      <c r="F201" s="44"/>
      <c r="G201" s="44"/>
      <c r="H201" s="44"/>
      <c r="I201" s="49"/>
      <c r="J201" s="49"/>
      <c r="K201" s="49"/>
    </row>
    <row r="202" spans="1:11" ht="12.75">
      <c r="A202" s="15" t="s">
        <v>189</v>
      </c>
      <c r="B202" s="43"/>
      <c r="C202" s="43"/>
      <c r="D202" s="43"/>
      <c r="E202" s="43"/>
      <c r="F202" s="43"/>
      <c r="G202" s="43"/>
      <c r="H202" s="43"/>
      <c r="I202" s="49"/>
      <c r="J202" s="49"/>
      <c r="K202" s="49"/>
    </row>
    <row r="203" spans="1:11" ht="12.75">
      <c r="A203" s="4" t="s">
        <v>123</v>
      </c>
      <c r="B203" s="40"/>
      <c r="C203" s="40">
        <v>0.9</v>
      </c>
      <c r="D203" s="40"/>
      <c r="E203" s="40"/>
      <c r="F203" s="40"/>
      <c r="G203" s="40"/>
      <c r="H203" s="43"/>
      <c r="I203" s="49"/>
      <c r="J203" s="49"/>
      <c r="K203" s="49"/>
    </row>
    <row r="204" spans="1:11" ht="12.75">
      <c r="A204" s="4" t="s">
        <v>124</v>
      </c>
      <c r="B204" s="43"/>
      <c r="C204" s="43">
        <f>-C203*C202</f>
        <v>0</v>
      </c>
      <c r="D204" s="43"/>
      <c r="E204" s="43"/>
      <c r="F204" s="43"/>
      <c r="G204" s="43"/>
      <c r="H204" s="43"/>
      <c r="I204" s="49"/>
      <c r="J204" s="49"/>
      <c r="K204" s="49"/>
    </row>
    <row r="205" spans="1:11" ht="12.75">
      <c r="A205" s="15" t="s">
        <v>125</v>
      </c>
      <c r="B205" s="44"/>
      <c r="C205" s="44">
        <f>C202+C204</f>
        <v>0</v>
      </c>
      <c r="D205" s="44"/>
      <c r="E205" s="44"/>
      <c r="F205" s="44"/>
      <c r="G205" s="44"/>
      <c r="H205" s="44"/>
      <c r="I205" s="49"/>
      <c r="J205" s="49"/>
      <c r="K205" s="49"/>
    </row>
    <row r="206" spans="1:11" ht="12.75">
      <c r="A206" s="15" t="s">
        <v>98</v>
      </c>
      <c r="B206" s="44">
        <f>B185+B189+B193+B197+B205</f>
        <v>442.52072218694883</v>
      </c>
      <c r="C206" s="44">
        <f>C185+C189+C193+C197+C201+C205</f>
        <v>142.24400153439154</v>
      </c>
      <c r="D206" s="44">
        <f>D185+D189+D193+D197+D205</f>
        <v>550.3304009947091</v>
      </c>
      <c r="E206" s="44">
        <f>E185+E189+E193+E197+E205</f>
        <v>45.07468800000001</v>
      </c>
      <c r="F206" s="44">
        <f>F185+F189+F193+F197+F205</f>
        <v>17.76908631393298</v>
      </c>
      <c r="G206" s="44">
        <f>G185+G189+G193+G197+G205</f>
        <v>55.477867979084046</v>
      </c>
      <c r="H206" s="44">
        <f>H185+H193+H197+H205</f>
        <v>73.12468797908404</v>
      </c>
      <c r="I206" s="49"/>
      <c r="J206" s="49"/>
      <c r="K206" s="49"/>
    </row>
    <row r="207" spans="1:11" ht="12.75">
      <c r="A207" s="15" t="s">
        <v>167</v>
      </c>
      <c r="B207" s="44"/>
      <c r="C207" s="44"/>
      <c r="D207" s="44"/>
      <c r="E207" s="44"/>
      <c r="F207" s="45"/>
      <c r="G207" s="45">
        <f>FoundationsHGS!G106+PavingHGS!G106+FoundationsSGS!G105+PavingSGS!G106+FoundationsVGS!G106+PavingVGS!G106</f>
        <v>0</v>
      </c>
      <c r="H207" s="45">
        <f>FoundationsHGS!H106+PavingHGS!H106+FoundationsSGS!H105+PavingSGS!H106+FoundationsVGS!H106+PavingVGS!H106</f>
        <v>0</v>
      </c>
      <c r="I207" s="49"/>
      <c r="J207" s="49"/>
      <c r="K207" s="49"/>
    </row>
    <row r="208" spans="1:11" ht="12.75">
      <c r="A208" s="4" t="s">
        <v>123</v>
      </c>
      <c r="B208" s="44"/>
      <c r="C208" s="44"/>
      <c r="D208" s="44"/>
      <c r="E208" s="44"/>
      <c r="F208" s="44"/>
      <c r="G208" s="61">
        <v>0.9</v>
      </c>
      <c r="H208" s="44"/>
      <c r="I208" s="49"/>
      <c r="J208" s="49"/>
      <c r="K208" s="49"/>
    </row>
    <row r="209" spans="1:11" ht="12.75">
      <c r="A209" s="4" t="s">
        <v>124</v>
      </c>
      <c r="B209" s="44"/>
      <c r="C209" s="44"/>
      <c r="D209" s="44"/>
      <c r="E209" s="44"/>
      <c r="F209" s="44"/>
      <c r="G209" s="43">
        <f>-G208*G207</f>
        <v>0</v>
      </c>
      <c r="H209" s="43">
        <f>F209+G209</f>
        <v>0</v>
      </c>
      <c r="I209" s="49"/>
      <c r="J209" s="49"/>
      <c r="K209" s="49"/>
    </row>
    <row r="210" spans="1:11" ht="12.75">
      <c r="A210" s="15" t="s">
        <v>125</v>
      </c>
      <c r="B210" s="44"/>
      <c r="C210" s="44"/>
      <c r="D210" s="44"/>
      <c r="E210" s="44"/>
      <c r="F210" s="44"/>
      <c r="G210" s="44">
        <f>G207+G209</f>
        <v>0</v>
      </c>
      <c r="H210" s="44">
        <f>F210+G210</f>
        <v>0</v>
      </c>
      <c r="I210" s="49"/>
      <c r="J210" s="49"/>
      <c r="K210" s="49"/>
    </row>
    <row r="211" spans="1:11" ht="12.75">
      <c r="A211" s="15" t="s">
        <v>99</v>
      </c>
      <c r="B211" s="43">
        <f>FoundationsHGSAltB!B114+PavingHGS!B114+FoundationsSGS!B113+PavingSGS!B114+FoundationsVGS!B114+PavingVGS!B114</f>
        <v>258.2698412698412</v>
      </c>
      <c r="C211" s="43">
        <f>'Equipment InstallationHGSAltB'!C113+'Equipment InstallationSGS'!C113+'Equipment InstallationVGS'!C113</f>
        <v>41.964285714285715</v>
      </c>
      <c r="D211" s="43">
        <f>'Equipment InstallationHGSAltB'!D113+'Equipment InstallationSGS'!D113+'Equipment InstallationVGS'!D113</f>
        <v>67.13077601410934</v>
      </c>
      <c r="E211" s="43">
        <f>'Equipment InstallationHGSAltB'!E113+'Equipment InstallationSGS'!E113+'Equipment InstallationVGS'!E113</f>
        <v>0</v>
      </c>
      <c r="F211" s="43">
        <f>FoundationsHGSAltB!F114+PavingHGS!F114+FoundationsSGS!F113+PavingSGS!F114+FoundationsVGS!F114+PavingVGS!F114</f>
        <v>5.254850088183421</v>
      </c>
      <c r="G211" s="43">
        <f>FoundationsHGSAltB!G114+PavingHGS!G114+FoundationsSGS!G113+PavingSGS!G114+FoundationsVGS!G114+PavingVGS!G114</f>
        <v>253.0810051184862</v>
      </c>
      <c r="H211" s="45">
        <f>FoundationsHGS!H110+PavingHGS!H110+FoundationsSGS!H109+PavingSGS!H110+FoundationsVGS!H110+PavingVGS!H110</f>
        <v>257.09562461882047</v>
      </c>
      <c r="I211" s="49"/>
      <c r="J211" s="49"/>
      <c r="K211" s="49"/>
    </row>
    <row r="212" spans="1:11" ht="12.75">
      <c r="A212" s="4" t="s">
        <v>123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3"/>
      <c r="I212" s="49"/>
      <c r="J212" s="49"/>
      <c r="K212" s="49"/>
    </row>
    <row r="213" spans="1:11" ht="12.75">
      <c r="A213" s="4" t="s">
        <v>124</v>
      </c>
      <c r="B213" s="43">
        <f aca="true" t="shared" si="88" ref="B213:G213">-B212*B211</f>
        <v>0</v>
      </c>
      <c r="C213" s="43">
        <f t="shared" si="88"/>
        <v>0</v>
      </c>
      <c r="D213" s="43">
        <f t="shared" si="88"/>
        <v>0</v>
      </c>
      <c r="E213" s="43">
        <f t="shared" si="88"/>
        <v>0</v>
      </c>
      <c r="F213" s="43">
        <f t="shared" si="88"/>
        <v>0</v>
      </c>
      <c r="G213" s="43">
        <f t="shared" si="88"/>
        <v>0</v>
      </c>
      <c r="H213" s="43">
        <f>F213+G213</f>
        <v>0</v>
      </c>
      <c r="I213" s="49"/>
      <c r="J213" s="49"/>
      <c r="K213" s="49"/>
    </row>
    <row r="214" spans="1:11" ht="12.75">
      <c r="A214" s="15" t="s">
        <v>125</v>
      </c>
      <c r="B214" s="44">
        <f aca="true" t="shared" si="89" ref="B214:G214">B211+B213</f>
        <v>258.2698412698412</v>
      </c>
      <c r="C214" s="44">
        <f t="shared" si="89"/>
        <v>41.964285714285715</v>
      </c>
      <c r="D214" s="44">
        <f t="shared" si="89"/>
        <v>67.13077601410934</v>
      </c>
      <c r="E214" s="44">
        <f t="shared" si="89"/>
        <v>0</v>
      </c>
      <c r="F214" s="44">
        <f t="shared" si="89"/>
        <v>5.254850088183421</v>
      </c>
      <c r="G214" s="44">
        <f t="shared" si="89"/>
        <v>253.0810051184862</v>
      </c>
      <c r="H214" s="44">
        <f>F214+G214</f>
        <v>258.33585520666963</v>
      </c>
      <c r="I214" s="49"/>
      <c r="J214" s="49"/>
      <c r="K214" s="49"/>
    </row>
    <row r="215" spans="1:11" ht="12.75">
      <c r="A215" s="15" t="s">
        <v>168</v>
      </c>
      <c r="B215" s="44">
        <f aca="true" t="shared" si="90" ref="B215:H215">B214+B210</f>
        <v>258.2698412698412</v>
      </c>
      <c r="C215" s="44">
        <f t="shared" si="90"/>
        <v>41.964285714285715</v>
      </c>
      <c r="D215" s="44">
        <f t="shared" si="90"/>
        <v>67.13077601410934</v>
      </c>
      <c r="E215" s="44">
        <f t="shared" si="90"/>
        <v>0</v>
      </c>
      <c r="F215" s="44">
        <f t="shared" si="90"/>
        <v>5.254850088183421</v>
      </c>
      <c r="G215" s="44">
        <f t="shared" si="90"/>
        <v>253.0810051184862</v>
      </c>
      <c r="H215" s="44">
        <f t="shared" si="90"/>
        <v>258.33585520666963</v>
      </c>
      <c r="I215" s="49"/>
      <c r="J215" s="49"/>
      <c r="K215" s="49"/>
    </row>
    <row r="216" spans="1:11" ht="12.75">
      <c r="A216" s="15" t="s">
        <v>24</v>
      </c>
      <c r="B216" s="44">
        <f aca="true" t="shared" si="91" ref="B216:H216">B206+B215</f>
        <v>700.7905634567901</v>
      </c>
      <c r="C216" s="44">
        <f t="shared" si="91"/>
        <v>184.20828724867727</v>
      </c>
      <c r="D216" s="44">
        <f t="shared" si="91"/>
        <v>617.4611770088184</v>
      </c>
      <c r="E216" s="44">
        <f t="shared" si="91"/>
        <v>45.07468800000001</v>
      </c>
      <c r="F216" s="44">
        <f t="shared" si="91"/>
        <v>23.0239364021164</v>
      </c>
      <c r="G216" s="44">
        <f t="shared" si="91"/>
        <v>308.55887309757026</v>
      </c>
      <c r="H216" s="44">
        <f t="shared" si="91"/>
        <v>331.4605431857537</v>
      </c>
      <c r="I216" s="49"/>
      <c r="J216" s="49"/>
      <c r="K216" s="49"/>
    </row>
    <row r="217" spans="1:11" ht="12.75">
      <c r="A217" s="68" t="s">
        <v>252</v>
      </c>
      <c r="B217" s="70">
        <v>550</v>
      </c>
      <c r="C217" s="70">
        <v>75</v>
      </c>
      <c r="D217" s="70">
        <v>100</v>
      </c>
      <c r="E217" s="70">
        <v>150</v>
      </c>
      <c r="F217" s="70"/>
      <c r="G217" s="70"/>
      <c r="H217" s="70">
        <v>150</v>
      </c>
      <c r="I217" s="49"/>
      <c r="J217" s="49"/>
      <c r="K217" s="49"/>
    </row>
    <row r="218" spans="1:11" ht="12.75">
      <c r="A218" s="51" t="s">
        <v>253</v>
      </c>
      <c r="B218" s="44" t="str">
        <f>IF(B216&gt;B217,"Yes","No")</f>
        <v>Yes</v>
      </c>
      <c r="C218" s="44" t="str">
        <f>IF(C216&gt;C217,"Yes","No")</f>
        <v>Yes</v>
      </c>
      <c r="D218" s="44" t="str">
        <f>IF(D216&gt;D217,"Yes","No")</f>
        <v>Yes</v>
      </c>
      <c r="E218" s="45" t="str">
        <f>IF(E216&gt;E217,"Yes","No")</f>
        <v>No</v>
      </c>
      <c r="F218" s="44"/>
      <c r="G218" s="44"/>
      <c r="H218" s="44" t="str">
        <f>IF(H216&gt;H217,"Yes","No")</f>
        <v>Yes</v>
      </c>
      <c r="I218" s="49"/>
      <c r="J218" s="49"/>
      <c r="K218" s="49"/>
    </row>
    <row r="219" spans="1:11" ht="12.75">
      <c r="A219" s="39" t="s">
        <v>132</v>
      </c>
      <c r="I219" s="49"/>
      <c r="J219" s="49"/>
      <c r="K219" s="49"/>
    </row>
    <row r="220" spans="1:11" ht="13.5">
      <c r="A220" s="62" t="s">
        <v>367</v>
      </c>
      <c r="B220" s="48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 ht="12.75">
      <c r="A221" s="62"/>
      <c r="B221" s="48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 ht="12.75">
      <c r="A222" s="29"/>
      <c r="B222" s="48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 ht="12.75">
      <c r="A223" s="29"/>
      <c r="B223" s="48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1:11" ht="12.75">
      <c r="A224" s="86" t="s">
        <v>317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</row>
    <row r="225" spans="1:11" ht="12.75">
      <c r="A225" s="85" t="s">
        <v>323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1:28" ht="39">
      <c r="A226" s="27" t="s">
        <v>87</v>
      </c>
      <c r="B226" s="2" t="s">
        <v>101</v>
      </c>
      <c r="C226" s="3" t="s">
        <v>39</v>
      </c>
      <c r="D226" s="3" t="s">
        <v>126</v>
      </c>
      <c r="E226" s="3" t="s">
        <v>37</v>
      </c>
      <c r="F226" s="3" t="s">
        <v>38</v>
      </c>
      <c r="G226" s="3" t="s">
        <v>40</v>
      </c>
      <c r="H226" s="3" t="s">
        <v>41</v>
      </c>
      <c r="I226" s="3" t="s">
        <v>42</v>
      </c>
      <c r="J226" s="2" t="s">
        <v>35</v>
      </c>
      <c r="K226" s="19" t="s">
        <v>36</v>
      </c>
      <c r="L226" s="81"/>
      <c r="M226" s="77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1:28" ht="12.75">
      <c r="A227" s="5" t="str">
        <f>TankDemolitionHGS!A$1</f>
        <v>HGS Tank Demolition</v>
      </c>
      <c r="B227" s="74" t="s">
        <v>111</v>
      </c>
      <c r="C227" s="42">
        <f>TankDemolitionHGS!B$133</f>
        <v>131.8359452275132</v>
      </c>
      <c r="D227" s="42">
        <f>TankDemolitionHGS!C$133</f>
        <v>49.791473194309916</v>
      </c>
      <c r="E227" s="42">
        <f>TankDemolitionHGS!D$133</f>
        <v>226.17787286631395</v>
      </c>
      <c r="F227" s="42">
        <f>TankDemolitionHGS!E$133</f>
        <v>19.3039088</v>
      </c>
      <c r="G227" s="42">
        <f>TankDemolitionHGS!F$133</f>
        <v>13.23729053121693</v>
      </c>
      <c r="H227" s="42">
        <f>TankDemolitionHGS!G$133</f>
        <v>13.408175954318745</v>
      </c>
      <c r="I227" s="42">
        <f>TankDemolitionHGS!H$133</f>
        <v>26.626749554318742</v>
      </c>
      <c r="J227" s="69">
        <v>1</v>
      </c>
      <c r="K227" s="83">
        <v>10</v>
      </c>
      <c r="L227" s="82"/>
      <c r="M227" s="7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1:28" ht="12.75">
      <c r="A228" s="56"/>
      <c r="B228" s="74" t="s">
        <v>112</v>
      </c>
      <c r="C228" s="42">
        <f>TankDemolitionHGS!B$142</f>
        <v>30.625044091710755</v>
      </c>
      <c r="D228" s="42">
        <f>TankDemolitionHGS!C$142</f>
        <v>4.474426807760141</v>
      </c>
      <c r="E228" s="42">
        <f>TankDemolitionHGS!D$142</f>
        <v>22.32768959435626</v>
      </c>
      <c r="F228" s="42">
        <f>TankDemolitionHGS!E$142</f>
        <v>0</v>
      </c>
      <c r="G228" s="42">
        <f>TankDemolitionHGS!F$142</f>
        <v>1.3527336860670194</v>
      </c>
      <c r="H228" s="42">
        <f>TankDemolitionHGS!G$142</f>
        <v>69.80746944161801</v>
      </c>
      <c r="I228" s="42">
        <f>TankDemolitionHGS!H$142</f>
        <v>71.16020312768504</v>
      </c>
      <c r="J228" s="69">
        <v>1</v>
      </c>
      <c r="K228" s="83">
        <v>10</v>
      </c>
      <c r="L228" s="82"/>
      <c r="M228" s="7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</row>
    <row r="229" spans="1:28" ht="12.75">
      <c r="A229" s="5" t="str">
        <f>BackfillHGS!A$1</f>
        <v>HGS Backfill</v>
      </c>
      <c r="B229" s="74" t="s">
        <v>111</v>
      </c>
      <c r="C229" s="42">
        <f>BackfillHGS!B$105</f>
        <v>151.92707132275132</v>
      </c>
      <c r="D229" s="42">
        <f>BackfillHGS!C$105</f>
        <v>31.011413587301586</v>
      </c>
      <c r="E229" s="42">
        <f>BackfillHGS!D$105</f>
        <v>287.8309192663139</v>
      </c>
      <c r="F229" s="42">
        <f>BackfillHGS!E$105</f>
        <v>25.889248000000002</v>
      </c>
      <c r="G229" s="42">
        <f>BackfillHGS!F$105</f>
        <v>13.988984874779542</v>
      </c>
      <c r="H229" s="42">
        <f>BackfillHGS!G$105</f>
        <v>78.25082509919768</v>
      </c>
      <c r="I229" s="42">
        <f>BackfillHGS!H$105</f>
        <v>92.15669709919769</v>
      </c>
      <c r="J229" s="69">
        <v>11</v>
      </c>
      <c r="K229" s="83">
        <v>20</v>
      </c>
      <c r="L229" s="82"/>
      <c r="M229" s="7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1:28" ht="12.75">
      <c r="A230" s="56"/>
      <c r="B230" s="74" t="s">
        <v>112</v>
      </c>
      <c r="C230" s="42">
        <f>BackfillHGS!B$114</f>
        <v>48.84303350970018</v>
      </c>
      <c r="D230" s="42">
        <f>BackfillHGS!C$114</f>
        <v>7.290564373897706</v>
      </c>
      <c r="E230" s="42">
        <f>BackfillHGS!D$114</f>
        <v>41.48456790123456</v>
      </c>
      <c r="F230" s="42">
        <f>BackfillHGS!E$114</f>
        <v>0</v>
      </c>
      <c r="G230" s="42">
        <f>BackfillHGS!F$114</f>
        <v>2.6014109347442678</v>
      </c>
      <c r="H230" s="42">
        <f>BackfillHGS!G$114</f>
        <v>133.21478813012914</v>
      </c>
      <c r="I230" s="42">
        <f>BackfillHGS!H$114</f>
        <v>135.8161990648734</v>
      </c>
      <c r="J230" s="69">
        <v>11</v>
      </c>
      <c r="K230" s="83">
        <v>20</v>
      </c>
      <c r="L230" s="82"/>
      <c r="M230" s="7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1:28" ht="12.75">
      <c r="A231" s="5" t="str">
        <f>GradingHGS!A$1</f>
        <v>HGS Grading</v>
      </c>
      <c r="B231" s="74" t="s">
        <v>111</v>
      </c>
      <c r="C231" s="42">
        <f>GradingHGS!B$105</f>
        <v>52.030312380952374</v>
      </c>
      <c r="D231" s="42">
        <f>GradingHGS!C$105</f>
        <v>9.877420070546737</v>
      </c>
      <c r="E231" s="42">
        <f>GradingHGS!D$105</f>
        <v>74.90027946384481</v>
      </c>
      <c r="F231" s="42">
        <f>GradingHGS!E$105</f>
        <v>6.58236</v>
      </c>
      <c r="G231" s="42">
        <f>GradingHGS!F$105</f>
        <v>4.253331880070546</v>
      </c>
      <c r="H231" s="42">
        <f>GradingHGS!G$105</f>
        <v>2.285108684761634</v>
      </c>
      <c r="I231" s="42">
        <f>GradingHGS!H$105</f>
        <v>6.537536684761634</v>
      </c>
      <c r="J231" s="69">
        <v>18</v>
      </c>
      <c r="K231" s="83">
        <v>20</v>
      </c>
      <c r="L231" s="82"/>
      <c r="M231" s="7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1:28" ht="12.75">
      <c r="A232" s="56"/>
      <c r="B232" s="74" t="s">
        <v>112</v>
      </c>
      <c r="C232" s="42">
        <f>GradingHGS!B$114</f>
        <v>1.4518518518518517</v>
      </c>
      <c r="D232" s="42">
        <f>GradingHGS!C$114</f>
        <v>0.1898148148148148</v>
      </c>
      <c r="E232" s="42">
        <f>GradingHGS!D$114</f>
        <v>0.20992063492063495</v>
      </c>
      <c r="F232" s="42">
        <f>GradingHGS!E$114</f>
        <v>0</v>
      </c>
      <c r="G232" s="42">
        <f>GradingHGS!F$114</f>
        <v>0</v>
      </c>
      <c r="H232" s="42">
        <f>GradingHGS!G$114</f>
        <v>0.14882767054190232</v>
      </c>
      <c r="I232" s="42">
        <f>GradingHGS!H$114</f>
        <v>0.14882767054190232</v>
      </c>
      <c r="J232" s="69">
        <v>18</v>
      </c>
      <c r="K232" s="83">
        <v>20</v>
      </c>
      <c r="L232" s="82"/>
      <c r="M232" s="7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1:28" ht="12.75">
      <c r="A233" s="5" t="str">
        <f>FoundationsHGS!A$1</f>
        <v>HGS Foundations </v>
      </c>
      <c r="B233" s="74" t="s">
        <v>111</v>
      </c>
      <c r="C233" s="42">
        <f>FoundationsHGSAltB!B$105</f>
        <v>275.18985820105814</v>
      </c>
      <c r="D233" s="42">
        <f>FoundationsHGSAltB!C$105</f>
        <v>23.535833347442683</v>
      </c>
      <c r="E233" s="42">
        <f>FoundationsHGSAltB!D$105</f>
        <v>132.7948006772487</v>
      </c>
      <c r="F233" s="42">
        <f>FoundationsHGSAltB!E$105</f>
        <v>10.816396000000001</v>
      </c>
      <c r="G233" s="42">
        <f>FoundationsHGSAltB!F$105</f>
        <v>8.07099328042328</v>
      </c>
      <c r="H233" s="42">
        <f>FoundationsHGSAltB!G$105</f>
        <v>33.60603800527956</v>
      </c>
      <c r="I233" s="42">
        <f>FoundationsHGSAltB!H$105</f>
        <v>41.63410800527956</v>
      </c>
      <c r="J233" s="69">
        <v>21</v>
      </c>
      <c r="K233" s="83">
        <v>28</v>
      </c>
      <c r="L233" s="82"/>
      <c r="M233" s="7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1:28" ht="12.75">
      <c r="A234" s="56"/>
      <c r="B234" s="74" t="s">
        <v>112</v>
      </c>
      <c r="C234" s="42">
        <f>FoundationsHGSAltB!B$114</f>
        <v>162.12874779541445</v>
      </c>
      <c r="D234" s="42">
        <f>FoundationsHGSAltB!C$114</f>
        <v>21.793871252204582</v>
      </c>
      <c r="E234" s="42">
        <f>FoundationsHGSAltB!D$114</f>
        <v>46.160714285714285</v>
      </c>
      <c r="F234" s="42">
        <f>FoundationsHGSAltB!E$114</f>
        <v>0</v>
      </c>
      <c r="G234" s="42">
        <f>FoundationsHGSAltB!F$114</f>
        <v>1.7169312169312168</v>
      </c>
      <c r="H234" s="42">
        <f>FoundationsHGSAltB!G$114</f>
        <v>90.65923584578381</v>
      </c>
      <c r="I234" s="42">
        <f>FoundationsHGSAltB!H$114</f>
        <v>92.37616706271503</v>
      </c>
      <c r="J234" s="69">
        <v>21</v>
      </c>
      <c r="K234" s="83">
        <v>28</v>
      </c>
      <c r="L234" s="82"/>
      <c r="M234" s="79"/>
      <c r="N234" s="29"/>
      <c r="O234" s="23"/>
      <c r="P234" s="67"/>
      <c r="Q234" s="67"/>
      <c r="R234" s="67"/>
      <c r="S234" s="67"/>
      <c r="T234" s="67"/>
      <c r="U234" s="67"/>
      <c r="V234" s="67"/>
      <c r="W234" s="84"/>
      <c r="X234" s="84"/>
      <c r="Y234" s="29"/>
      <c r="Z234" s="29"/>
      <c r="AA234" s="29"/>
      <c r="AB234" s="29"/>
    </row>
    <row r="235" spans="1:28" ht="12.75">
      <c r="A235" s="5" t="str">
        <f>PavingHGS!A$1</f>
        <v>HGS Paving</v>
      </c>
      <c r="B235" s="74" t="s">
        <v>111</v>
      </c>
      <c r="C235" s="42">
        <f>PavingHGS!B$105</f>
        <v>47.72576888888889</v>
      </c>
      <c r="D235" s="42">
        <f>PavingHGS!C$105</f>
        <v>9.324180329169621</v>
      </c>
      <c r="E235" s="42">
        <f>PavingHGS!D$105</f>
        <v>65.41588038095237</v>
      </c>
      <c r="F235" s="42">
        <f>PavingHGS!E$105</f>
        <v>5.477168</v>
      </c>
      <c r="G235" s="42">
        <f>PavingHGS!F$105</f>
        <v>3.7180418765432095</v>
      </c>
      <c r="H235" s="42">
        <f>PavingHGS!G$105</f>
        <v>4.331297938908914</v>
      </c>
      <c r="I235" s="42">
        <f>PavingHGS!H$105</f>
        <v>8.031129938908915</v>
      </c>
      <c r="J235" s="69">
        <v>21</v>
      </c>
      <c r="K235" s="83">
        <v>28</v>
      </c>
      <c r="L235" s="82"/>
      <c r="M235" s="7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1:28" ht="12.75">
      <c r="A236" s="56"/>
      <c r="B236" s="74" t="s">
        <v>112</v>
      </c>
      <c r="C236" s="42">
        <f>PavingHGS!B$114</f>
        <v>21.385185185185186</v>
      </c>
      <c r="D236" s="42">
        <f>PavingHGS!C$114</f>
        <v>3.175925925925926</v>
      </c>
      <c r="E236" s="42">
        <f>PavingHGS!D$114</f>
        <v>17.5494708994709</v>
      </c>
      <c r="F236" s="42">
        <f>PavingHGS!E$114</f>
        <v>0</v>
      </c>
      <c r="G236" s="42">
        <f>PavingHGS!F$114</f>
        <v>1.0925925925925926</v>
      </c>
      <c r="H236" s="42">
        <f>PavingHGS!G$114</f>
        <v>49.308282218911025</v>
      </c>
      <c r="I236" s="42">
        <f>PavingHGS!H$114</f>
        <v>50.40087481150362</v>
      </c>
      <c r="J236" s="69">
        <v>21</v>
      </c>
      <c r="K236" s="83">
        <v>28</v>
      </c>
      <c r="L236" s="82"/>
      <c r="M236" s="7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1:28" ht="12.75">
      <c r="A237" s="5" t="str">
        <f>'Equipment InstallationHGS'!A$1</f>
        <v>HGS Equipment Installation</v>
      </c>
      <c r="B237" s="74" t="s">
        <v>111</v>
      </c>
      <c r="C237" s="42">
        <f>'Equipment InstallationHGSAltB'!B$104</f>
        <v>171.1685588712522</v>
      </c>
      <c r="D237" s="42">
        <f>'Equipment InstallationHGSAltB'!C$104</f>
        <v>72.26714649029982</v>
      </c>
      <c r="E237" s="42">
        <f>'Equipment InstallationHGSAltB'!D$104</f>
        <v>312.20887650088184</v>
      </c>
      <c r="F237" s="42">
        <f>'Equipment InstallationHGSAltB'!E$104</f>
        <v>24.777976000000006</v>
      </c>
      <c r="G237" s="42">
        <f>'Equipment InstallationHGSAltB'!F$104</f>
        <v>18.01391105467372</v>
      </c>
      <c r="H237" s="42">
        <f>'Equipment InstallationHGSAltB'!G$104</f>
        <v>14.733631828003212</v>
      </c>
      <c r="I237" s="42">
        <f>'Equipment InstallationHGSAltB'!H$104</f>
        <v>32.73453582800321</v>
      </c>
      <c r="J237" s="69">
        <v>29</v>
      </c>
      <c r="K237" s="83">
        <v>150</v>
      </c>
      <c r="L237" s="82"/>
      <c r="M237" s="7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1:28" ht="12.75">
      <c r="A238" s="56"/>
      <c r="B238" s="74" t="s">
        <v>112</v>
      </c>
      <c r="C238" s="42">
        <f>'Equipment InstallationHGSAltB'!B$113</f>
        <v>198.9932980599647</v>
      </c>
      <c r="D238" s="42">
        <f>'Equipment InstallationHGSAltB'!C$113</f>
        <v>26.197310405643737</v>
      </c>
      <c r="E238" s="42">
        <f>'Equipment InstallationHGSAltB'!D$113</f>
        <v>35.656569664902996</v>
      </c>
      <c r="F238" s="42">
        <f>'Equipment InstallationHGSAltB'!E$113</f>
        <v>0</v>
      </c>
      <c r="G238" s="42">
        <f>'Equipment InstallationHGSAltB'!F$113</f>
        <v>0.5202821869488536</v>
      </c>
      <c r="H238" s="42">
        <f>'Equipment InstallationHGSAltB'!G$113</f>
        <v>42.834818592335495</v>
      </c>
      <c r="I238" s="42">
        <f>'Equipment InstallationHGSAltB'!H$113</f>
        <v>43.35510077928435</v>
      </c>
      <c r="J238" s="69">
        <v>29</v>
      </c>
      <c r="K238" s="83">
        <v>150</v>
      </c>
      <c r="L238" s="82"/>
      <c r="M238" s="7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1:28" ht="12.75">
      <c r="A239" s="5" t="str">
        <f>SlabDemolitionSGS!A$1</f>
        <v>SGS Slab Demolition</v>
      </c>
      <c r="B239" s="74" t="s">
        <v>111</v>
      </c>
      <c r="C239" s="42">
        <f>SlabDemolitionSGS!B$105</f>
        <v>40.55226793650794</v>
      </c>
      <c r="D239" s="42">
        <f>SlabDemolitionSGS!C$105</f>
        <v>7.0275153615520285</v>
      </c>
      <c r="E239" s="42">
        <f>SlabDemolitionSGS!D$105</f>
        <v>52.16100958730159</v>
      </c>
      <c r="F239" s="42">
        <f>SlabDemolitionSGS!E$105</f>
        <v>4.695888</v>
      </c>
      <c r="G239" s="42">
        <f>SlabDemolitionSGS!F$105</f>
        <v>2.609067287477954</v>
      </c>
      <c r="H239" s="42">
        <f>SlabDemolitionSGS!G$105</f>
        <v>4.844962803306262</v>
      </c>
      <c r="I239" s="42">
        <f>SlabDemolitionSGS!H$105</f>
        <v>7.454030090784216</v>
      </c>
      <c r="J239" s="69">
        <v>1</v>
      </c>
      <c r="K239" s="83">
        <v>10</v>
      </c>
      <c r="L239" s="82"/>
      <c r="M239" s="7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1:28" ht="12.75">
      <c r="A240" s="56"/>
      <c r="B240" s="74" t="s">
        <v>112</v>
      </c>
      <c r="C240" s="42">
        <f>SlabDemolitionSGS!B$114</f>
        <v>16.500881834215168</v>
      </c>
      <c r="D240" s="42">
        <f>SlabDemolitionSGS!C$114</f>
        <v>2.446869488536155</v>
      </c>
      <c r="E240" s="42">
        <f>SlabDemolitionSGS!D$114</f>
        <v>13.401014109347441</v>
      </c>
      <c r="F240" s="42">
        <f>SlabDemolitionSGS!E$114</f>
        <v>0</v>
      </c>
      <c r="G240" s="42">
        <f>SlabDemolitionSGS!F$114</f>
        <v>0.8324514991181656</v>
      </c>
      <c r="H240" s="42">
        <f>SlabDemolitionSGS!G$114</f>
        <v>42.71802880396647</v>
      </c>
      <c r="I240" s="42">
        <f>SlabDemolitionSGS!H$114</f>
        <v>43.55048030308463</v>
      </c>
      <c r="J240" s="69">
        <v>1</v>
      </c>
      <c r="K240" s="83">
        <v>10</v>
      </c>
      <c r="L240" s="82"/>
      <c r="M240" s="7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1:28" ht="12.75">
      <c r="A241" s="5" t="str">
        <f>GradingSGS!A$1</f>
        <v>SGS Grading</v>
      </c>
      <c r="B241" s="74" t="s">
        <v>111</v>
      </c>
      <c r="C241" s="42">
        <f>GradingSGS!B$105</f>
        <v>22.042837248677248</v>
      </c>
      <c r="D241" s="42">
        <f>GradingSGS!C$105</f>
        <v>5.613023206349206</v>
      </c>
      <c r="E241" s="42">
        <f>GradingSGS!D$105</f>
        <v>40.324385855379184</v>
      </c>
      <c r="F241" s="42">
        <f>GradingSGS!E$105</f>
        <v>3.698616</v>
      </c>
      <c r="G241" s="42">
        <f>GradingSGS!F$105</f>
        <v>2.090523880070547</v>
      </c>
      <c r="H241" s="42">
        <f>GradingSGS!G$105</f>
        <v>3.0662569819582957</v>
      </c>
      <c r="I241" s="42">
        <f>GradingSGS!H$105</f>
        <v>5.155876981958295</v>
      </c>
      <c r="J241" s="69">
        <v>18</v>
      </c>
      <c r="K241" s="83">
        <v>20</v>
      </c>
      <c r="L241" s="82"/>
      <c r="M241" s="7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1:28" ht="12.75">
      <c r="A242" s="56"/>
      <c r="B242" s="74" t="s">
        <v>112</v>
      </c>
      <c r="C242" s="42">
        <f>GradingSGS!B$114</f>
        <v>1.4518518518518517</v>
      </c>
      <c r="D242" s="42">
        <f>GradingSGS!C$114</f>
        <v>0.1898148148148148</v>
      </c>
      <c r="E242" s="42">
        <f>GradingSGS!D$114</f>
        <v>0.20992063492063495</v>
      </c>
      <c r="F242" s="42">
        <f>GradingSGS!E$114</f>
        <v>0</v>
      </c>
      <c r="G242" s="42">
        <f>GradingSGS!F$114</f>
        <v>0</v>
      </c>
      <c r="H242" s="42">
        <f>GradingSGS!G$114</f>
        <v>0.14882767054190232</v>
      </c>
      <c r="I242" s="42">
        <f>GradingSGS!H$114</f>
        <v>0.14882767054190232</v>
      </c>
      <c r="J242" s="69">
        <v>18</v>
      </c>
      <c r="K242" s="83">
        <v>20</v>
      </c>
      <c r="L242" s="82"/>
      <c r="M242" s="7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1:28" ht="12.75">
      <c r="A243" s="5" t="str">
        <f>FoundationsSGS!A$1</f>
        <v>SGS Foundations </v>
      </c>
      <c r="B243" s="74" t="s">
        <v>111</v>
      </c>
      <c r="C243" s="42">
        <f>FoundationsSGS!B$104</f>
        <v>31.603055026455028</v>
      </c>
      <c r="D243" s="42">
        <f>FoundationsSGS!C$104</f>
        <v>3.0680146666666666</v>
      </c>
      <c r="E243" s="42">
        <f>FoundationsSGS!D$104</f>
        <v>19.57209743915344</v>
      </c>
      <c r="F243" s="42">
        <f>FoundationsSGS!E$104</f>
        <v>1.595012</v>
      </c>
      <c r="G243" s="42">
        <f>FoundationsSGS!F$104</f>
        <v>1.199007643738977</v>
      </c>
      <c r="H243" s="42">
        <f>FoundationsSGS!G$104</f>
        <v>4.559915707109241</v>
      </c>
      <c r="I243" s="42">
        <f>FoundationsSGS!H$104</f>
        <v>5.74851770710924</v>
      </c>
      <c r="J243" s="69">
        <v>21</v>
      </c>
      <c r="K243" s="83">
        <v>28</v>
      </c>
      <c r="L243" s="82"/>
      <c r="M243" s="7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1:28" ht="12.75">
      <c r="A244" s="56"/>
      <c r="B244" s="74" t="s">
        <v>112</v>
      </c>
      <c r="C244" s="42">
        <f>FoundationsSGS!B$113</f>
        <v>13.331922398589064</v>
      </c>
      <c r="D244" s="42">
        <f>FoundationsSGS!C$113</f>
        <v>1.8877865961199294</v>
      </c>
      <c r="E244" s="42">
        <f>FoundationsSGS!D$113</f>
        <v>7.435229276895943</v>
      </c>
      <c r="F244" s="42">
        <f>FoundationsSGS!E$113</f>
        <v>0</v>
      </c>
      <c r="G244" s="42">
        <f>FoundationsSGS!F$113</f>
        <v>0.4162257495590828</v>
      </c>
      <c r="H244" s="42">
        <f>FoundationsSGS!G$113</f>
        <v>19.315634906758614</v>
      </c>
      <c r="I244" s="42">
        <f>FoundationsSGS!H$113</f>
        <v>19.731860656317696</v>
      </c>
      <c r="J244" s="69">
        <v>21</v>
      </c>
      <c r="K244" s="83">
        <v>28</v>
      </c>
      <c r="L244" s="82"/>
      <c r="M244" s="79"/>
      <c r="N244" s="29"/>
      <c r="O244" s="23"/>
      <c r="P244" s="67"/>
      <c r="Q244" s="67"/>
      <c r="R244" s="67"/>
      <c r="S244" s="67"/>
      <c r="T244" s="67"/>
      <c r="U244" s="67"/>
      <c r="V244" s="67"/>
      <c r="W244" s="84"/>
      <c r="X244" s="84"/>
      <c r="Y244" s="29"/>
      <c r="Z244" s="29"/>
      <c r="AA244" s="29"/>
      <c r="AB244" s="29"/>
    </row>
    <row r="245" spans="1:28" ht="12.75">
      <c r="A245" s="5" t="str">
        <f>PavingSGS!A$1</f>
        <v>SGS Paving</v>
      </c>
      <c r="B245" s="74" t="s">
        <v>111</v>
      </c>
      <c r="C245" s="42">
        <f>PavingSGS!B$105</f>
        <v>16.777976296296295</v>
      </c>
      <c r="D245" s="42">
        <f>PavingSGS!C$105</f>
        <v>2.411548383425153</v>
      </c>
      <c r="E245" s="42">
        <f>PavingSGS!D$105</f>
        <v>30.5326455026455</v>
      </c>
      <c r="F245" s="42">
        <f>PavingSGS!E$105</f>
        <v>2.5934239999999997</v>
      </c>
      <c r="G245" s="42">
        <f>PavingSGS!F$105</f>
        <v>1.5448282328042324</v>
      </c>
      <c r="H245" s="42">
        <f>PavingSGS!G$105</f>
        <v>2.289915970259919</v>
      </c>
      <c r="I245" s="42">
        <f>PavingSGS!H$105</f>
        <v>3.826939970259919</v>
      </c>
      <c r="J245" s="69">
        <v>21</v>
      </c>
      <c r="K245" s="83">
        <v>28</v>
      </c>
      <c r="L245" s="82"/>
      <c r="M245" s="7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1:28" ht="12.75">
      <c r="A246" s="56"/>
      <c r="B246" s="74" t="s">
        <v>112</v>
      </c>
      <c r="C246" s="42">
        <f>PavingSGS!B$114</f>
        <v>6.732275132275133</v>
      </c>
      <c r="D246" s="42">
        <f>PavingSGS!C$114</f>
        <v>0.9887566137566136</v>
      </c>
      <c r="E246" s="42">
        <f>PavingSGS!D$114</f>
        <v>5.104100529100529</v>
      </c>
      <c r="F246" s="42">
        <f>PavingSGS!E$114</f>
        <v>0</v>
      </c>
      <c r="G246" s="42">
        <f>PavingSGS!F$114</f>
        <v>0.31216931216931215</v>
      </c>
      <c r="H246" s="42">
        <f>PavingSGS!G$114</f>
        <v>14.151863921349678</v>
      </c>
      <c r="I246" s="42">
        <f>PavingSGS!H$114</f>
        <v>14.46403323351899</v>
      </c>
      <c r="J246" s="69">
        <v>21</v>
      </c>
      <c r="K246" s="83">
        <v>28</v>
      </c>
      <c r="L246" s="82"/>
      <c r="M246" s="7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1:28" ht="12.75">
      <c r="A247" s="5" t="str">
        <f>'Equipment InstallationSGS'!A$1</f>
        <v>SGS Equipment Installation</v>
      </c>
      <c r="B247" s="74" t="s">
        <v>111</v>
      </c>
      <c r="C247" s="42">
        <f>'Equipment InstallationSGS'!B$104</f>
        <v>64.06863915343915</v>
      </c>
      <c r="D247" s="42">
        <f>'Equipment InstallationSGS'!C$104</f>
        <v>48.18472171781305</v>
      </c>
      <c r="E247" s="42">
        <f>'Equipment InstallationSGS'!D$104</f>
        <v>113.95404391534392</v>
      </c>
      <c r="F247" s="42">
        <f>'Equipment InstallationSGS'!E$104</f>
        <v>9.846864</v>
      </c>
      <c r="G247" s="42">
        <f>'Equipment InstallationSGS'!F$104</f>
        <v>6.411303760141093</v>
      </c>
      <c r="H247" s="42">
        <f>'Equipment InstallationSGS'!G$104</f>
        <v>6.107549044771484</v>
      </c>
      <c r="I247" s="42">
        <f>'Equipment InstallationSGS'!H$104</f>
        <v>12.504545044771483</v>
      </c>
      <c r="J247" s="69">
        <v>29</v>
      </c>
      <c r="K247" s="83">
        <v>150</v>
      </c>
      <c r="L247" s="82"/>
      <c r="M247" s="7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1:28" ht="12.75">
      <c r="A248" s="56"/>
      <c r="B248" s="74" t="s">
        <v>112</v>
      </c>
      <c r="C248" s="42">
        <f>'Equipment InstallationSGS'!B$113</f>
        <v>58.075837742504405</v>
      </c>
      <c r="D248" s="42">
        <f>'Equipment InstallationSGS'!C$113</f>
        <v>7.791887125220459</v>
      </c>
      <c r="E248" s="42">
        <f>'Equipment InstallationSGS'!D$113</f>
        <v>15.970017636684302</v>
      </c>
      <c r="F248" s="42">
        <f>'Equipment InstallationSGS'!E$113</f>
        <v>0</v>
      </c>
      <c r="G248" s="42">
        <f>'Equipment InstallationSGS'!F$113</f>
        <v>0.572310405643739</v>
      </c>
      <c r="H248" s="42">
        <f>'Equipment InstallationSGS'!G$113</f>
        <v>30.733155477877673</v>
      </c>
      <c r="I248" s="42">
        <f>'Equipment InstallationSGS'!H$113</f>
        <v>31.305465883521414</v>
      </c>
      <c r="J248" s="69">
        <v>29</v>
      </c>
      <c r="K248" s="83">
        <v>150</v>
      </c>
      <c r="L248" s="82"/>
      <c r="M248" s="7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1:28" ht="12.75">
      <c r="A249" s="5" t="str">
        <f>DemolitionVGS!A$1</f>
        <v>VGS Demolition</v>
      </c>
      <c r="B249" s="74" t="s">
        <v>111</v>
      </c>
      <c r="C249" s="42">
        <f>DemolitionVGS!B$120</f>
        <v>84.01033402469135</v>
      </c>
      <c r="D249" s="42">
        <f>DemolitionVGS!C$120</f>
        <v>15.491181133944352</v>
      </c>
      <c r="E249" s="42">
        <f>DemolitionVGS!D$120</f>
        <v>136.10074585820104</v>
      </c>
      <c r="F249" s="42">
        <f>DemolitionVGS!E$120</f>
        <v>11.984622399999997</v>
      </c>
      <c r="G249" s="42">
        <f>DemolitionVGS!F$120</f>
        <v>7.550917265608465</v>
      </c>
      <c r="H249" s="42">
        <f>DemolitionVGS!G$120</f>
        <v>4.079444565062891</v>
      </c>
      <c r="I249" s="42">
        <f>DemolitionVGS!H$120</f>
        <v>11.61475336506289</v>
      </c>
      <c r="J249" s="69">
        <v>1</v>
      </c>
      <c r="K249" s="83">
        <v>10</v>
      </c>
      <c r="L249" s="82"/>
      <c r="M249" s="7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1:28" ht="12.75">
      <c r="A250" s="56"/>
      <c r="B250" s="74" t="s">
        <v>112</v>
      </c>
      <c r="C250" s="42">
        <f>DemolitionVGS!B$129</f>
        <v>17.027865961199293</v>
      </c>
      <c r="D250" s="42">
        <f>DemolitionVGS!C$129</f>
        <v>2.4071869488536155</v>
      </c>
      <c r="E250" s="42">
        <f>DemolitionVGS!D$129</f>
        <v>9.346516754850088</v>
      </c>
      <c r="F250" s="42">
        <f>DemolitionVGS!E$129</f>
        <v>0</v>
      </c>
      <c r="G250" s="42">
        <f>DemolitionVGS!F$129</f>
        <v>0.5202821869488536</v>
      </c>
      <c r="H250" s="42">
        <f>DemolitionVGS!G$129</f>
        <v>27.387095978735342</v>
      </c>
      <c r="I250" s="42">
        <f>DemolitionVGS!H$129</f>
        <v>27.907378165684197</v>
      </c>
      <c r="J250" s="69">
        <v>1</v>
      </c>
      <c r="K250" s="83">
        <v>10</v>
      </c>
      <c r="L250" s="82"/>
      <c r="M250" s="7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1:28" ht="12.75">
      <c r="A251" s="5" t="str">
        <f>GradingVGS!A$1</f>
        <v>VGS Grading</v>
      </c>
      <c r="B251" s="74" t="s">
        <v>111</v>
      </c>
      <c r="C251" s="42">
        <f>GradingVGS!B$105</f>
        <v>21.67511238095238</v>
      </c>
      <c r="D251" s="42">
        <f>GradingVGS!C$105</f>
        <v>5.551804070546737</v>
      </c>
      <c r="E251" s="42">
        <f>GradingVGS!D$105</f>
        <v>40.295351463844796</v>
      </c>
      <c r="F251" s="42">
        <f>GradingVGS!E$105</f>
        <v>3.698616</v>
      </c>
      <c r="G251" s="42">
        <f>GradingVGS!F$105</f>
        <v>2.090523880070547</v>
      </c>
      <c r="H251" s="42">
        <f>GradingVGS!G$105</f>
        <v>2.285108684761634</v>
      </c>
      <c r="I251" s="42">
        <f>GradingVGS!H$105</f>
        <v>4.374728684761634</v>
      </c>
      <c r="J251" s="69">
        <v>11</v>
      </c>
      <c r="K251" s="83">
        <v>15</v>
      </c>
      <c r="L251" s="82"/>
      <c r="M251" s="7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1:28" ht="12.75">
      <c r="A252" s="56"/>
      <c r="B252" s="74" t="s">
        <v>112</v>
      </c>
      <c r="C252" s="42">
        <f>GradingVGS!B$114</f>
        <v>1.4518518518518517</v>
      </c>
      <c r="D252" s="42">
        <f>GradingVGS!C$114</f>
        <v>0.1898148148148148</v>
      </c>
      <c r="E252" s="42">
        <f>GradingVGS!D$114</f>
        <v>0.20992063492063495</v>
      </c>
      <c r="F252" s="42">
        <f>GradingVGS!E$114</f>
        <v>0</v>
      </c>
      <c r="G252" s="42">
        <f>GradingVGS!F$114</f>
        <v>0</v>
      </c>
      <c r="H252" s="42">
        <f>GradingVGS!G$114</f>
        <v>0.14882767054190232</v>
      </c>
      <c r="I252" s="42">
        <f>GradingVGS!H$114</f>
        <v>0.14882767054190232</v>
      </c>
      <c r="J252" s="69">
        <v>11</v>
      </c>
      <c r="K252" s="83">
        <v>15</v>
      </c>
      <c r="L252" s="82"/>
      <c r="M252" s="7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1:28" ht="12.75">
      <c r="A253" s="5" t="str">
        <f>FoundationsVGS!A$1</f>
        <v>VGS Foundations </v>
      </c>
      <c r="B253" s="74" t="s">
        <v>111</v>
      </c>
      <c r="C253" s="42">
        <f>FoundationsVGS!B$105</f>
        <v>54.120073368606704</v>
      </c>
      <c r="D253" s="42">
        <f>FoundationsVGS!C$105</f>
        <v>4.807746398589066</v>
      </c>
      <c r="E253" s="42">
        <f>FoundationsVGS!D$105</f>
        <v>27.920418172839504</v>
      </c>
      <c r="F253" s="42">
        <f>FoundationsVGS!E$105</f>
        <v>2.2287760000000003</v>
      </c>
      <c r="G253" s="42">
        <f>FoundationsVGS!F$105</f>
        <v>1.6887856366843035</v>
      </c>
      <c r="H253" s="42">
        <f>FoundationsVGS!G$105</f>
        <v>7.890438895104255</v>
      </c>
      <c r="I253" s="42">
        <f>FoundationsVGS!H$105</f>
        <v>9.546706895104256</v>
      </c>
      <c r="J253" s="69">
        <v>16</v>
      </c>
      <c r="K253" s="83">
        <v>22</v>
      </c>
      <c r="L253" s="82"/>
      <c r="M253" s="7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1:28" ht="12.75">
      <c r="A254" s="56"/>
      <c r="B254" s="74" t="s">
        <v>112</v>
      </c>
      <c r="C254" s="42">
        <f>FoundationsVGS!B$114</f>
        <v>46.19929453262786</v>
      </c>
      <c r="D254" s="42">
        <f>FoundationsVGS!C$114</f>
        <v>6.492504409171076</v>
      </c>
      <c r="E254" s="42">
        <f>FoundationsVGS!D$114</f>
        <v>23.891093474426803</v>
      </c>
      <c r="F254" s="42">
        <f>FoundationsVGS!E$114</f>
        <v>0</v>
      </c>
      <c r="G254" s="42">
        <f>FoundationsVGS!F$114</f>
        <v>1.3007054673721339</v>
      </c>
      <c r="H254" s="42">
        <f>FoundationsVGS!G$114</f>
        <v>60.82644555406411</v>
      </c>
      <c r="I254" s="42">
        <f>FoundationsVGS!H$114</f>
        <v>62.12715102143624</v>
      </c>
      <c r="J254" s="69">
        <v>16</v>
      </c>
      <c r="K254" s="83">
        <v>22</v>
      </c>
      <c r="L254" s="82"/>
      <c r="M254" s="7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1:28" ht="12.75">
      <c r="A255" s="5" t="str">
        <f>PavingVGS!A$1</f>
        <v>VGS Paving</v>
      </c>
      <c r="B255" s="74" t="s">
        <v>111</v>
      </c>
      <c r="C255" s="42">
        <f>PavingVGS!B$105</f>
        <v>17.10399040564374</v>
      </c>
      <c r="D255" s="42">
        <f>PavingVGS!C$105</f>
        <v>2.90111261186567</v>
      </c>
      <c r="E255" s="42">
        <f>PavingVGS!D$105</f>
        <v>30.6152733686067</v>
      </c>
      <c r="F255" s="42">
        <f>PavingVGS!E$105</f>
        <v>2.5934239999999997</v>
      </c>
      <c r="G255" s="42">
        <f>PavingVGS!F$105</f>
        <v>1.5474296437389767</v>
      </c>
      <c r="H255" s="42">
        <f>PavingVGS!G$105</f>
        <v>2.800261462422168</v>
      </c>
      <c r="I255" s="42">
        <f>PavingVGS!H$105</f>
        <v>4.337285462422168</v>
      </c>
      <c r="J255" s="69">
        <v>21</v>
      </c>
      <c r="K255" s="83">
        <v>25</v>
      </c>
      <c r="L255" s="82"/>
      <c r="M255" s="7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1:28" ht="12.75">
      <c r="A256" s="56"/>
      <c r="B256" s="74" t="s">
        <v>112</v>
      </c>
      <c r="C256" s="42">
        <f>PavingVGS!B$114</f>
        <v>8.492416225749558</v>
      </c>
      <c r="D256" s="42">
        <f>PavingVGS!C$114</f>
        <v>1.2550705467372134</v>
      </c>
      <c r="E256" s="42">
        <f>PavingVGS!D$114</f>
        <v>6.735493827160493</v>
      </c>
      <c r="F256" s="42">
        <f>PavingVGS!E$114</f>
        <v>0</v>
      </c>
      <c r="G256" s="42">
        <f>PavingVGS!F$114</f>
        <v>0.4162257495590828</v>
      </c>
      <c r="H256" s="42">
        <f>PavingVGS!G$114</f>
        <v>18.81954267161894</v>
      </c>
      <c r="I256" s="42">
        <f>PavingVGS!H$114</f>
        <v>19.235768421178022</v>
      </c>
      <c r="J256" s="69">
        <v>21</v>
      </c>
      <c r="K256" s="83">
        <v>25</v>
      </c>
      <c r="L256" s="82"/>
      <c r="M256" s="7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1:28" ht="12.75">
      <c r="A257" s="5" t="str">
        <f>'Equipment InstallationVGS'!A$1</f>
        <v>VGS Equipment Installation</v>
      </c>
      <c r="B257" s="74" t="s">
        <v>111</v>
      </c>
      <c r="C257" s="42">
        <f>'Equipment InstallationVGS'!B$104</f>
        <v>74.48057636684304</v>
      </c>
      <c r="D257" s="42">
        <f>'Equipment InstallationVGS'!C$104</f>
        <v>21.79213332627866</v>
      </c>
      <c r="E257" s="42">
        <f>'Equipment InstallationVGS'!D$104</f>
        <v>124.16748057848322</v>
      </c>
      <c r="F257" s="42">
        <f>'Equipment InstallationVGS'!E$104</f>
        <v>10.449848000000001</v>
      </c>
      <c r="G257" s="42">
        <f>'Equipment InstallationVGS'!F$104</f>
        <v>7.028415054673722</v>
      </c>
      <c r="H257" s="42">
        <f>'Equipment InstallationVGS'!G$104</f>
        <v>6.621213909168833</v>
      </c>
      <c r="I257" s="42">
        <f>'Equipment InstallationVGS'!H$104</f>
        <v>13.636621909168834</v>
      </c>
      <c r="J257" s="69">
        <v>29</v>
      </c>
      <c r="K257" s="83">
        <v>150</v>
      </c>
      <c r="L257" s="82"/>
      <c r="M257" s="7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1:28" ht="12.75">
      <c r="A258" s="56"/>
      <c r="B258" s="74" t="s">
        <v>112</v>
      </c>
      <c r="C258" s="42">
        <f>'Equipment InstallationVGS'!B$113</f>
        <v>59.61552028218694</v>
      </c>
      <c r="D258" s="42">
        <f>'Equipment InstallationVGS'!C$113</f>
        <v>7.975088183421517</v>
      </c>
      <c r="E258" s="42">
        <f>'Equipment InstallationVGS'!D$113</f>
        <v>15.504188712522044</v>
      </c>
      <c r="F258" s="42">
        <f>'Equipment InstallationVGS'!E$113</f>
        <v>0</v>
      </c>
      <c r="G258" s="42">
        <f>'Equipment InstallationVGS'!F$113</f>
        <v>0.5202821869488536</v>
      </c>
      <c r="H258" s="42">
        <f>'Equipment InstallationVGS'!G$113</f>
        <v>28.54736222031288</v>
      </c>
      <c r="I258" s="42">
        <f>'Equipment InstallationVGS'!H$113</f>
        <v>29.067644407261735</v>
      </c>
      <c r="J258" s="69">
        <v>29</v>
      </c>
      <c r="K258" s="83">
        <v>150</v>
      </c>
      <c r="L258" s="82"/>
      <c r="M258" s="7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1:11" ht="12.75">
      <c r="A259" s="29"/>
      <c r="B259" s="23"/>
      <c r="C259" s="67"/>
      <c r="D259" s="67"/>
      <c r="E259" s="67"/>
      <c r="F259" s="67"/>
      <c r="G259" s="67"/>
      <c r="H259" s="67"/>
      <c r="I259" s="67"/>
      <c r="J259" s="57"/>
      <c r="K259" s="57"/>
    </row>
    <row r="260" spans="1:11" ht="12.75">
      <c r="A260" s="29"/>
      <c r="B260" s="23"/>
      <c r="C260" s="67"/>
      <c r="D260" s="67"/>
      <c r="E260" s="67"/>
      <c r="F260" s="67"/>
      <c r="G260" s="67"/>
      <c r="H260" s="67"/>
      <c r="I260" s="67"/>
      <c r="J260" s="57"/>
      <c r="K260" s="57"/>
    </row>
    <row r="261" spans="1:14" ht="12.75">
      <c r="A261" s="86" t="s">
        <v>318</v>
      </c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</row>
    <row r="262" spans="1:14" ht="12.75">
      <c r="A262" s="85" t="s">
        <v>324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</row>
    <row r="263" spans="1:14" ht="12.75">
      <c r="A263" s="37" t="s">
        <v>87</v>
      </c>
      <c r="B263" s="69">
        <v>1</v>
      </c>
      <c r="C263" s="69">
        <v>10</v>
      </c>
      <c r="D263" s="69">
        <v>11</v>
      </c>
      <c r="E263" s="69">
        <v>15</v>
      </c>
      <c r="F263" s="69">
        <v>16</v>
      </c>
      <c r="G263" s="69">
        <v>18</v>
      </c>
      <c r="H263" s="69">
        <v>20</v>
      </c>
      <c r="I263" s="69">
        <v>21</v>
      </c>
      <c r="J263" s="69">
        <v>22</v>
      </c>
      <c r="K263" s="69">
        <v>25</v>
      </c>
      <c r="L263" s="69">
        <v>28</v>
      </c>
      <c r="M263" s="69">
        <v>29</v>
      </c>
      <c r="N263" s="69">
        <v>150</v>
      </c>
    </row>
    <row r="264" spans="1:14" ht="12.75">
      <c r="A264" s="4" t="str">
        <f>A227</f>
        <v>HGS Tank Demolition</v>
      </c>
      <c r="B264" s="43">
        <f aca="true" t="shared" si="92" ref="B264:N264">IF(AND(B$263&gt;=$J227,B$263&lt;=$K227),$C227+$C228,0)</f>
        <v>162.46098931922396</v>
      </c>
      <c r="C264" s="43">
        <f t="shared" si="92"/>
        <v>162.46098931922396</v>
      </c>
      <c r="D264" s="43">
        <f t="shared" si="92"/>
        <v>0</v>
      </c>
      <c r="E264" s="43">
        <f t="shared" si="92"/>
        <v>0</v>
      </c>
      <c r="F264" s="43">
        <f t="shared" si="92"/>
        <v>0</v>
      </c>
      <c r="G264" s="43">
        <f t="shared" si="92"/>
        <v>0</v>
      </c>
      <c r="H264" s="43">
        <f t="shared" si="92"/>
        <v>0</v>
      </c>
      <c r="I264" s="43">
        <f t="shared" si="92"/>
        <v>0</v>
      </c>
      <c r="J264" s="43">
        <f t="shared" si="92"/>
        <v>0</v>
      </c>
      <c r="K264" s="43">
        <f t="shared" si="92"/>
        <v>0</v>
      </c>
      <c r="L264" s="43">
        <f t="shared" si="92"/>
        <v>0</v>
      </c>
      <c r="M264" s="43">
        <f t="shared" si="92"/>
        <v>0</v>
      </c>
      <c r="N264" s="43">
        <f t="shared" si="92"/>
        <v>0</v>
      </c>
    </row>
    <row r="265" spans="1:14" ht="12.75">
      <c r="A265" s="4" t="str">
        <f>A229</f>
        <v>HGS Backfill</v>
      </c>
      <c r="B265" s="43">
        <f aca="true" t="shared" si="93" ref="B265:N265">IF(AND(B$263&gt;=$J229,B$263&lt;=$K229),$C229+$C230,0)</f>
        <v>0</v>
      </c>
      <c r="C265" s="43">
        <f t="shared" si="93"/>
        <v>0</v>
      </c>
      <c r="D265" s="43">
        <f t="shared" si="93"/>
        <v>200.7701048324515</v>
      </c>
      <c r="E265" s="43">
        <f t="shared" si="93"/>
        <v>200.7701048324515</v>
      </c>
      <c r="F265" s="43">
        <f t="shared" si="93"/>
        <v>200.7701048324515</v>
      </c>
      <c r="G265" s="43">
        <f t="shared" si="93"/>
        <v>200.7701048324515</v>
      </c>
      <c r="H265" s="43">
        <f t="shared" si="93"/>
        <v>200.7701048324515</v>
      </c>
      <c r="I265" s="43">
        <f t="shared" si="93"/>
        <v>0</v>
      </c>
      <c r="J265" s="43">
        <f t="shared" si="93"/>
        <v>0</v>
      </c>
      <c r="K265" s="43">
        <f t="shared" si="93"/>
        <v>0</v>
      </c>
      <c r="L265" s="43">
        <f t="shared" si="93"/>
        <v>0</v>
      </c>
      <c r="M265" s="43">
        <f t="shared" si="93"/>
        <v>0</v>
      </c>
      <c r="N265" s="43">
        <f t="shared" si="93"/>
        <v>0</v>
      </c>
    </row>
    <row r="266" spans="1:14" ht="12.75">
      <c r="A266" s="4" t="str">
        <f>A231</f>
        <v>HGS Grading</v>
      </c>
      <c r="B266" s="43">
        <f aca="true" t="shared" si="94" ref="B266:N266">IF(AND(B$263&gt;=$J231,B$263&lt;=$K231),$C231+$C232,0)</f>
        <v>0</v>
      </c>
      <c r="C266" s="43">
        <f t="shared" si="94"/>
        <v>0</v>
      </c>
      <c r="D266" s="43">
        <f t="shared" si="94"/>
        <v>0</v>
      </c>
      <c r="E266" s="43">
        <f t="shared" si="94"/>
        <v>0</v>
      </c>
      <c r="F266" s="43">
        <f t="shared" si="94"/>
        <v>0</v>
      </c>
      <c r="G266" s="43">
        <f t="shared" si="94"/>
        <v>53.48216423280422</v>
      </c>
      <c r="H266" s="43">
        <f t="shared" si="94"/>
        <v>53.48216423280422</v>
      </c>
      <c r="I266" s="43">
        <f t="shared" si="94"/>
        <v>0</v>
      </c>
      <c r="J266" s="43">
        <f t="shared" si="94"/>
        <v>0</v>
      </c>
      <c r="K266" s="43">
        <f t="shared" si="94"/>
        <v>0</v>
      </c>
      <c r="L266" s="43">
        <f t="shared" si="94"/>
        <v>0</v>
      </c>
      <c r="M266" s="43">
        <f t="shared" si="94"/>
        <v>0</v>
      </c>
      <c r="N266" s="43">
        <f t="shared" si="94"/>
        <v>0</v>
      </c>
    </row>
    <row r="267" spans="1:14" ht="12.75">
      <c r="A267" s="4" t="str">
        <f>A233</f>
        <v>HGS Foundations </v>
      </c>
      <c r="B267" s="43">
        <f aca="true" t="shared" si="95" ref="B267:N267">IF(AND(B$263&gt;=$J233,B$263&lt;=$K233),$C233+$C234,0)</f>
        <v>0</v>
      </c>
      <c r="C267" s="43">
        <f t="shared" si="95"/>
        <v>0</v>
      </c>
      <c r="D267" s="43">
        <f t="shared" si="95"/>
        <v>0</v>
      </c>
      <c r="E267" s="43">
        <f t="shared" si="95"/>
        <v>0</v>
      </c>
      <c r="F267" s="43">
        <f t="shared" si="95"/>
        <v>0</v>
      </c>
      <c r="G267" s="43">
        <f t="shared" si="95"/>
        <v>0</v>
      </c>
      <c r="H267" s="43">
        <f t="shared" si="95"/>
        <v>0</v>
      </c>
      <c r="I267" s="43">
        <f t="shared" si="95"/>
        <v>437.31860599647257</v>
      </c>
      <c r="J267" s="43">
        <f t="shared" si="95"/>
        <v>437.31860599647257</v>
      </c>
      <c r="K267" s="43">
        <f t="shared" si="95"/>
        <v>437.31860599647257</v>
      </c>
      <c r="L267" s="43">
        <f t="shared" si="95"/>
        <v>437.31860599647257</v>
      </c>
      <c r="M267" s="43">
        <f t="shared" si="95"/>
        <v>0</v>
      </c>
      <c r="N267" s="43">
        <f t="shared" si="95"/>
        <v>0</v>
      </c>
    </row>
    <row r="268" spans="1:14" ht="12.75">
      <c r="A268" s="4" t="str">
        <f>A235</f>
        <v>HGS Paving</v>
      </c>
      <c r="B268" s="43">
        <f aca="true" t="shared" si="96" ref="B268:N268">IF(AND(B$263&gt;=$J235,B$263&lt;=$K235),$C235+$C236,0)</f>
        <v>0</v>
      </c>
      <c r="C268" s="43">
        <f t="shared" si="96"/>
        <v>0</v>
      </c>
      <c r="D268" s="43">
        <f t="shared" si="96"/>
        <v>0</v>
      </c>
      <c r="E268" s="43">
        <f t="shared" si="96"/>
        <v>0</v>
      </c>
      <c r="F268" s="43">
        <f t="shared" si="96"/>
        <v>0</v>
      </c>
      <c r="G268" s="43">
        <f t="shared" si="96"/>
        <v>0</v>
      </c>
      <c r="H268" s="43">
        <f t="shared" si="96"/>
        <v>0</v>
      </c>
      <c r="I268" s="43">
        <f t="shared" si="96"/>
        <v>69.11095407407407</v>
      </c>
      <c r="J268" s="43">
        <f t="shared" si="96"/>
        <v>69.11095407407407</v>
      </c>
      <c r="K268" s="43">
        <f t="shared" si="96"/>
        <v>69.11095407407407</v>
      </c>
      <c r="L268" s="43">
        <f t="shared" si="96"/>
        <v>69.11095407407407</v>
      </c>
      <c r="M268" s="43">
        <f t="shared" si="96"/>
        <v>0</v>
      </c>
      <c r="N268" s="43">
        <f t="shared" si="96"/>
        <v>0</v>
      </c>
    </row>
    <row r="269" spans="1:14" ht="12.75">
      <c r="A269" s="4" t="str">
        <f>A237</f>
        <v>HGS Equipment Installation</v>
      </c>
      <c r="B269" s="43">
        <f aca="true" t="shared" si="97" ref="B269:N269">IF(AND(B$263&gt;=$J237,B$263&lt;=$K237),$C237+$C238,0)</f>
        <v>0</v>
      </c>
      <c r="C269" s="43">
        <f t="shared" si="97"/>
        <v>0</v>
      </c>
      <c r="D269" s="43">
        <f t="shared" si="97"/>
        <v>0</v>
      </c>
      <c r="E269" s="43">
        <f t="shared" si="97"/>
        <v>0</v>
      </c>
      <c r="F269" s="43">
        <f t="shared" si="97"/>
        <v>0</v>
      </c>
      <c r="G269" s="43">
        <f t="shared" si="97"/>
        <v>0</v>
      </c>
      <c r="H269" s="43">
        <f t="shared" si="97"/>
        <v>0</v>
      </c>
      <c r="I269" s="43">
        <f t="shared" si="97"/>
        <v>0</v>
      </c>
      <c r="J269" s="43">
        <f t="shared" si="97"/>
        <v>0</v>
      </c>
      <c r="K269" s="43">
        <f t="shared" si="97"/>
        <v>0</v>
      </c>
      <c r="L269" s="43">
        <f t="shared" si="97"/>
        <v>0</v>
      </c>
      <c r="M269" s="43">
        <f t="shared" si="97"/>
        <v>370.1618569312169</v>
      </c>
      <c r="N269" s="43">
        <f t="shared" si="97"/>
        <v>370.1618569312169</v>
      </c>
    </row>
    <row r="270" spans="1:14" ht="12.75">
      <c r="A270" s="4" t="str">
        <f>A239</f>
        <v>SGS Slab Demolition</v>
      </c>
      <c r="B270" s="43">
        <f aca="true" t="shared" si="98" ref="B270:N270">IF(AND(B$263&gt;=$J239,B$263&lt;=$K239),$C239+$C240,0)</f>
        <v>57.05314977072311</v>
      </c>
      <c r="C270" s="43">
        <f t="shared" si="98"/>
        <v>57.05314977072311</v>
      </c>
      <c r="D270" s="43">
        <f t="shared" si="98"/>
        <v>0</v>
      </c>
      <c r="E270" s="43">
        <f t="shared" si="98"/>
        <v>0</v>
      </c>
      <c r="F270" s="43">
        <f t="shared" si="98"/>
        <v>0</v>
      </c>
      <c r="G270" s="43">
        <f t="shared" si="98"/>
        <v>0</v>
      </c>
      <c r="H270" s="43">
        <f t="shared" si="98"/>
        <v>0</v>
      </c>
      <c r="I270" s="43">
        <f t="shared" si="98"/>
        <v>0</v>
      </c>
      <c r="J270" s="43">
        <f t="shared" si="98"/>
        <v>0</v>
      </c>
      <c r="K270" s="43">
        <f t="shared" si="98"/>
        <v>0</v>
      </c>
      <c r="L270" s="43">
        <f t="shared" si="98"/>
        <v>0</v>
      </c>
      <c r="M270" s="43">
        <f t="shared" si="98"/>
        <v>0</v>
      </c>
      <c r="N270" s="43">
        <f t="shared" si="98"/>
        <v>0</v>
      </c>
    </row>
    <row r="271" spans="1:14" ht="12.75">
      <c r="A271" s="4" t="str">
        <f>A241</f>
        <v>SGS Grading</v>
      </c>
      <c r="B271" s="43">
        <f aca="true" t="shared" si="99" ref="B271:N271">IF(AND(B$263&gt;=$J241,B$263&lt;=$K241),$C241+$C242,0)</f>
        <v>0</v>
      </c>
      <c r="C271" s="43">
        <f t="shared" si="99"/>
        <v>0</v>
      </c>
      <c r="D271" s="43">
        <f t="shared" si="99"/>
        <v>0</v>
      </c>
      <c r="E271" s="43">
        <f t="shared" si="99"/>
        <v>0</v>
      </c>
      <c r="F271" s="43">
        <f t="shared" si="99"/>
        <v>0</v>
      </c>
      <c r="G271" s="43">
        <f t="shared" si="99"/>
        <v>23.4946891005291</v>
      </c>
      <c r="H271" s="43">
        <f t="shared" si="99"/>
        <v>23.4946891005291</v>
      </c>
      <c r="I271" s="43">
        <f t="shared" si="99"/>
        <v>0</v>
      </c>
      <c r="J271" s="43">
        <f t="shared" si="99"/>
        <v>0</v>
      </c>
      <c r="K271" s="43">
        <f t="shared" si="99"/>
        <v>0</v>
      </c>
      <c r="L271" s="43">
        <f t="shared" si="99"/>
        <v>0</v>
      </c>
      <c r="M271" s="43">
        <f t="shared" si="99"/>
        <v>0</v>
      </c>
      <c r="N271" s="43">
        <f t="shared" si="99"/>
        <v>0</v>
      </c>
    </row>
    <row r="272" spans="1:14" ht="12.75">
      <c r="A272" s="4" t="str">
        <f>A243</f>
        <v>SGS Foundations </v>
      </c>
      <c r="B272" s="43">
        <f aca="true" t="shared" si="100" ref="B272:N272">IF(AND(B$263&gt;=$J243,B$263&lt;=$K243),$C243+$C244,0)</f>
        <v>0</v>
      </c>
      <c r="C272" s="43">
        <f t="shared" si="100"/>
        <v>0</v>
      </c>
      <c r="D272" s="43">
        <f t="shared" si="100"/>
        <v>0</v>
      </c>
      <c r="E272" s="43">
        <f t="shared" si="100"/>
        <v>0</v>
      </c>
      <c r="F272" s="43">
        <f t="shared" si="100"/>
        <v>0</v>
      </c>
      <c r="G272" s="43">
        <f t="shared" si="100"/>
        <v>0</v>
      </c>
      <c r="H272" s="43">
        <f t="shared" si="100"/>
        <v>0</v>
      </c>
      <c r="I272" s="43">
        <f t="shared" si="100"/>
        <v>44.934977425044096</v>
      </c>
      <c r="J272" s="43">
        <f t="shared" si="100"/>
        <v>44.934977425044096</v>
      </c>
      <c r="K272" s="43">
        <f t="shared" si="100"/>
        <v>44.934977425044096</v>
      </c>
      <c r="L272" s="43">
        <f t="shared" si="100"/>
        <v>44.934977425044096</v>
      </c>
      <c r="M272" s="43">
        <f t="shared" si="100"/>
        <v>0</v>
      </c>
      <c r="N272" s="43">
        <f t="shared" si="100"/>
        <v>0</v>
      </c>
    </row>
    <row r="273" spans="1:14" ht="12.75">
      <c r="A273" s="4" t="str">
        <f>A245</f>
        <v>SGS Paving</v>
      </c>
      <c r="B273" s="43">
        <f aca="true" t="shared" si="101" ref="B273:N273">IF(AND(B$263&gt;=$J245,B$263&lt;=$K245),$C245+$C246,0)</f>
        <v>0</v>
      </c>
      <c r="C273" s="43">
        <f t="shared" si="101"/>
        <v>0</v>
      </c>
      <c r="D273" s="43">
        <f t="shared" si="101"/>
        <v>0</v>
      </c>
      <c r="E273" s="43">
        <f t="shared" si="101"/>
        <v>0</v>
      </c>
      <c r="F273" s="43">
        <f t="shared" si="101"/>
        <v>0</v>
      </c>
      <c r="G273" s="43">
        <f t="shared" si="101"/>
        <v>0</v>
      </c>
      <c r="H273" s="43">
        <f t="shared" si="101"/>
        <v>0</v>
      </c>
      <c r="I273" s="43">
        <f t="shared" si="101"/>
        <v>23.51025142857143</v>
      </c>
      <c r="J273" s="43">
        <f t="shared" si="101"/>
        <v>23.51025142857143</v>
      </c>
      <c r="K273" s="43">
        <f t="shared" si="101"/>
        <v>23.51025142857143</v>
      </c>
      <c r="L273" s="43">
        <f t="shared" si="101"/>
        <v>23.51025142857143</v>
      </c>
      <c r="M273" s="43">
        <f t="shared" si="101"/>
        <v>0</v>
      </c>
      <c r="N273" s="43">
        <f t="shared" si="101"/>
        <v>0</v>
      </c>
    </row>
    <row r="274" spans="1:14" ht="12.75">
      <c r="A274" s="4" t="str">
        <f>A247</f>
        <v>SGS Equipment Installation</v>
      </c>
      <c r="B274" s="43">
        <f aca="true" t="shared" si="102" ref="B274:N274">IF(AND(B$263&gt;=$J247,B$263&lt;=$K247),$C247+$C248,0)</f>
        <v>0</v>
      </c>
      <c r="C274" s="43">
        <f t="shared" si="102"/>
        <v>0</v>
      </c>
      <c r="D274" s="43">
        <f t="shared" si="102"/>
        <v>0</v>
      </c>
      <c r="E274" s="43">
        <f t="shared" si="102"/>
        <v>0</v>
      </c>
      <c r="F274" s="43">
        <f t="shared" si="102"/>
        <v>0</v>
      </c>
      <c r="G274" s="43">
        <f t="shared" si="102"/>
        <v>0</v>
      </c>
      <c r="H274" s="43">
        <f t="shared" si="102"/>
        <v>0</v>
      </c>
      <c r="I274" s="43">
        <f t="shared" si="102"/>
        <v>0</v>
      </c>
      <c r="J274" s="43">
        <f t="shared" si="102"/>
        <v>0</v>
      </c>
      <c r="K274" s="43">
        <f t="shared" si="102"/>
        <v>0</v>
      </c>
      <c r="L274" s="43">
        <f t="shared" si="102"/>
        <v>0</v>
      </c>
      <c r="M274" s="43">
        <f t="shared" si="102"/>
        <v>122.14447689594355</v>
      </c>
      <c r="N274" s="43">
        <f t="shared" si="102"/>
        <v>122.14447689594355</v>
      </c>
    </row>
    <row r="275" spans="1:14" ht="12.75">
      <c r="A275" s="4" t="str">
        <f>A249</f>
        <v>VGS Demolition</v>
      </c>
      <c r="B275" s="43">
        <f aca="true" t="shared" si="103" ref="B275:N275">IF(AND(B$263&gt;=$J249,B$263&lt;=$K249),$C249+$C250,0)</f>
        <v>101.03819998589064</v>
      </c>
      <c r="C275" s="43">
        <f t="shared" si="103"/>
        <v>101.03819998589064</v>
      </c>
      <c r="D275" s="43">
        <f t="shared" si="103"/>
        <v>0</v>
      </c>
      <c r="E275" s="43">
        <f t="shared" si="103"/>
        <v>0</v>
      </c>
      <c r="F275" s="43">
        <f t="shared" si="103"/>
        <v>0</v>
      </c>
      <c r="G275" s="43">
        <f t="shared" si="103"/>
        <v>0</v>
      </c>
      <c r="H275" s="43">
        <f t="shared" si="103"/>
        <v>0</v>
      </c>
      <c r="I275" s="43">
        <f t="shared" si="103"/>
        <v>0</v>
      </c>
      <c r="J275" s="43">
        <f t="shared" si="103"/>
        <v>0</v>
      </c>
      <c r="K275" s="43">
        <f t="shared" si="103"/>
        <v>0</v>
      </c>
      <c r="L275" s="43">
        <f t="shared" si="103"/>
        <v>0</v>
      </c>
      <c r="M275" s="43">
        <f t="shared" si="103"/>
        <v>0</v>
      </c>
      <c r="N275" s="43">
        <f t="shared" si="103"/>
        <v>0</v>
      </c>
    </row>
    <row r="276" spans="1:14" ht="12.75">
      <c r="A276" s="4" t="str">
        <f>A251</f>
        <v>VGS Grading</v>
      </c>
      <c r="B276" s="43">
        <f aca="true" t="shared" si="104" ref="B276:N276">IF(AND(B$263&gt;=$J251,B$263&lt;=$K251),$C251+$C252,0)</f>
        <v>0</v>
      </c>
      <c r="C276" s="43">
        <f t="shared" si="104"/>
        <v>0</v>
      </c>
      <c r="D276" s="43">
        <f t="shared" si="104"/>
        <v>23.126964232804234</v>
      </c>
      <c r="E276" s="43">
        <f t="shared" si="104"/>
        <v>23.126964232804234</v>
      </c>
      <c r="F276" s="43">
        <f t="shared" si="104"/>
        <v>0</v>
      </c>
      <c r="G276" s="43">
        <f t="shared" si="104"/>
        <v>0</v>
      </c>
      <c r="H276" s="43">
        <f t="shared" si="104"/>
        <v>0</v>
      </c>
      <c r="I276" s="43">
        <f t="shared" si="104"/>
        <v>0</v>
      </c>
      <c r="J276" s="43">
        <f t="shared" si="104"/>
        <v>0</v>
      </c>
      <c r="K276" s="43">
        <f t="shared" si="104"/>
        <v>0</v>
      </c>
      <c r="L276" s="43">
        <f t="shared" si="104"/>
        <v>0</v>
      </c>
      <c r="M276" s="43">
        <f t="shared" si="104"/>
        <v>0</v>
      </c>
      <c r="N276" s="43">
        <f t="shared" si="104"/>
        <v>0</v>
      </c>
    </row>
    <row r="277" spans="1:14" ht="12.75">
      <c r="A277" s="4" t="str">
        <f>A253</f>
        <v>VGS Foundations </v>
      </c>
      <c r="B277" s="43">
        <f aca="true" t="shared" si="105" ref="B277:N277">IF(AND(B$263&gt;=$J253,B$263&lt;=$K253),$C253+$C254,0)</f>
        <v>0</v>
      </c>
      <c r="C277" s="43">
        <f t="shared" si="105"/>
        <v>0</v>
      </c>
      <c r="D277" s="43">
        <f t="shared" si="105"/>
        <v>0</v>
      </c>
      <c r="E277" s="43">
        <f t="shared" si="105"/>
        <v>0</v>
      </c>
      <c r="F277" s="43">
        <f t="shared" si="105"/>
        <v>100.31936790123456</v>
      </c>
      <c r="G277" s="43">
        <f t="shared" si="105"/>
        <v>100.31936790123456</v>
      </c>
      <c r="H277" s="43">
        <f t="shared" si="105"/>
        <v>100.31936790123456</v>
      </c>
      <c r="I277" s="43">
        <f t="shared" si="105"/>
        <v>100.31936790123456</v>
      </c>
      <c r="J277" s="43">
        <f t="shared" si="105"/>
        <v>100.31936790123456</v>
      </c>
      <c r="K277" s="43">
        <f t="shared" si="105"/>
        <v>0</v>
      </c>
      <c r="L277" s="43">
        <f t="shared" si="105"/>
        <v>0</v>
      </c>
      <c r="M277" s="43">
        <f t="shared" si="105"/>
        <v>0</v>
      </c>
      <c r="N277" s="43">
        <f t="shared" si="105"/>
        <v>0</v>
      </c>
    </row>
    <row r="278" spans="1:14" ht="12.75">
      <c r="A278" s="4" t="str">
        <f>A255</f>
        <v>VGS Paving</v>
      </c>
      <c r="B278" s="43">
        <f aca="true" t="shared" si="106" ref="B278:N278">IF(AND(B$263&gt;=$J255,B$263&lt;=$K255),$C255+$C256,0)</f>
        <v>0</v>
      </c>
      <c r="C278" s="43">
        <f t="shared" si="106"/>
        <v>0</v>
      </c>
      <c r="D278" s="43">
        <f t="shared" si="106"/>
        <v>0</v>
      </c>
      <c r="E278" s="43">
        <f t="shared" si="106"/>
        <v>0</v>
      </c>
      <c r="F278" s="43">
        <f t="shared" si="106"/>
        <v>0</v>
      </c>
      <c r="G278" s="43">
        <f t="shared" si="106"/>
        <v>0</v>
      </c>
      <c r="H278" s="43">
        <f t="shared" si="106"/>
        <v>0</v>
      </c>
      <c r="I278" s="43">
        <f t="shared" si="106"/>
        <v>25.596406631393297</v>
      </c>
      <c r="J278" s="43">
        <f t="shared" si="106"/>
        <v>25.596406631393297</v>
      </c>
      <c r="K278" s="43">
        <f t="shared" si="106"/>
        <v>25.596406631393297</v>
      </c>
      <c r="L278" s="43">
        <f t="shared" si="106"/>
        <v>0</v>
      </c>
      <c r="M278" s="43">
        <f t="shared" si="106"/>
        <v>0</v>
      </c>
      <c r="N278" s="43">
        <f t="shared" si="106"/>
        <v>0</v>
      </c>
    </row>
    <row r="279" spans="1:14" ht="12.75">
      <c r="A279" s="4" t="str">
        <f>A257</f>
        <v>VGS Equipment Installation</v>
      </c>
      <c r="B279" s="43">
        <f aca="true" t="shared" si="107" ref="B279:N279">IF(AND(B$263&gt;=$J257,B$263&lt;=$K257),$C257+$C258,0)</f>
        <v>0</v>
      </c>
      <c r="C279" s="43">
        <f t="shared" si="107"/>
        <v>0</v>
      </c>
      <c r="D279" s="43">
        <f t="shared" si="107"/>
        <v>0</v>
      </c>
      <c r="E279" s="43">
        <f t="shared" si="107"/>
        <v>0</v>
      </c>
      <c r="F279" s="43">
        <f t="shared" si="107"/>
        <v>0</v>
      </c>
      <c r="G279" s="43">
        <f t="shared" si="107"/>
        <v>0</v>
      </c>
      <c r="H279" s="43">
        <f t="shared" si="107"/>
        <v>0</v>
      </c>
      <c r="I279" s="43">
        <f t="shared" si="107"/>
        <v>0</v>
      </c>
      <c r="J279" s="43">
        <f t="shared" si="107"/>
        <v>0</v>
      </c>
      <c r="K279" s="43">
        <f t="shared" si="107"/>
        <v>0</v>
      </c>
      <c r="L279" s="43">
        <f t="shared" si="107"/>
        <v>0</v>
      </c>
      <c r="M279" s="43">
        <f t="shared" si="107"/>
        <v>134.09609664903</v>
      </c>
      <c r="N279" s="43">
        <f t="shared" si="107"/>
        <v>134.09609664903</v>
      </c>
    </row>
    <row r="280" spans="1:14" ht="12.75">
      <c r="A280" s="15" t="s">
        <v>24</v>
      </c>
      <c r="B280" s="44">
        <f aca="true" t="shared" si="108" ref="B280:N280">SUM(B264:B279)</f>
        <v>320.5523390758377</v>
      </c>
      <c r="C280" s="44">
        <f t="shared" si="108"/>
        <v>320.5523390758377</v>
      </c>
      <c r="D280" s="44">
        <f t="shared" si="108"/>
        <v>223.89706906525572</v>
      </c>
      <c r="E280" s="44">
        <f t="shared" si="108"/>
        <v>223.89706906525572</v>
      </c>
      <c r="F280" s="44">
        <f t="shared" si="108"/>
        <v>301.0894727336861</v>
      </c>
      <c r="G280" s="44">
        <f t="shared" si="108"/>
        <v>378.06632606701936</v>
      </c>
      <c r="H280" s="44">
        <f t="shared" si="108"/>
        <v>378.06632606701936</v>
      </c>
      <c r="I280" s="44">
        <f t="shared" si="108"/>
        <v>700.79056345679</v>
      </c>
      <c r="J280" s="44">
        <f t="shared" si="108"/>
        <v>700.79056345679</v>
      </c>
      <c r="K280" s="44">
        <f t="shared" si="108"/>
        <v>600.4711955555555</v>
      </c>
      <c r="L280" s="44">
        <f t="shared" si="108"/>
        <v>574.8747889241622</v>
      </c>
      <c r="M280" s="44">
        <f t="shared" si="108"/>
        <v>626.4024304761905</v>
      </c>
      <c r="N280" s="44">
        <f t="shared" si="108"/>
        <v>626.4024304761905</v>
      </c>
    </row>
    <row r="281" spans="1:14" ht="12.75">
      <c r="A281" s="39" t="s">
        <v>132</v>
      </c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47"/>
      <c r="M281" s="47"/>
      <c r="N281" s="47"/>
    </row>
    <row r="282" spans="1:14" ht="12.75">
      <c r="A282" s="62" t="s">
        <v>276</v>
      </c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7"/>
      <c r="M282" s="47"/>
      <c r="N282" s="47"/>
    </row>
    <row r="283" spans="1:11" ht="12.75">
      <c r="A283" s="29"/>
      <c r="B283" s="48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1:11" ht="12.75">
      <c r="A284" s="29"/>
      <c r="B284" s="48"/>
      <c r="C284" s="49"/>
      <c r="D284" s="49"/>
      <c r="E284" s="49"/>
      <c r="F284" s="49"/>
      <c r="G284" s="49"/>
      <c r="H284" s="49"/>
      <c r="I284" s="49"/>
      <c r="J284" s="49"/>
      <c r="K284" s="49"/>
    </row>
    <row r="285" spans="1:14" ht="12.75">
      <c r="A285" s="86" t="s">
        <v>319</v>
      </c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</row>
    <row r="286" spans="1:14" ht="12.75">
      <c r="A286" s="85" t="s">
        <v>325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</row>
    <row r="287" spans="1:14" ht="12.75">
      <c r="A287" s="37" t="s">
        <v>87</v>
      </c>
      <c r="B287" s="69">
        <v>1</v>
      </c>
      <c r="C287" s="69">
        <v>10</v>
      </c>
      <c r="D287" s="69">
        <v>11</v>
      </c>
      <c r="E287" s="69">
        <v>15</v>
      </c>
      <c r="F287" s="69">
        <v>16</v>
      </c>
      <c r="G287" s="69">
        <v>18</v>
      </c>
      <c r="H287" s="69">
        <v>20</v>
      </c>
      <c r="I287" s="69">
        <v>21</v>
      </c>
      <c r="J287" s="69">
        <v>22</v>
      </c>
      <c r="K287" s="69">
        <v>25</v>
      </c>
      <c r="L287" s="69">
        <v>28</v>
      </c>
      <c r="M287" s="69">
        <v>29</v>
      </c>
      <c r="N287" s="69">
        <v>150</v>
      </c>
    </row>
    <row r="288" spans="1:14" ht="12.75">
      <c r="A288" s="4" t="str">
        <f>A227</f>
        <v>HGS Tank Demolition</v>
      </c>
      <c r="B288" s="43">
        <f aca="true" t="shared" si="109" ref="B288:N288">IF(AND(B$287&gt;=$J227,B$287&lt;=$K227),$D227+$D228,0)</f>
        <v>54.265900002070055</v>
      </c>
      <c r="C288" s="43">
        <f t="shared" si="109"/>
        <v>54.265900002070055</v>
      </c>
      <c r="D288" s="43">
        <f t="shared" si="109"/>
        <v>0</v>
      </c>
      <c r="E288" s="43">
        <f t="shared" si="109"/>
        <v>0</v>
      </c>
      <c r="F288" s="43">
        <f t="shared" si="109"/>
        <v>0</v>
      </c>
      <c r="G288" s="43">
        <f t="shared" si="109"/>
        <v>0</v>
      </c>
      <c r="H288" s="43">
        <f t="shared" si="109"/>
        <v>0</v>
      </c>
      <c r="I288" s="43">
        <f t="shared" si="109"/>
        <v>0</v>
      </c>
      <c r="J288" s="43">
        <f t="shared" si="109"/>
        <v>0</v>
      </c>
      <c r="K288" s="43">
        <f t="shared" si="109"/>
        <v>0</v>
      </c>
      <c r="L288" s="43">
        <f t="shared" si="109"/>
        <v>0</v>
      </c>
      <c r="M288" s="43">
        <f t="shared" si="109"/>
        <v>0</v>
      </c>
      <c r="N288" s="43">
        <f t="shared" si="109"/>
        <v>0</v>
      </c>
    </row>
    <row r="289" spans="1:14" ht="12.75">
      <c r="A289" s="4" t="str">
        <f>A229</f>
        <v>HGS Backfill</v>
      </c>
      <c r="B289" s="43">
        <f aca="true" t="shared" si="110" ref="B289:N289">IF(AND(B$287&gt;=$J229,B$287&lt;=$K229),$D229+$D230,0)</f>
        <v>0</v>
      </c>
      <c r="C289" s="43">
        <f t="shared" si="110"/>
        <v>0</v>
      </c>
      <c r="D289" s="43">
        <f t="shared" si="110"/>
        <v>38.30197796119929</v>
      </c>
      <c r="E289" s="43">
        <f t="shared" si="110"/>
        <v>38.30197796119929</v>
      </c>
      <c r="F289" s="43">
        <f t="shared" si="110"/>
        <v>38.30197796119929</v>
      </c>
      <c r="G289" s="43">
        <f t="shared" si="110"/>
        <v>38.30197796119929</v>
      </c>
      <c r="H289" s="43">
        <f t="shared" si="110"/>
        <v>38.30197796119929</v>
      </c>
      <c r="I289" s="43">
        <f t="shared" si="110"/>
        <v>0</v>
      </c>
      <c r="J289" s="43">
        <f t="shared" si="110"/>
        <v>0</v>
      </c>
      <c r="K289" s="43">
        <f t="shared" si="110"/>
        <v>0</v>
      </c>
      <c r="L289" s="43">
        <f t="shared" si="110"/>
        <v>0</v>
      </c>
      <c r="M289" s="43">
        <f t="shared" si="110"/>
        <v>0</v>
      </c>
      <c r="N289" s="43">
        <f t="shared" si="110"/>
        <v>0</v>
      </c>
    </row>
    <row r="290" spans="1:14" ht="12.75">
      <c r="A290" s="4" t="str">
        <f>A231</f>
        <v>HGS Grading</v>
      </c>
      <c r="B290" s="43">
        <f aca="true" t="shared" si="111" ref="B290:N290">IF(AND(B$287&gt;=$J231,B$287&lt;=$K231),$D231+$D232,0)</f>
        <v>0</v>
      </c>
      <c r="C290" s="43">
        <f t="shared" si="111"/>
        <v>0</v>
      </c>
      <c r="D290" s="43">
        <f t="shared" si="111"/>
        <v>0</v>
      </c>
      <c r="E290" s="43">
        <f t="shared" si="111"/>
        <v>0</v>
      </c>
      <c r="F290" s="43">
        <f t="shared" si="111"/>
        <v>0</v>
      </c>
      <c r="G290" s="43">
        <f t="shared" si="111"/>
        <v>10.067234885361552</v>
      </c>
      <c r="H290" s="43">
        <f t="shared" si="111"/>
        <v>10.067234885361552</v>
      </c>
      <c r="I290" s="43">
        <f t="shared" si="111"/>
        <v>0</v>
      </c>
      <c r="J290" s="43">
        <f t="shared" si="111"/>
        <v>0</v>
      </c>
      <c r="K290" s="43">
        <f t="shared" si="111"/>
        <v>0</v>
      </c>
      <c r="L290" s="43">
        <f t="shared" si="111"/>
        <v>0</v>
      </c>
      <c r="M290" s="43">
        <f t="shared" si="111"/>
        <v>0</v>
      </c>
      <c r="N290" s="43">
        <f t="shared" si="111"/>
        <v>0</v>
      </c>
    </row>
    <row r="291" spans="1:14" ht="12.75">
      <c r="A291" s="4" t="str">
        <f>A233</f>
        <v>HGS Foundations </v>
      </c>
      <c r="B291" s="43">
        <f aca="true" t="shared" si="112" ref="B291:N291">IF(AND(B$287&gt;=$J233,B$287&lt;=$K233),$D233+$D234,0)</f>
        <v>0</v>
      </c>
      <c r="C291" s="43">
        <f t="shared" si="112"/>
        <v>0</v>
      </c>
      <c r="D291" s="43">
        <f t="shared" si="112"/>
        <v>0</v>
      </c>
      <c r="E291" s="43">
        <f t="shared" si="112"/>
        <v>0</v>
      </c>
      <c r="F291" s="43">
        <f t="shared" si="112"/>
        <v>0</v>
      </c>
      <c r="G291" s="43">
        <f t="shared" si="112"/>
        <v>0</v>
      </c>
      <c r="H291" s="43">
        <f t="shared" si="112"/>
        <v>0</v>
      </c>
      <c r="I291" s="43">
        <f t="shared" si="112"/>
        <v>45.329704599647265</v>
      </c>
      <c r="J291" s="43">
        <f t="shared" si="112"/>
        <v>45.329704599647265</v>
      </c>
      <c r="K291" s="43">
        <f t="shared" si="112"/>
        <v>45.329704599647265</v>
      </c>
      <c r="L291" s="43">
        <f t="shared" si="112"/>
        <v>45.329704599647265</v>
      </c>
      <c r="M291" s="43">
        <f t="shared" si="112"/>
        <v>0</v>
      </c>
      <c r="N291" s="43">
        <f t="shared" si="112"/>
        <v>0</v>
      </c>
    </row>
    <row r="292" spans="1:14" ht="12.75">
      <c r="A292" s="4" t="str">
        <f>A235</f>
        <v>HGS Paving</v>
      </c>
      <c r="B292" s="43">
        <f aca="true" t="shared" si="113" ref="B292:N292">IF(AND(B$287&gt;=$J235,B$287&lt;=$K235),$D235+$D236,0)</f>
        <v>0</v>
      </c>
      <c r="C292" s="43">
        <f t="shared" si="113"/>
        <v>0</v>
      </c>
      <c r="D292" s="43">
        <f t="shared" si="113"/>
        <v>0</v>
      </c>
      <c r="E292" s="43">
        <f t="shared" si="113"/>
        <v>0</v>
      </c>
      <c r="F292" s="43">
        <f t="shared" si="113"/>
        <v>0</v>
      </c>
      <c r="G292" s="43">
        <f t="shared" si="113"/>
        <v>0</v>
      </c>
      <c r="H292" s="43">
        <f t="shared" si="113"/>
        <v>0</v>
      </c>
      <c r="I292" s="43">
        <f t="shared" si="113"/>
        <v>12.500106255095547</v>
      </c>
      <c r="J292" s="43">
        <f t="shared" si="113"/>
        <v>12.500106255095547</v>
      </c>
      <c r="K292" s="43">
        <f t="shared" si="113"/>
        <v>12.500106255095547</v>
      </c>
      <c r="L292" s="43">
        <f t="shared" si="113"/>
        <v>12.500106255095547</v>
      </c>
      <c r="M292" s="43">
        <f t="shared" si="113"/>
        <v>0</v>
      </c>
      <c r="N292" s="43">
        <f t="shared" si="113"/>
        <v>0</v>
      </c>
    </row>
    <row r="293" spans="1:14" ht="12.75">
      <c r="A293" s="4" t="str">
        <f>A237</f>
        <v>HGS Equipment Installation</v>
      </c>
      <c r="B293" s="43">
        <f aca="true" t="shared" si="114" ref="B293:N293">IF(AND(B$287&gt;=$J237,B$287&lt;=$K237),$D237+$D238,0)</f>
        <v>0</v>
      </c>
      <c r="C293" s="43">
        <f t="shared" si="114"/>
        <v>0</v>
      </c>
      <c r="D293" s="43">
        <f t="shared" si="114"/>
        <v>0</v>
      </c>
      <c r="E293" s="43">
        <f t="shared" si="114"/>
        <v>0</v>
      </c>
      <c r="F293" s="43">
        <f t="shared" si="114"/>
        <v>0</v>
      </c>
      <c r="G293" s="43">
        <f t="shared" si="114"/>
        <v>0</v>
      </c>
      <c r="H293" s="43">
        <f t="shared" si="114"/>
        <v>0</v>
      </c>
      <c r="I293" s="43">
        <f t="shared" si="114"/>
        <v>0</v>
      </c>
      <c r="J293" s="43">
        <f t="shared" si="114"/>
        <v>0</v>
      </c>
      <c r="K293" s="43">
        <f t="shared" si="114"/>
        <v>0</v>
      </c>
      <c r="L293" s="43">
        <f t="shared" si="114"/>
        <v>0</v>
      </c>
      <c r="M293" s="43">
        <f t="shared" si="114"/>
        <v>98.46445689594356</v>
      </c>
      <c r="N293" s="43">
        <f t="shared" si="114"/>
        <v>98.46445689594356</v>
      </c>
    </row>
    <row r="294" spans="1:14" ht="12.75">
      <c r="A294" s="4" t="str">
        <f>A239</f>
        <v>SGS Slab Demolition</v>
      </c>
      <c r="B294" s="43">
        <f aca="true" t="shared" si="115" ref="B294:N294">IF(AND(B$287&gt;=$J239,B$287&lt;=$K239),$D239+$D240,0)</f>
        <v>9.474384850088184</v>
      </c>
      <c r="C294" s="43">
        <f t="shared" si="115"/>
        <v>9.474384850088184</v>
      </c>
      <c r="D294" s="43">
        <f t="shared" si="115"/>
        <v>0</v>
      </c>
      <c r="E294" s="43">
        <f t="shared" si="115"/>
        <v>0</v>
      </c>
      <c r="F294" s="43">
        <f t="shared" si="115"/>
        <v>0</v>
      </c>
      <c r="G294" s="43">
        <f t="shared" si="115"/>
        <v>0</v>
      </c>
      <c r="H294" s="43">
        <f t="shared" si="115"/>
        <v>0</v>
      </c>
      <c r="I294" s="43">
        <f t="shared" si="115"/>
        <v>0</v>
      </c>
      <c r="J294" s="43">
        <f t="shared" si="115"/>
        <v>0</v>
      </c>
      <c r="K294" s="43">
        <f t="shared" si="115"/>
        <v>0</v>
      </c>
      <c r="L294" s="43">
        <f t="shared" si="115"/>
        <v>0</v>
      </c>
      <c r="M294" s="43">
        <f t="shared" si="115"/>
        <v>0</v>
      </c>
      <c r="N294" s="43">
        <f t="shared" si="115"/>
        <v>0</v>
      </c>
    </row>
    <row r="295" spans="1:14" ht="12.75">
      <c r="A295" s="4" t="str">
        <f>A241</f>
        <v>SGS Grading</v>
      </c>
      <c r="B295" s="43">
        <f aca="true" t="shared" si="116" ref="B295:N295">IF(AND(B$287&gt;=$J241,B$287&lt;=$K241),$D241+$D242,0)</f>
        <v>0</v>
      </c>
      <c r="C295" s="43">
        <f t="shared" si="116"/>
        <v>0</v>
      </c>
      <c r="D295" s="43">
        <f t="shared" si="116"/>
        <v>0</v>
      </c>
      <c r="E295" s="43">
        <f t="shared" si="116"/>
        <v>0</v>
      </c>
      <c r="F295" s="43">
        <f t="shared" si="116"/>
        <v>0</v>
      </c>
      <c r="G295" s="43">
        <f t="shared" si="116"/>
        <v>5.802838021164021</v>
      </c>
      <c r="H295" s="43">
        <f t="shared" si="116"/>
        <v>5.802838021164021</v>
      </c>
      <c r="I295" s="43">
        <f t="shared" si="116"/>
        <v>0</v>
      </c>
      <c r="J295" s="43">
        <f t="shared" si="116"/>
        <v>0</v>
      </c>
      <c r="K295" s="43">
        <f t="shared" si="116"/>
        <v>0</v>
      </c>
      <c r="L295" s="43">
        <f t="shared" si="116"/>
        <v>0</v>
      </c>
      <c r="M295" s="43">
        <f t="shared" si="116"/>
        <v>0</v>
      </c>
      <c r="N295" s="43">
        <f t="shared" si="116"/>
        <v>0</v>
      </c>
    </row>
    <row r="296" spans="1:14" ht="12.75">
      <c r="A296" s="4" t="str">
        <f>A243</f>
        <v>SGS Foundations </v>
      </c>
      <c r="B296" s="43">
        <f aca="true" t="shared" si="117" ref="B296:N296">IF(AND(B$287&gt;=$J243,B$287&lt;=$K243),$D243+$D244,0)</f>
        <v>0</v>
      </c>
      <c r="C296" s="43">
        <f t="shared" si="117"/>
        <v>0</v>
      </c>
      <c r="D296" s="43">
        <f t="shared" si="117"/>
        <v>0</v>
      </c>
      <c r="E296" s="43">
        <f t="shared" si="117"/>
        <v>0</v>
      </c>
      <c r="F296" s="43">
        <f t="shared" si="117"/>
        <v>0</v>
      </c>
      <c r="G296" s="43">
        <f t="shared" si="117"/>
        <v>0</v>
      </c>
      <c r="H296" s="43">
        <f t="shared" si="117"/>
        <v>0</v>
      </c>
      <c r="I296" s="43">
        <f t="shared" si="117"/>
        <v>4.955801262786596</v>
      </c>
      <c r="J296" s="43">
        <f t="shared" si="117"/>
        <v>4.955801262786596</v>
      </c>
      <c r="K296" s="43">
        <f t="shared" si="117"/>
        <v>4.955801262786596</v>
      </c>
      <c r="L296" s="43">
        <f t="shared" si="117"/>
        <v>4.955801262786596</v>
      </c>
      <c r="M296" s="43">
        <f t="shared" si="117"/>
        <v>0</v>
      </c>
      <c r="N296" s="43">
        <f t="shared" si="117"/>
        <v>0</v>
      </c>
    </row>
    <row r="297" spans="1:14" ht="12.75">
      <c r="A297" s="4" t="str">
        <f>A245</f>
        <v>SGS Paving</v>
      </c>
      <c r="B297" s="43">
        <f aca="true" t="shared" si="118" ref="B297:N297">IF(AND(B$287&gt;=$J245,B$287&lt;=$K245),$D245+$D246,0)</f>
        <v>0</v>
      </c>
      <c r="C297" s="43">
        <f t="shared" si="118"/>
        <v>0</v>
      </c>
      <c r="D297" s="43">
        <f t="shared" si="118"/>
        <v>0</v>
      </c>
      <c r="E297" s="43">
        <f t="shared" si="118"/>
        <v>0</v>
      </c>
      <c r="F297" s="43">
        <f t="shared" si="118"/>
        <v>0</v>
      </c>
      <c r="G297" s="43">
        <f t="shared" si="118"/>
        <v>0</v>
      </c>
      <c r="H297" s="43">
        <f t="shared" si="118"/>
        <v>0</v>
      </c>
      <c r="I297" s="43">
        <f t="shared" si="118"/>
        <v>3.4003049971817667</v>
      </c>
      <c r="J297" s="43">
        <f t="shared" si="118"/>
        <v>3.4003049971817667</v>
      </c>
      <c r="K297" s="43">
        <f t="shared" si="118"/>
        <v>3.4003049971817667</v>
      </c>
      <c r="L297" s="43">
        <f t="shared" si="118"/>
        <v>3.4003049971817667</v>
      </c>
      <c r="M297" s="43">
        <f t="shared" si="118"/>
        <v>0</v>
      </c>
      <c r="N297" s="43">
        <f t="shared" si="118"/>
        <v>0</v>
      </c>
    </row>
    <row r="298" spans="1:14" ht="12.75">
      <c r="A298" s="4" t="str">
        <f>A247</f>
        <v>SGS Equipment Installation</v>
      </c>
      <c r="B298" s="43">
        <f aca="true" t="shared" si="119" ref="B298:N298">IF(AND(B$287&gt;=$J247,B$287&lt;=$K247),$D247+$D248,0)</f>
        <v>0</v>
      </c>
      <c r="C298" s="43">
        <f t="shared" si="119"/>
        <v>0</v>
      </c>
      <c r="D298" s="43">
        <f t="shared" si="119"/>
        <v>0</v>
      </c>
      <c r="E298" s="43">
        <f t="shared" si="119"/>
        <v>0</v>
      </c>
      <c r="F298" s="43">
        <f t="shared" si="119"/>
        <v>0</v>
      </c>
      <c r="G298" s="43">
        <f t="shared" si="119"/>
        <v>0</v>
      </c>
      <c r="H298" s="43">
        <f t="shared" si="119"/>
        <v>0</v>
      </c>
      <c r="I298" s="43">
        <f t="shared" si="119"/>
        <v>0</v>
      </c>
      <c r="J298" s="43">
        <f t="shared" si="119"/>
        <v>0</v>
      </c>
      <c r="K298" s="43">
        <f t="shared" si="119"/>
        <v>0</v>
      </c>
      <c r="L298" s="43">
        <f t="shared" si="119"/>
        <v>0</v>
      </c>
      <c r="M298" s="43">
        <f t="shared" si="119"/>
        <v>55.9766088430335</v>
      </c>
      <c r="N298" s="43">
        <f t="shared" si="119"/>
        <v>55.9766088430335</v>
      </c>
    </row>
    <row r="299" spans="1:14" ht="12.75">
      <c r="A299" s="4" t="str">
        <f>A249</f>
        <v>VGS Demolition</v>
      </c>
      <c r="B299" s="43">
        <f aca="true" t="shared" si="120" ref="B299:N299">IF(AND(B$287&gt;=$J249,B$287&lt;=$K249),$D249+$D250,0)</f>
        <v>17.898368082797965</v>
      </c>
      <c r="C299" s="43">
        <f t="shared" si="120"/>
        <v>17.898368082797965</v>
      </c>
      <c r="D299" s="43">
        <f t="shared" si="120"/>
        <v>0</v>
      </c>
      <c r="E299" s="43">
        <f t="shared" si="120"/>
        <v>0</v>
      </c>
      <c r="F299" s="43">
        <f t="shared" si="120"/>
        <v>0</v>
      </c>
      <c r="G299" s="43">
        <f t="shared" si="120"/>
        <v>0</v>
      </c>
      <c r="H299" s="43">
        <f t="shared" si="120"/>
        <v>0</v>
      </c>
      <c r="I299" s="43">
        <f t="shared" si="120"/>
        <v>0</v>
      </c>
      <c r="J299" s="43">
        <f t="shared" si="120"/>
        <v>0</v>
      </c>
      <c r="K299" s="43">
        <f t="shared" si="120"/>
        <v>0</v>
      </c>
      <c r="L299" s="43">
        <f t="shared" si="120"/>
        <v>0</v>
      </c>
      <c r="M299" s="43">
        <f t="shared" si="120"/>
        <v>0</v>
      </c>
      <c r="N299" s="43">
        <f t="shared" si="120"/>
        <v>0</v>
      </c>
    </row>
    <row r="300" spans="1:14" ht="12.75">
      <c r="A300" s="4" t="str">
        <f>A251</f>
        <v>VGS Grading</v>
      </c>
      <c r="B300" s="43">
        <f aca="true" t="shared" si="121" ref="B300:N300">IF(AND(B$287&gt;=$J251,B$287&lt;=$K251),$D251+$D252,0)</f>
        <v>0</v>
      </c>
      <c r="C300" s="43">
        <f t="shared" si="121"/>
        <v>0</v>
      </c>
      <c r="D300" s="43">
        <f t="shared" si="121"/>
        <v>5.741618885361552</v>
      </c>
      <c r="E300" s="43">
        <f t="shared" si="121"/>
        <v>5.741618885361552</v>
      </c>
      <c r="F300" s="43">
        <f t="shared" si="121"/>
        <v>0</v>
      </c>
      <c r="G300" s="43">
        <f t="shared" si="121"/>
        <v>0</v>
      </c>
      <c r="H300" s="43">
        <f t="shared" si="121"/>
        <v>0</v>
      </c>
      <c r="I300" s="43">
        <f t="shared" si="121"/>
        <v>0</v>
      </c>
      <c r="J300" s="43">
        <f t="shared" si="121"/>
        <v>0</v>
      </c>
      <c r="K300" s="43">
        <f t="shared" si="121"/>
        <v>0</v>
      </c>
      <c r="L300" s="43">
        <f t="shared" si="121"/>
        <v>0</v>
      </c>
      <c r="M300" s="43">
        <f t="shared" si="121"/>
        <v>0</v>
      </c>
      <c r="N300" s="43">
        <f t="shared" si="121"/>
        <v>0</v>
      </c>
    </row>
    <row r="301" spans="1:14" ht="12.75">
      <c r="A301" s="4" t="str">
        <f>A253</f>
        <v>VGS Foundations </v>
      </c>
      <c r="B301" s="43">
        <f aca="true" t="shared" si="122" ref="B301:N301">IF(AND(B$287&gt;=$J253,B$287&lt;=$K253),$D253+$D254,0)</f>
        <v>0</v>
      </c>
      <c r="C301" s="43">
        <f t="shared" si="122"/>
        <v>0</v>
      </c>
      <c r="D301" s="43">
        <f t="shared" si="122"/>
        <v>0</v>
      </c>
      <c r="E301" s="43">
        <f t="shared" si="122"/>
        <v>0</v>
      </c>
      <c r="F301" s="43">
        <f t="shared" si="122"/>
        <v>11.300250807760142</v>
      </c>
      <c r="G301" s="43">
        <f t="shared" si="122"/>
        <v>11.300250807760142</v>
      </c>
      <c r="H301" s="43">
        <f t="shared" si="122"/>
        <v>11.300250807760142</v>
      </c>
      <c r="I301" s="43">
        <f t="shared" si="122"/>
        <v>11.300250807760142</v>
      </c>
      <c r="J301" s="43">
        <f t="shared" si="122"/>
        <v>11.300250807760142</v>
      </c>
      <c r="K301" s="43">
        <f t="shared" si="122"/>
        <v>0</v>
      </c>
      <c r="L301" s="43">
        <f t="shared" si="122"/>
        <v>0</v>
      </c>
      <c r="M301" s="43">
        <f t="shared" si="122"/>
        <v>0</v>
      </c>
      <c r="N301" s="43">
        <f t="shared" si="122"/>
        <v>0</v>
      </c>
    </row>
    <row r="302" spans="1:14" ht="12.75">
      <c r="A302" s="4" t="str">
        <f>A255</f>
        <v>VGS Paving</v>
      </c>
      <c r="B302" s="43">
        <f aca="true" t="shared" si="123" ref="B302:N302">IF(AND(B$287&gt;=$J255,B$287&lt;=$K255),$D255+$D256,0)</f>
        <v>0</v>
      </c>
      <c r="C302" s="43">
        <f t="shared" si="123"/>
        <v>0</v>
      </c>
      <c r="D302" s="43">
        <f t="shared" si="123"/>
        <v>0</v>
      </c>
      <c r="E302" s="43">
        <f t="shared" si="123"/>
        <v>0</v>
      </c>
      <c r="F302" s="43">
        <f t="shared" si="123"/>
        <v>0</v>
      </c>
      <c r="G302" s="43">
        <f t="shared" si="123"/>
        <v>0</v>
      </c>
      <c r="H302" s="43">
        <f t="shared" si="123"/>
        <v>0</v>
      </c>
      <c r="I302" s="43">
        <f t="shared" si="123"/>
        <v>4.156183158602883</v>
      </c>
      <c r="J302" s="43">
        <f t="shared" si="123"/>
        <v>4.156183158602883</v>
      </c>
      <c r="K302" s="43">
        <f t="shared" si="123"/>
        <v>4.156183158602883</v>
      </c>
      <c r="L302" s="43">
        <f t="shared" si="123"/>
        <v>0</v>
      </c>
      <c r="M302" s="43">
        <f t="shared" si="123"/>
        <v>0</v>
      </c>
      <c r="N302" s="43">
        <f t="shared" si="123"/>
        <v>0</v>
      </c>
    </row>
    <row r="303" spans="1:14" ht="12.75">
      <c r="A303" s="4" t="str">
        <f>A257</f>
        <v>VGS Equipment Installation</v>
      </c>
      <c r="B303" s="43">
        <f aca="true" t="shared" si="124" ref="B303:N303">IF(AND(B$287&gt;=$J257,B$287&lt;=$K257),$D257+$D258,0)</f>
        <v>0</v>
      </c>
      <c r="C303" s="43">
        <f t="shared" si="124"/>
        <v>0</v>
      </c>
      <c r="D303" s="43">
        <f t="shared" si="124"/>
        <v>0</v>
      </c>
      <c r="E303" s="43">
        <f t="shared" si="124"/>
        <v>0</v>
      </c>
      <c r="F303" s="43">
        <f t="shared" si="124"/>
        <v>0</v>
      </c>
      <c r="G303" s="43">
        <f t="shared" si="124"/>
        <v>0</v>
      </c>
      <c r="H303" s="43">
        <f t="shared" si="124"/>
        <v>0</v>
      </c>
      <c r="I303" s="43">
        <f t="shared" si="124"/>
        <v>0</v>
      </c>
      <c r="J303" s="43">
        <f t="shared" si="124"/>
        <v>0</v>
      </c>
      <c r="K303" s="43">
        <f t="shared" si="124"/>
        <v>0</v>
      </c>
      <c r="L303" s="43">
        <f t="shared" si="124"/>
        <v>0</v>
      </c>
      <c r="M303" s="43">
        <f t="shared" si="124"/>
        <v>29.767221509700175</v>
      </c>
      <c r="N303" s="43">
        <f t="shared" si="124"/>
        <v>29.767221509700175</v>
      </c>
    </row>
    <row r="304" spans="1:14" ht="12.75">
      <c r="A304" s="15" t="s">
        <v>24</v>
      </c>
      <c r="B304" s="44">
        <f aca="true" t="shared" si="125" ref="B304:N304">SUM(B288:B303)</f>
        <v>81.63865293495621</v>
      </c>
      <c r="C304" s="44">
        <f t="shared" si="125"/>
        <v>81.63865293495621</v>
      </c>
      <c r="D304" s="44">
        <f t="shared" si="125"/>
        <v>44.043596846560845</v>
      </c>
      <c r="E304" s="44">
        <f t="shared" si="125"/>
        <v>44.043596846560845</v>
      </c>
      <c r="F304" s="44">
        <f t="shared" si="125"/>
        <v>49.602228768959435</v>
      </c>
      <c r="G304" s="44">
        <f t="shared" si="125"/>
        <v>65.472301675485</v>
      </c>
      <c r="H304" s="44">
        <f t="shared" si="125"/>
        <v>65.472301675485</v>
      </c>
      <c r="I304" s="44">
        <f t="shared" si="125"/>
        <v>81.6423510810742</v>
      </c>
      <c r="J304" s="44">
        <f t="shared" si="125"/>
        <v>81.6423510810742</v>
      </c>
      <c r="K304" s="44">
        <f t="shared" si="125"/>
        <v>70.34210027331406</v>
      </c>
      <c r="L304" s="44">
        <f t="shared" si="125"/>
        <v>66.18591711471117</v>
      </c>
      <c r="M304" s="44">
        <f t="shared" si="125"/>
        <v>184.2082872486772</v>
      </c>
      <c r="N304" s="44">
        <f t="shared" si="125"/>
        <v>184.2082872486772</v>
      </c>
    </row>
    <row r="305" spans="1:14" ht="12.75">
      <c r="A305" s="39" t="s">
        <v>132</v>
      </c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7"/>
      <c r="M305" s="47"/>
      <c r="N305" s="47"/>
    </row>
    <row r="306" spans="1:14" ht="12.75">
      <c r="A306" s="62" t="s">
        <v>276</v>
      </c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47"/>
      <c r="M306" s="47"/>
      <c r="N306" s="47"/>
    </row>
    <row r="307" spans="1:11" ht="12.75">
      <c r="A307" s="29"/>
      <c r="B307" s="48"/>
      <c r="C307" s="49"/>
      <c r="D307" s="49"/>
      <c r="E307" s="49"/>
      <c r="F307" s="49"/>
      <c r="G307" s="49"/>
      <c r="H307" s="49"/>
      <c r="I307" s="49"/>
      <c r="J307" s="49"/>
      <c r="K307" s="49"/>
    </row>
    <row r="308" spans="1:11" ht="12.75">
      <c r="A308" s="29"/>
      <c r="B308" s="48"/>
      <c r="C308" s="49"/>
      <c r="D308" s="49"/>
      <c r="E308" s="49"/>
      <c r="F308" s="49"/>
      <c r="G308" s="49"/>
      <c r="H308" s="49"/>
      <c r="I308" s="49"/>
      <c r="J308" s="49"/>
      <c r="K308" s="49"/>
    </row>
    <row r="309" spans="1:14" ht="12.75">
      <c r="A309" s="86" t="s">
        <v>320</v>
      </c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</row>
    <row r="310" spans="1:14" ht="15">
      <c r="A310" s="85" t="s">
        <v>326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</row>
    <row r="311" spans="1:14" ht="12.75">
      <c r="A311" s="37" t="s">
        <v>87</v>
      </c>
      <c r="B311" s="69">
        <v>1</v>
      </c>
      <c r="C311" s="69">
        <v>10</v>
      </c>
      <c r="D311" s="69">
        <v>11</v>
      </c>
      <c r="E311" s="69">
        <v>15</v>
      </c>
      <c r="F311" s="69">
        <v>16</v>
      </c>
      <c r="G311" s="69">
        <v>18</v>
      </c>
      <c r="H311" s="69">
        <v>20</v>
      </c>
      <c r="I311" s="69">
        <v>21</v>
      </c>
      <c r="J311" s="69">
        <v>22</v>
      </c>
      <c r="K311" s="69">
        <v>25</v>
      </c>
      <c r="L311" s="69">
        <v>28</v>
      </c>
      <c r="M311" s="69">
        <v>29</v>
      </c>
      <c r="N311" s="69">
        <v>150</v>
      </c>
    </row>
    <row r="312" spans="1:14" ht="12.75">
      <c r="A312" s="4" t="str">
        <f>A227</f>
        <v>HGS Tank Demolition</v>
      </c>
      <c r="B312" s="43">
        <f aca="true" t="shared" si="126" ref="B312:N312">IF(AND(B$311&gt;=$J227,B$311&lt;=$K227),$E227+$E228,0)</f>
        <v>248.5055624606702</v>
      </c>
      <c r="C312" s="43">
        <f t="shared" si="126"/>
        <v>248.5055624606702</v>
      </c>
      <c r="D312" s="43">
        <f t="shared" si="126"/>
        <v>0</v>
      </c>
      <c r="E312" s="43">
        <f t="shared" si="126"/>
        <v>0</v>
      </c>
      <c r="F312" s="43">
        <f t="shared" si="126"/>
        <v>0</v>
      </c>
      <c r="G312" s="43">
        <f t="shared" si="126"/>
        <v>0</v>
      </c>
      <c r="H312" s="43">
        <f t="shared" si="126"/>
        <v>0</v>
      </c>
      <c r="I312" s="43">
        <f t="shared" si="126"/>
        <v>0</v>
      </c>
      <c r="J312" s="43">
        <f t="shared" si="126"/>
        <v>0</v>
      </c>
      <c r="K312" s="43">
        <f t="shared" si="126"/>
        <v>0</v>
      </c>
      <c r="L312" s="43">
        <f t="shared" si="126"/>
        <v>0</v>
      </c>
      <c r="M312" s="43">
        <f t="shared" si="126"/>
        <v>0</v>
      </c>
      <c r="N312" s="43">
        <f t="shared" si="126"/>
        <v>0</v>
      </c>
    </row>
    <row r="313" spans="1:14" ht="12.75">
      <c r="A313" s="4" t="str">
        <f>A229</f>
        <v>HGS Backfill</v>
      </c>
      <c r="B313" s="43">
        <f aca="true" t="shared" si="127" ref="B313:N313">IF(AND(B$311&gt;=$J229,B$311&lt;=$K229),$E229+$E230,0)</f>
        <v>0</v>
      </c>
      <c r="C313" s="43">
        <f t="shared" si="127"/>
        <v>0</v>
      </c>
      <c r="D313" s="43">
        <f t="shared" si="127"/>
        <v>329.3154871675485</v>
      </c>
      <c r="E313" s="43">
        <f t="shared" si="127"/>
        <v>329.3154871675485</v>
      </c>
      <c r="F313" s="43">
        <f t="shared" si="127"/>
        <v>329.3154871675485</v>
      </c>
      <c r="G313" s="43">
        <f t="shared" si="127"/>
        <v>329.3154871675485</v>
      </c>
      <c r="H313" s="43">
        <f t="shared" si="127"/>
        <v>329.3154871675485</v>
      </c>
      <c r="I313" s="43">
        <f t="shared" si="127"/>
        <v>0</v>
      </c>
      <c r="J313" s="43">
        <f t="shared" si="127"/>
        <v>0</v>
      </c>
      <c r="K313" s="43">
        <f t="shared" si="127"/>
        <v>0</v>
      </c>
      <c r="L313" s="43">
        <f t="shared" si="127"/>
        <v>0</v>
      </c>
      <c r="M313" s="43">
        <f t="shared" si="127"/>
        <v>0</v>
      </c>
      <c r="N313" s="43">
        <f t="shared" si="127"/>
        <v>0</v>
      </c>
    </row>
    <row r="314" spans="1:14" ht="12.75">
      <c r="A314" s="4" t="str">
        <f>A231</f>
        <v>HGS Grading</v>
      </c>
      <c r="B314" s="43">
        <f aca="true" t="shared" si="128" ref="B314:N314">IF(AND(B$311&gt;=$J231,B$311&lt;=$K231),$E231+$E232,0)</f>
        <v>0</v>
      </c>
      <c r="C314" s="43">
        <f t="shared" si="128"/>
        <v>0</v>
      </c>
      <c r="D314" s="43">
        <f t="shared" si="128"/>
        <v>0</v>
      </c>
      <c r="E314" s="43">
        <f t="shared" si="128"/>
        <v>0</v>
      </c>
      <c r="F314" s="43">
        <f t="shared" si="128"/>
        <v>0</v>
      </c>
      <c r="G314" s="43">
        <f t="shared" si="128"/>
        <v>75.11020009876545</v>
      </c>
      <c r="H314" s="43">
        <f t="shared" si="128"/>
        <v>75.11020009876545</v>
      </c>
      <c r="I314" s="43">
        <f t="shared" si="128"/>
        <v>0</v>
      </c>
      <c r="J314" s="43">
        <f t="shared" si="128"/>
        <v>0</v>
      </c>
      <c r="K314" s="43">
        <f t="shared" si="128"/>
        <v>0</v>
      </c>
      <c r="L314" s="43">
        <f t="shared" si="128"/>
        <v>0</v>
      </c>
      <c r="M314" s="43">
        <f t="shared" si="128"/>
        <v>0</v>
      </c>
      <c r="N314" s="43">
        <f t="shared" si="128"/>
        <v>0</v>
      </c>
    </row>
    <row r="315" spans="1:14" ht="12.75">
      <c r="A315" s="4" t="str">
        <f>A233</f>
        <v>HGS Foundations </v>
      </c>
      <c r="B315" s="43">
        <f aca="true" t="shared" si="129" ref="B315:N315">IF(AND(B$311&gt;=$J233,B$311&lt;=$K233),$E233+$E234,0)</f>
        <v>0</v>
      </c>
      <c r="C315" s="43">
        <f t="shared" si="129"/>
        <v>0</v>
      </c>
      <c r="D315" s="43">
        <f t="shared" si="129"/>
        <v>0</v>
      </c>
      <c r="E315" s="43">
        <f t="shared" si="129"/>
        <v>0</v>
      </c>
      <c r="F315" s="43">
        <f t="shared" si="129"/>
        <v>0</v>
      </c>
      <c r="G315" s="43">
        <f t="shared" si="129"/>
        <v>0</v>
      </c>
      <c r="H315" s="43">
        <f t="shared" si="129"/>
        <v>0</v>
      </c>
      <c r="I315" s="43">
        <f t="shared" si="129"/>
        <v>178.95551496296298</v>
      </c>
      <c r="J315" s="43">
        <f t="shared" si="129"/>
        <v>178.95551496296298</v>
      </c>
      <c r="K315" s="43">
        <f t="shared" si="129"/>
        <v>178.95551496296298</v>
      </c>
      <c r="L315" s="43">
        <f t="shared" si="129"/>
        <v>178.95551496296298</v>
      </c>
      <c r="M315" s="43">
        <f t="shared" si="129"/>
        <v>0</v>
      </c>
      <c r="N315" s="43">
        <f t="shared" si="129"/>
        <v>0</v>
      </c>
    </row>
    <row r="316" spans="1:14" ht="12.75">
      <c r="A316" s="4" t="str">
        <f>A235</f>
        <v>HGS Paving</v>
      </c>
      <c r="B316" s="43">
        <f aca="true" t="shared" si="130" ref="B316:N316">IF(AND(B$311&gt;=$J235,B$311&lt;=$K235),$E235+$E236,0)</f>
        <v>0</v>
      </c>
      <c r="C316" s="43">
        <f t="shared" si="130"/>
        <v>0</v>
      </c>
      <c r="D316" s="43">
        <f t="shared" si="130"/>
        <v>0</v>
      </c>
      <c r="E316" s="43">
        <f t="shared" si="130"/>
        <v>0</v>
      </c>
      <c r="F316" s="43">
        <f t="shared" si="130"/>
        <v>0</v>
      </c>
      <c r="G316" s="43">
        <f t="shared" si="130"/>
        <v>0</v>
      </c>
      <c r="H316" s="43">
        <f t="shared" si="130"/>
        <v>0</v>
      </c>
      <c r="I316" s="43">
        <f t="shared" si="130"/>
        <v>82.96535128042328</v>
      </c>
      <c r="J316" s="43">
        <f t="shared" si="130"/>
        <v>82.96535128042328</v>
      </c>
      <c r="K316" s="43">
        <f t="shared" si="130"/>
        <v>82.96535128042328</v>
      </c>
      <c r="L316" s="43">
        <f t="shared" si="130"/>
        <v>82.96535128042328</v>
      </c>
      <c r="M316" s="43">
        <f t="shared" si="130"/>
        <v>0</v>
      </c>
      <c r="N316" s="43">
        <f t="shared" si="130"/>
        <v>0</v>
      </c>
    </row>
    <row r="317" spans="1:14" ht="12.75">
      <c r="A317" s="4" t="str">
        <f>A237</f>
        <v>HGS Equipment Installation</v>
      </c>
      <c r="B317" s="43">
        <f aca="true" t="shared" si="131" ref="B317:N317">IF(AND(B$311&gt;=$J237,B$311&lt;=$K237),$E237+$E238,0)</f>
        <v>0</v>
      </c>
      <c r="C317" s="43">
        <f t="shared" si="131"/>
        <v>0</v>
      </c>
      <c r="D317" s="43">
        <f t="shared" si="131"/>
        <v>0</v>
      </c>
      <c r="E317" s="43">
        <f t="shared" si="131"/>
        <v>0</v>
      </c>
      <c r="F317" s="43">
        <f t="shared" si="131"/>
        <v>0</v>
      </c>
      <c r="G317" s="43">
        <f t="shared" si="131"/>
        <v>0</v>
      </c>
      <c r="H317" s="43">
        <f t="shared" si="131"/>
        <v>0</v>
      </c>
      <c r="I317" s="43">
        <f t="shared" si="131"/>
        <v>0</v>
      </c>
      <c r="J317" s="43">
        <f t="shared" si="131"/>
        <v>0</v>
      </c>
      <c r="K317" s="43">
        <f t="shared" si="131"/>
        <v>0</v>
      </c>
      <c r="L317" s="43">
        <f t="shared" si="131"/>
        <v>0</v>
      </c>
      <c r="M317" s="43">
        <f t="shared" si="131"/>
        <v>347.8654461657848</v>
      </c>
      <c r="N317" s="43">
        <f t="shared" si="131"/>
        <v>347.8654461657848</v>
      </c>
    </row>
    <row r="318" spans="1:14" ht="12.75">
      <c r="A318" s="4" t="str">
        <f>A239</f>
        <v>SGS Slab Demolition</v>
      </c>
      <c r="B318" s="43">
        <f aca="true" t="shared" si="132" ref="B318:N318">IF(AND(B$311&gt;=$J239,B$311&lt;=$K239),$E239+$E240,0)</f>
        <v>65.56202369664904</v>
      </c>
      <c r="C318" s="43">
        <f t="shared" si="132"/>
        <v>65.56202369664904</v>
      </c>
      <c r="D318" s="43">
        <f t="shared" si="132"/>
        <v>0</v>
      </c>
      <c r="E318" s="43">
        <f t="shared" si="132"/>
        <v>0</v>
      </c>
      <c r="F318" s="43">
        <f t="shared" si="132"/>
        <v>0</v>
      </c>
      <c r="G318" s="43">
        <f t="shared" si="132"/>
        <v>0</v>
      </c>
      <c r="H318" s="43">
        <f t="shared" si="132"/>
        <v>0</v>
      </c>
      <c r="I318" s="43">
        <f t="shared" si="132"/>
        <v>0</v>
      </c>
      <c r="J318" s="43">
        <f t="shared" si="132"/>
        <v>0</v>
      </c>
      <c r="K318" s="43">
        <f t="shared" si="132"/>
        <v>0</v>
      </c>
      <c r="L318" s="43">
        <f t="shared" si="132"/>
        <v>0</v>
      </c>
      <c r="M318" s="43">
        <f t="shared" si="132"/>
        <v>0</v>
      </c>
      <c r="N318" s="43">
        <f t="shared" si="132"/>
        <v>0</v>
      </c>
    </row>
    <row r="319" spans="1:14" ht="12.75">
      <c r="A319" s="4" t="str">
        <f>A241</f>
        <v>SGS Grading</v>
      </c>
      <c r="B319" s="43">
        <f aca="true" t="shared" si="133" ref="B319:N319">IF(AND(B$311&gt;=$J241,B$311&lt;=$K241),$E241+$E242,0)</f>
        <v>0</v>
      </c>
      <c r="C319" s="43">
        <f t="shared" si="133"/>
        <v>0</v>
      </c>
      <c r="D319" s="43">
        <f t="shared" si="133"/>
        <v>0</v>
      </c>
      <c r="E319" s="43">
        <f t="shared" si="133"/>
        <v>0</v>
      </c>
      <c r="F319" s="43">
        <f t="shared" si="133"/>
        <v>0</v>
      </c>
      <c r="G319" s="43">
        <f t="shared" si="133"/>
        <v>40.53430649029982</v>
      </c>
      <c r="H319" s="43">
        <f t="shared" si="133"/>
        <v>40.53430649029982</v>
      </c>
      <c r="I319" s="43">
        <f t="shared" si="133"/>
        <v>0</v>
      </c>
      <c r="J319" s="43">
        <f t="shared" si="133"/>
        <v>0</v>
      </c>
      <c r="K319" s="43">
        <f t="shared" si="133"/>
        <v>0</v>
      </c>
      <c r="L319" s="43">
        <f t="shared" si="133"/>
        <v>0</v>
      </c>
      <c r="M319" s="43">
        <f t="shared" si="133"/>
        <v>0</v>
      </c>
      <c r="N319" s="43">
        <f t="shared" si="133"/>
        <v>0</v>
      </c>
    </row>
    <row r="320" spans="1:14" ht="12.75">
      <c r="A320" s="4" t="str">
        <f>A243</f>
        <v>SGS Foundations </v>
      </c>
      <c r="B320" s="43">
        <f aca="true" t="shared" si="134" ref="B320:N320">IF(AND(B$311&gt;=$J243,B$311&lt;=$K243),$E243+$E244,0)</f>
        <v>0</v>
      </c>
      <c r="C320" s="43">
        <f t="shared" si="134"/>
        <v>0</v>
      </c>
      <c r="D320" s="43">
        <f t="shared" si="134"/>
        <v>0</v>
      </c>
      <c r="E320" s="43">
        <f t="shared" si="134"/>
        <v>0</v>
      </c>
      <c r="F320" s="43">
        <f t="shared" si="134"/>
        <v>0</v>
      </c>
      <c r="G320" s="43">
        <f t="shared" si="134"/>
        <v>0</v>
      </c>
      <c r="H320" s="43">
        <f t="shared" si="134"/>
        <v>0</v>
      </c>
      <c r="I320" s="43">
        <f t="shared" si="134"/>
        <v>27.00732671604938</v>
      </c>
      <c r="J320" s="43">
        <f t="shared" si="134"/>
        <v>27.00732671604938</v>
      </c>
      <c r="K320" s="43">
        <f t="shared" si="134"/>
        <v>27.00732671604938</v>
      </c>
      <c r="L320" s="43">
        <f t="shared" si="134"/>
        <v>27.00732671604938</v>
      </c>
      <c r="M320" s="43">
        <f t="shared" si="134"/>
        <v>0</v>
      </c>
      <c r="N320" s="43">
        <f t="shared" si="134"/>
        <v>0</v>
      </c>
    </row>
    <row r="321" spans="1:14" ht="12.75">
      <c r="A321" s="4" t="str">
        <f>A245</f>
        <v>SGS Paving</v>
      </c>
      <c r="B321" s="43">
        <f aca="true" t="shared" si="135" ref="B321:N321">IF(AND(B$311&gt;=$J245,B$311&lt;=$K245),$E245+$E246,0)</f>
        <v>0</v>
      </c>
      <c r="C321" s="43">
        <f t="shared" si="135"/>
        <v>0</v>
      </c>
      <c r="D321" s="43">
        <f t="shared" si="135"/>
        <v>0</v>
      </c>
      <c r="E321" s="43">
        <f t="shared" si="135"/>
        <v>0</v>
      </c>
      <c r="F321" s="43">
        <f t="shared" si="135"/>
        <v>0</v>
      </c>
      <c r="G321" s="43">
        <f t="shared" si="135"/>
        <v>0</v>
      </c>
      <c r="H321" s="43">
        <f t="shared" si="135"/>
        <v>0</v>
      </c>
      <c r="I321" s="43">
        <f t="shared" si="135"/>
        <v>35.63674603174603</v>
      </c>
      <c r="J321" s="43">
        <f t="shared" si="135"/>
        <v>35.63674603174603</v>
      </c>
      <c r="K321" s="43">
        <f t="shared" si="135"/>
        <v>35.63674603174603</v>
      </c>
      <c r="L321" s="43">
        <f t="shared" si="135"/>
        <v>35.63674603174603</v>
      </c>
      <c r="M321" s="43">
        <f t="shared" si="135"/>
        <v>0</v>
      </c>
      <c r="N321" s="43">
        <f t="shared" si="135"/>
        <v>0</v>
      </c>
    </row>
    <row r="322" spans="1:14" ht="12.75">
      <c r="A322" s="4" t="str">
        <f>A247</f>
        <v>SGS Equipment Installation</v>
      </c>
      <c r="B322" s="43">
        <f aca="true" t="shared" si="136" ref="B322:N322">IF(AND(B$311&gt;=$J247,B$311&lt;=$K247),$E247+$E248,0)</f>
        <v>0</v>
      </c>
      <c r="C322" s="43">
        <f t="shared" si="136"/>
        <v>0</v>
      </c>
      <c r="D322" s="43">
        <f t="shared" si="136"/>
        <v>0</v>
      </c>
      <c r="E322" s="43">
        <f t="shared" si="136"/>
        <v>0</v>
      </c>
      <c r="F322" s="43">
        <f t="shared" si="136"/>
        <v>0</v>
      </c>
      <c r="G322" s="43">
        <f t="shared" si="136"/>
        <v>0</v>
      </c>
      <c r="H322" s="43">
        <f t="shared" si="136"/>
        <v>0</v>
      </c>
      <c r="I322" s="43">
        <f t="shared" si="136"/>
        <v>0</v>
      </c>
      <c r="J322" s="43">
        <f t="shared" si="136"/>
        <v>0</v>
      </c>
      <c r="K322" s="43">
        <f t="shared" si="136"/>
        <v>0</v>
      </c>
      <c r="L322" s="43">
        <f t="shared" si="136"/>
        <v>0</v>
      </c>
      <c r="M322" s="43">
        <f t="shared" si="136"/>
        <v>129.9240615520282</v>
      </c>
      <c r="N322" s="43">
        <f t="shared" si="136"/>
        <v>129.9240615520282</v>
      </c>
    </row>
    <row r="323" spans="1:14" ht="12.75">
      <c r="A323" s="4" t="str">
        <f>A249</f>
        <v>VGS Demolition</v>
      </c>
      <c r="B323" s="43">
        <f aca="true" t="shared" si="137" ref="B323:N323">IF(AND(B$311&gt;=$J249,B$311&lt;=$K249),$E249+$E250,0)</f>
        <v>145.44726261305112</v>
      </c>
      <c r="C323" s="43">
        <f t="shared" si="137"/>
        <v>145.44726261305112</v>
      </c>
      <c r="D323" s="43">
        <f t="shared" si="137"/>
        <v>0</v>
      </c>
      <c r="E323" s="43">
        <f t="shared" si="137"/>
        <v>0</v>
      </c>
      <c r="F323" s="43">
        <f t="shared" si="137"/>
        <v>0</v>
      </c>
      <c r="G323" s="43">
        <f t="shared" si="137"/>
        <v>0</v>
      </c>
      <c r="H323" s="43">
        <f t="shared" si="137"/>
        <v>0</v>
      </c>
      <c r="I323" s="43">
        <f t="shared" si="137"/>
        <v>0</v>
      </c>
      <c r="J323" s="43">
        <f t="shared" si="137"/>
        <v>0</v>
      </c>
      <c r="K323" s="43">
        <f t="shared" si="137"/>
        <v>0</v>
      </c>
      <c r="L323" s="43">
        <f t="shared" si="137"/>
        <v>0</v>
      </c>
      <c r="M323" s="43">
        <f t="shared" si="137"/>
        <v>0</v>
      </c>
      <c r="N323" s="43">
        <f t="shared" si="137"/>
        <v>0</v>
      </c>
    </row>
    <row r="324" spans="1:14" ht="12.75">
      <c r="A324" s="4" t="str">
        <f>A251</f>
        <v>VGS Grading</v>
      </c>
      <c r="B324" s="43">
        <f aca="true" t="shared" si="138" ref="B324:N324">IF(AND(B$311&gt;=$J251,B$311&lt;=$K251),$E251+$E252,0)</f>
        <v>0</v>
      </c>
      <c r="C324" s="43">
        <f t="shared" si="138"/>
        <v>0</v>
      </c>
      <c r="D324" s="43">
        <f t="shared" si="138"/>
        <v>40.50527209876543</v>
      </c>
      <c r="E324" s="43">
        <f t="shared" si="138"/>
        <v>40.50527209876543</v>
      </c>
      <c r="F324" s="43">
        <f t="shared" si="138"/>
        <v>0</v>
      </c>
      <c r="G324" s="43">
        <f t="shared" si="138"/>
        <v>0</v>
      </c>
      <c r="H324" s="43">
        <f t="shared" si="138"/>
        <v>0</v>
      </c>
      <c r="I324" s="43">
        <f t="shared" si="138"/>
        <v>0</v>
      </c>
      <c r="J324" s="43">
        <f t="shared" si="138"/>
        <v>0</v>
      </c>
      <c r="K324" s="43">
        <f t="shared" si="138"/>
        <v>0</v>
      </c>
      <c r="L324" s="43">
        <f t="shared" si="138"/>
        <v>0</v>
      </c>
      <c r="M324" s="43">
        <f t="shared" si="138"/>
        <v>0</v>
      </c>
      <c r="N324" s="43">
        <f t="shared" si="138"/>
        <v>0</v>
      </c>
    </row>
    <row r="325" spans="1:14" ht="12.75">
      <c r="A325" s="4" t="str">
        <f>A253</f>
        <v>VGS Foundations </v>
      </c>
      <c r="B325" s="43">
        <f aca="true" t="shared" si="139" ref="B325:N325">IF(AND(B$311&gt;=$J253,B$311&lt;=$K253),$E253+$E254,0)</f>
        <v>0</v>
      </c>
      <c r="C325" s="43">
        <f t="shared" si="139"/>
        <v>0</v>
      </c>
      <c r="D325" s="43">
        <f t="shared" si="139"/>
        <v>0</v>
      </c>
      <c r="E325" s="43">
        <f t="shared" si="139"/>
        <v>0</v>
      </c>
      <c r="F325" s="43">
        <f t="shared" si="139"/>
        <v>51.81151164726631</v>
      </c>
      <c r="G325" s="43">
        <f t="shared" si="139"/>
        <v>51.81151164726631</v>
      </c>
      <c r="H325" s="43">
        <f t="shared" si="139"/>
        <v>51.81151164726631</v>
      </c>
      <c r="I325" s="43">
        <f t="shared" si="139"/>
        <v>51.81151164726631</v>
      </c>
      <c r="J325" s="43">
        <f t="shared" si="139"/>
        <v>51.81151164726631</v>
      </c>
      <c r="K325" s="43">
        <f t="shared" si="139"/>
        <v>0</v>
      </c>
      <c r="L325" s="43">
        <f t="shared" si="139"/>
        <v>0</v>
      </c>
      <c r="M325" s="43">
        <f t="shared" si="139"/>
        <v>0</v>
      </c>
      <c r="N325" s="43">
        <f t="shared" si="139"/>
        <v>0</v>
      </c>
    </row>
    <row r="326" spans="1:14" ht="12.75">
      <c r="A326" s="4" t="str">
        <f>A255</f>
        <v>VGS Paving</v>
      </c>
      <c r="B326" s="43">
        <f aca="true" t="shared" si="140" ref="B326:N326">IF(AND(B$311&gt;=$J255,B$311&lt;=$K255),$E255+$E256,0)</f>
        <v>0</v>
      </c>
      <c r="C326" s="43">
        <f t="shared" si="140"/>
        <v>0</v>
      </c>
      <c r="D326" s="43">
        <f t="shared" si="140"/>
        <v>0</v>
      </c>
      <c r="E326" s="43">
        <f t="shared" si="140"/>
        <v>0</v>
      </c>
      <c r="F326" s="43">
        <f t="shared" si="140"/>
        <v>0</v>
      </c>
      <c r="G326" s="43">
        <f t="shared" si="140"/>
        <v>0</v>
      </c>
      <c r="H326" s="43">
        <f t="shared" si="140"/>
        <v>0</v>
      </c>
      <c r="I326" s="43">
        <f t="shared" si="140"/>
        <v>37.35076719576719</v>
      </c>
      <c r="J326" s="43">
        <f t="shared" si="140"/>
        <v>37.35076719576719</v>
      </c>
      <c r="K326" s="43">
        <f t="shared" si="140"/>
        <v>37.35076719576719</v>
      </c>
      <c r="L326" s="43">
        <f t="shared" si="140"/>
        <v>0</v>
      </c>
      <c r="M326" s="43">
        <f t="shared" si="140"/>
        <v>0</v>
      </c>
      <c r="N326" s="43">
        <f t="shared" si="140"/>
        <v>0</v>
      </c>
    </row>
    <row r="327" spans="1:14" ht="12.75">
      <c r="A327" s="4" t="str">
        <f>A257</f>
        <v>VGS Equipment Installation</v>
      </c>
      <c r="B327" s="43">
        <f aca="true" t="shared" si="141" ref="B327:N327">IF(AND(B$311&gt;=$J257,B$311&lt;=$K257),$E257+$E258,0)</f>
        <v>0</v>
      </c>
      <c r="C327" s="43">
        <f t="shared" si="141"/>
        <v>0</v>
      </c>
      <c r="D327" s="43">
        <f t="shared" si="141"/>
        <v>0</v>
      </c>
      <c r="E327" s="43">
        <f t="shared" si="141"/>
        <v>0</v>
      </c>
      <c r="F327" s="43">
        <f t="shared" si="141"/>
        <v>0</v>
      </c>
      <c r="G327" s="43">
        <f t="shared" si="141"/>
        <v>0</v>
      </c>
      <c r="H327" s="43">
        <f t="shared" si="141"/>
        <v>0</v>
      </c>
      <c r="I327" s="43">
        <f t="shared" si="141"/>
        <v>0</v>
      </c>
      <c r="J327" s="43">
        <f t="shared" si="141"/>
        <v>0</v>
      </c>
      <c r="K327" s="43">
        <f t="shared" si="141"/>
        <v>0</v>
      </c>
      <c r="L327" s="43">
        <f t="shared" si="141"/>
        <v>0</v>
      </c>
      <c r="M327" s="43">
        <f t="shared" si="141"/>
        <v>139.67166929100526</v>
      </c>
      <c r="N327" s="43">
        <f t="shared" si="141"/>
        <v>139.67166929100526</v>
      </c>
    </row>
    <row r="328" spans="1:14" ht="12.75">
      <c r="A328" s="15" t="s">
        <v>24</v>
      </c>
      <c r="B328" s="44">
        <f aca="true" t="shared" si="142" ref="B328:N328">SUM(B312:B327)</f>
        <v>459.51484877037035</v>
      </c>
      <c r="C328" s="44">
        <f t="shared" si="142"/>
        <v>459.51484877037035</v>
      </c>
      <c r="D328" s="44">
        <f t="shared" si="142"/>
        <v>369.8207592663139</v>
      </c>
      <c r="E328" s="44">
        <f t="shared" si="142"/>
        <v>369.8207592663139</v>
      </c>
      <c r="F328" s="44">
        <f t="shared" si="142"/>
        <v>381.1269988148148</v>
      </c>
      <c r="G328" s="44">
        <f t="shared" si="142"/>
        <v>496.77150540388004</v>
      </c>
      <c r="H328" s="44">
        <f t="shared" si="142"/>
        <v>496.77150540388004</v>
      </c>
      <c r="I328" s="44">
        <f t="shared" si="142"/>
        <v>413.72721783421514</v>
      </c>
      <c r="J328" s="44">
        <f t="shared" si="142"/>
        <v>413.72721783421514</v>
      </c>
      <c r="K328" s="44">
        <f t="shared" si="142"/>
        <v>361.9157061869489</v>
      </c>
      <c r="L328" s="44">
        <f t="shared" si="142"/>
        <v>324.5649389911817</v>
      </c>
      <c r="M328" s="44">
        <f t="shared" si="142"/>
        <v>617.4611770088183</v>
      </c>
      <c r="N328" s="44">
        <f t="shared" si="142"/>
        <v>617.4611770088183</v>
      </c>
    </row>
    <row r="329" spans="1:14" ht="12.75">
      <c r="A329" s="39" t="s">
        <v>132</v>
      </c>
      <c r="B329" s="48"/>
      <c r="C329" s="49"/>
      <c r="D329" s="49"/>
      <c r="E329" s="49"/>
      <c r="F329" s="49"/>
      <c r="G329" s="49"/>
      <c r="H329" s="49"/>
      <c r="I329" s="49"/>
      <c r="J329" s="49"/>
      <c r="K329" s="49"/>
      <c r="L329" s="47"/>
      <c r="M329" s="47"/>
      <c r="N329" s="47"/>
    </row>
    <row r="330" spans="1:14" ht="12.75">
      <c r="A330" s="62" t="s">
        <v>276</v>
      </c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47"/>
      <c r="M330" s="47"/>
      <c r="N330" s="47"/>
    </row>
    <row r="331" spans="1:14" ht="12.75">
      <c r="A331" s="39"/>
      <c r="B331" s="48"/>
      <c r="C331" s="49"/>
      <c r="D331" s="49"/>
      <c r="E331" s="49"/>
      <c r="F331" s="49"/>
      <c r="G331" s="49"/>
      <c r="H331" s="49"/>
      <c r="I331" s="49"/>
      <c r="J331" s="49"/>
      <c r="K331" s="49"/>
      <c r="L331" s="47"/>
      <c r="M331" s="47"/>
      <c r="N331" s="47"/>
    </row>
    <row r="332" spans="1:14" ht="12.75">
      <c r="A332" s="39"/>
      <c r="B332" s="48"/>
      <c r="C332" s="49"/>
      <c r="D332" s="49"/>
      <c r="E332" s="49"/>
      <c r="F332" s="49"/>
      <c r="G332" s="49"/>
      <c r="H332" s="49"/>
      <c r="I332" s="49"/>
      <c r="J332" s="49"/>
      <c r="K332" s="49"/>
      <c r="L332" s="47"/>
      <c r="M332" s="47"/>
      <c r="N332" s="47"/>
    </row>
    <row r="333" spans="1:14" ht="12.75">
      <c r="A333" s="87" t="s">
        <v>321</v>
      </c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</row>
    <row r="334" spans="1:14" ht="15">
      <c r="A334" s="85" t="s">
        <v>327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</row>
    <row r="335" spans="1:14" ht="12.75">
      <c r="A335" s="37" t="s">
        <v>87</v>
      </c>
      <c r="B335" s="69">
        <v>1</v>
      </c>
      <c r="C335" s="69">
        <v>10</v>
      </c>
      <c r="D335" s="69">
        <v>11</v>
      </c>
      <c r="E335" s="69">
        <v>15</v>
      </c>
      <c r="F335" s="69">
        <v>16</v>
      </c>
      <c r="G335" s="69">
        <v>18</v>
      </c>
      <c r="H335" s="69">
        <v>20</v>
      </c>
      <c r="I335" s="69">
        <v>21</v>
      </c>
      <c r="J335" s="69">
        <v>22</v>
      </c>
      <c r="K335" s="69">
        <v>25</v>
      </c>
      <c r="L335" s="69">
        <v>28</v>
      </c>
      <c r="M335" s="69">
        <v>29</v>
      </c>
      <c r="N335" s="69">
        <v>150</v>
      </c>
    </row>
    <row r="336" spans="1:14" ht="12.75">
      <c r="A336" s="4" t="str">
        <f>A227</f>
        <v>HGS Tank Demolition</v>
      </c>
      <c r="B336" s="43">
        <f aca="true" t="shared" si="143" ref="B336:N336">IF(AND(B$335&gt;=$J227,B$335&lt;=$K227),$F227+$F228,0)</f>
        <v>19.3039088</v>
      </c>
      <c r="C336" s="43">
        <f t="shared" si="143"/>
        <v>19.3039088</v>
      </c>
      <c r="D336" s="43">
        <f t="shared" si="143"/>
        <v>0</v>
      </c>
      <c r="E336" s="43">
        <f t="shared" si="143"/>
        <v>0</v>
      </c>
      <c r="F336" s="43">
        <f t="shared" si="143"/>
        <v>0</v>
      </c>
      <c r="G336" s="43">
        <f t="shared" si="143"/>
        <v>0</v>
      </c>
      <c r="H336" s="43">
        <f t="shared" si="143"/>
        <v>0</v>
      </c>
      <c r="I336" s="43">
        <f t="shared" si="143"/>
        <v>0</v>
      </c>
      <c r="J336" s="43">
        <f t="shared" si="143"/>
        <v>0</v>
      </c>
      <c r="K336" s="43">
        <f t="shared" si="143"/>
        <v>0</v>
      </c>
      <c r="L336" s="43">
        <f t="shared" si="143"/>
        <v>0</v>
      </c>
      <c r="M336" s="43">
        <f t="shared" si="143"/>
        <v>0</v>
      </c>
      <c r="N336" s="43">
        <f t="shared" si="143"/>
        <v>0</v>
      </c>
    </row>
    <row r="337" spans="1:14" ht="12.75">
      <c r="A337" s="4" t="str">
        <f>A229</f>
        <v>HGS Backfill</v>
      </c>
      <c r="B337" s="43">
        <f aca="true" t="shared" si="144" ref="B337:N337">IF(AND(B$335&gt;=$J229,B$335&lt;=$K229),$F229+$F230,0)</f>
        <v>0</v>
      </c>
      <c r="C337" s="43">
        <f t="shared" si="144"/>
        <v>0</v>
      </c>
      <c r="D337" s="43">
        <f t="shared" si="144"/>
        <v>25.889248000000002</v>
      </c>
      <c r="E337" s="43">
        <f t="shared" si="144"/>
        <v>25.889248000000002</v>
      </c>
      <c r="F337" s="43">
        <f t="shared" si="144"/>
        <v>25.889248000000002</v>
      </c>
      <c r="G337" s="43">
        <f t="shared" si="144"/>
        <v>25.889248000000002</v>
      </c>
      <c r="H337" s="43">
        <f t="shared" si="144"/>
        <v>25.889248000000002</v>
      </c>
      <c r="I337" s="43">
        <f t="shared" si="144"/>
        <v>0</v>
      </c>
      <c r="J337" s="43">
        <f t="shared" si="144"/>
        <v>0</v>
      </c>
      <c r="K337" s="43">
        <f t="shared" si="144"/>
        <v>0</v>
      </c>
      <c r="L337" s="43">
        <f t="shared" si="144"/>
        <v>0</v>
      </c>
      <c r="M337" s="43">
        <f t="shared" si="144"/>
        <v>0</v>
      </c>
      <c r="N337" s="43">
        <f t="shared" si="144"/>
        <v>0</v>
      </c>
    </row>
    <row r="338" spans="1:14" ht="12.75">
      <c r="A338" s="4" t="str">
        <f>A231</f>
        <v>HGS Grading</v>
      </c>
      <c r="B338" s="43">
        <f aca="true" t="shared" si="145" ref="B338:N338">IF(AND(B$335&gt;=$J231,B$335&lt;=$K231),$F231+$F232,0)</f>
        <v>0</v>
      </c>
      <c r="C338" s="43">
        <f t="shared" si="145"/>
        <v>0</v>
      </c>
      <c r="D338" s="43">
        <f t="shared" si="145"/>
        <v>0</v>
      </c>
      <c r="E338" s="43">
        <f t="shared" si="145"/>
        <v>0</v>
      </c>
      <c r="F338" s="43">
        <f t="shared" si="145"/>
        <v>0</v>
      </c>
      <c r="G338" s="43">
        <f t="shared" si="145"/>
        <v>6.58236</v>
      </c>
      <c r="H338" s="43">
        <f t="shared" si="145"/>
        <v>6.58236</v>
      </c>
      <c r="I338" s="43">
        <f t="shared" si="145"/>
        <v>0</v>
      </c>
      <c r="J338" s="43">
        <f t="shared" si="145"/>
        <v>0</v>
      </c>
      <c r="K338" s="43">
        <f t="shared" si="145"/>
        <v>0</v>
      </c>
      <c r="L338" s="43">
        <f t="shared" si="145"/>
        <v>0</v>
      </c>
      <c r="M338" s="43">
        <f t="shared" si="145"/>
        <v>0</v>
      </c>
      <c r="N338" s="43">
        <f t="shared" si="145"/>
        <v>0</v>
      </c>
    </row>
    <row r="339" spans="1:14" ht="12.75">
      <c r="A339" s="4" t="str">
        <f>A233</f>
        <v>HGS Foundations </v>
      </c>
      <c r="B339" s="43">
        <f aca="true" t="shared" si="146" ref="B339:N339">IF(AND(B$335&gt;=$J233,B$335&lt;=$K233),$F233+$F234,0)</f>
        <v>0</v>
      </c>
      <c r="C339" s="43">
        <f t="shared" si="146"/>
        <v>0</v>
      </c>
      <c r="D339" s="43">
        <f t="shared" si="146"/>
        <v>0</v>
      </c>
      <c r="E339" s="43">
        <f t="shared" si="146"/>
        <v>0</v>
      </c>
      <c r="F339" s="43">
        <f t="shared" si="146"/>
        <v>0</v>
      </c>
      <c r="G339" s="43">
        <f t="shared" si="146"/>
        <v>0</v>
      </c>
      <c r="H339" s="43">
        <f t="shared" si="146"/>
        <v>0</v>
      </c>
      <c r="I339" s="43">
        <f t="shared" si="146"/>
        <v>10.816396000000001</v>
      </c>
      <c r="J339" s="43">
        <f t="shared" si="146"/>
        <v>10.816396000000001</v>
      </c>
      <c r="K339" s="43">
        <f t="shared" si="146"/>
        <v>10.816396000000001</v>
      </c>
      <c r="L339" s="43">
        <f t="shared" si="146"/>
        <v>10.816396000000001</v>
      </c>
      <c r="M339" s="43">
        <f t="shared" si="146"/>
        <v>0</v>
      </c>
      <c r="N339" s="43">
        <f t="shared" si="146"/>
        <v>0</v>
      </c>
    </row>
    <row r="340" spans="1:14" ht="12.75">
      <c r="A340" s="4" t="str">
        <f>A235</f>
        <v>HGS Paving</v>
      </c>
      <c r="B340" s="43">
        <f aca="true" t="shared" si="147" ref="B340:N340">IF(AND(B$335&gt;=$J235,B$335&lt;=$K235),$F235+$F236,0)</f>
        <v>0</v>
      </c>
      <c r="C340" s="43">
        <f t="shared" si="147"/>
        <v>0</v>
      </c>
      <c r="D340" s="43">
        <f t="shared" si="147"/>
        <v>0</v>
      </c>
      <c r="E340" s="43">
        <f t="shared" si="147"/>
        <v>0</v>
      </c>
      <c r="F340" s="43">
        <f t="shared" si="147"/>
        <v>0</v>
      </c>
      <c r="G340" s="43">
        <f t="shared" si="147"/>
        <v>0</v>
      </c>
      <c r="H340" s="43">
        <f t="shared" si="147"/>
        <v>0</v>
      </c>
      <c r="I340" s="43">
        <f t="shared" si="147"/>
        <v>5.477168</v>
      </c>
      <c r="J340" s="43">
        <f t="shared" si="147"/>
        <v>5.477168</v>
      </c>
      <c r="K340" s="43">
        <f t="shared" si="147"/>
        <v>5.477168</v>
      </c>
      <c r="L340" s="43">
        <f t="shared" si="147"/>
        <v>5.477168</v>
      </c>
      <c r="M340" s="43">
        <f t="shared" si="147"/>
        <v>0</v>
      </c>
      <c r="N340" s="43">
        <f t="shared" si="147"/>
        <v>0</v>
      </c>
    </row>
    <row r="341" spans="1:14" ht="12.75">
      <c r="A341" s="4" t="str">
        <f>A237</f>
        <v>HGS Equipment Installation</v>
      </c>
      <c r="B341" s="43">
        <f aca="true" t="shared" si="148" ref="B341:N341">IF(AND(B$335&gt;=$J237,B$335&lt;=$K237),$F237+$F238,0)</f>
        <v>0</v>
      </c>
      <c r="C341" s="43">
        <f t="shared" si="148"/>
        <v>0</v>
      </c>
      <c r="D341" s="43">
        <f t="shared" si="148"/>
        <v>0</v>
      </c>
      <c r="E341" s="43">
        <f t="shared" si="148"/>
        <v>0</v>
      </c>
      <c r="F341" s="43">
        <f t="shared" si="148"/>
        <v>0</v>
      </c>
      <c r="G341" s="43">
        <f t="shared" si="148"/>
        <v>0</v>
      </c>
      <c r="H341" s="43">
        <f t="shared" si="148"/>
        <v>0</v>
      </c>
      <c r="I341" s="43">
        <f t="shared" si="148"/>
        <v>0</v>
      </c>
      <c r="J341" s="43">
        <f t="shared" si="148"/>
        <v>0</v>
      </c>
      <c r="K341" s="43">
        <f t="shared" si="148"/>
        <v>0</v>
      </c>
      <c r="L341" s="43">
        <f t="shared" si="148"/>
        <v>0</v>
      </c>
      <c r="M341" s="43">
        <f t="shared" si="148"/>
        <v>24.777976000000006</v>
      </c>
      <c r="N341" s="43">
        <f t="shared" si="148"/>
        <v>24.777976000000006</v>
      </c>
    </row>
    <row r="342" spans="1:14" ht="12.75">
      <c r="A342" s="4" t="str">
        <f>A239</f>
        <v>SGS Slab Demolition</v>
      </c>
      <c r="B342" s="43">
        <f aca="true" t="shared" si="149" ref="B342:N342">IF(AND(B$335&gt;=$J239,B$335&lt;=$K239),$F239+$F240,0)</f>
        <v>4.695888</v>
      </c>
      <c r="C342" s="43">
        <f t="shared" si="149"/>
        <v>4.695888</v>
      </c>
      <c r="D342" s="43">
        <f t="shared" si="149"/>
        <v>0</v>
      </c>
      <c r="E342" s="43">
        <f t="shared" si="149"/>
        <v>0</v>
      </c>
      <c r="F342" s="43">
        <f t="shared" si="149"/>
        <v>0</v>
      </c>
      <c r="G342" s="43">
        <f t="shared" si="149"/>
        <v>0</v>
      </c>
      <c r="H342" s="43">
        <f t="shared" si="149"/>
        <v>0</v>
      </c>
      <c r="I342" s="43">
        <f t="shared" si="149"/>
        <v>0</v>
      </c>
      <c r="J342" s="43">
        <f t="shared" si="149"/>
        <v>0</v>
      </c>
      <c r="K342" s="43">
        <f t="shared" si="149"/>
        <v>0</v>
      </c>
      <c r="L342" s="43">
        <f t="shared" si="149"/>
        <v>0</v>
      </c>
      <c r="M342" s="43">
        <f t="shared" si="149"/>
        <v>0</v>
      </c>
      <c r="N342" s="43">
        <f t="shared" si="149"/>
        <v>0</v>
      </c>
    </row>
    <row r="343" spans="1:14" ht="12.75">
      <c r="A343" s="4" t="str">
        <f>A241</f>
        <v>SGS Grading</v>
      </c>
      <c r="B343" s="43">
        <f aca="true" t="shared" si="150" ref="B343:N343">IF(AND(B$335&gt;=$J241,B$335&lt;=$K241),$F241+$F242,0)</f>
        <v>0</v>
      </c>
      <c r="C343" s="43">
        <f t="shared" si="150"/>
        <v>0</v>
      </c>
      <c r="D343" s="43">
        <f t="shared" si="150"/>
        <v>0</v>
      </c>
      <c r="E343" s="43">
        <f t="shared" si="150"/>
        <v>0</v>
      </c>
      <c r="F343" s="43">
        <f t="shared" si="150"/>
        <v>0</v>
      </c>
      <c r="G343" s="43">
        <f t="shared" si="150"/>
        <v>3.698616</v>
      </c>
      <c r="H343" s="43">
        <f t="shared" si="150"/>
        <v>3.698616</v>
      </c>
      <c r="I343" s="43">
        <f t="shared" si="150"/>
        <v>0</v>
      </c>
      <c r="J343" s="43">
        <f t="shared" si="150"/>
        <v>0</v>
      </c>
      <c r="K343" s="43">
        <f t="shared" si="150"/>
        <v>0</v>
      </c>
      <c r="L343" s="43">
        <f t="shared" si="150"/>
        <v>0</v>
      </c>
      <c r="M343" s="43">
        <f t="shared" si="150"/>
        <v>0</v>
      </c>
      <c r="N343" s="43">
        <f t="shared" si="150"/>
        <v>0</v>
      </c>
    </row>
    <row r="344" spans="1:14" ht="12.75">
      <c r="A344" s="4" t="str">
        <f>A243</f>
        <v>SGS Foundations </v>
      </c>
      <c r="B344" s="43">
        <f aca="true" t="shared" si="151" ref="B344:N344">IF(AND(B$335&gt;=$J243,B$335&lt;=$K243),$F243+$F244,0)</f>
        <v>0</v>
      </c>
      <c r="C344" s="43">
        <f t="shared" si="151"/>
        <v>0</v>
      </c>
      <c r="D344" s="43">
        <f t="shared" si="151"/>
        <v>0</v>
      </c>
      <c r="E344" s="43">
        <f t="shared" si="151"/>
        <v>0</v>
      </c>
      <c r="F344" s="43">
        <f t="shared" si="151"/>
        <v>0</v>
      </c>
      <c r="G344" s="43">
        <f t="shared" si="151"/>
        <v>0</v>
      </c>
      <c r="H344" s="43">
        <f t="shared" si="151"/>
        <v>0</v>
      </c>
      <c r="I344" s="43">
        <f t="shared" si="151"/>
        <v>1.595012</v>
      </c>
      <c r="J344" s="43">
        <f t="shared" si="151"/>
        <v>1.595012</v>
      </c>
      <c r="K344" s="43">
        <f t="shared" si="151"/>
        <v>1.595012</v>
      </c>
      <c r="L344" s="43">
        <f t="shared" si="151"/>
        <v>1.595012</v>
      </c>
      <c r="M344" s="43">
        <f t="shared" si="151"/>
        <v>0</v>
      </c>
      <c r="N344" s="43">
        <f t="shared" si="151"/>
        <v>0</v>
      </c>
    </row>
    <row r="345" spans="1:14" ht="12.75">
      <c r="A345" s="4" t="str">
        <f>A245</f>
        <v>SGS Paving</v>
      </c>
      <c r="B345" s="43">
        <f aca="true" t="shared" si="152" ref="B345:N345">IF(AND(B$335&gt;=$J245,B$335&lt;=$K245),$F245+$F246,0)</f>
        <v>0</v>
      </c>
      <c r="C345" s="43">
        <f t="shared" si="152"/>
        <v>0</v>
      </c>
      <c r="D345" s="43">
        <f t="shared" si="152"/>
        <v>0</v>
      </c>
      <c r="E345" s="43">
        <f t="shared" si="152"/>
        <v>0</v>
      </c>
      <c r="F345" s="43">
        <f t="shared" si="152"/>
        <v>0</v>
      </c>
      <c r="G345" s="43">
        <f t="shared" si="152"/>
        <v>0</v>
      </c>
      <c r="H345" s="43">
        <f t="shared" si="152"/>
        <v>0</v>
      </c>
      <c r="I345" s="43">
        <f t="shared" si="152"/>
        <v>2.5934239999999997</v>
      </c>
      <c r="J345" s="43">
        <f t="shared" si="152"/>
        <v>2.5934239999999997</v>
      </c>
      <c r="K345" s="43">
        <f t="shared" si="152"/>
        <v>2.5934239999999997</v>
      </c>
      <c r="L345" s="43">
        <f t="shared" si="152"/>
        <v>2.5934239999999997</v>
      </c>
      <c r="M345" s="43">
        <f t="shared" si="152"/>
        <v>0</v>
      </c>
      <c r="N345" s="43">
        <f t="shared" si="152"/>
        <v>0</v>
      </c>
    </row>
    <row r="346" spans="1:14" ht="12.75">
      <c r="A346" s="4" t="str">
        <f>A247</f>
        <v>SGS Equipment Installation</v>
      </c>
      <c r="B346" s="43">
        <f aca="true" t="shared" si="153" ref="B346:N346">IF(AND(B$335&gt;=$J247,B$335&lt;=$K247),$F247+$F248,0)</f>
        <v>0</v>
      </c>
      <c r="C346" s="43">
        <f t="shared" si="153"/>
        <v>0</v>
      </c>
      <c r="D346" s="43">
        <f t="shared" si="153"/>
        <v>0</v>
      </c>
      <c r="E346" s="43">
        <f t="shared" si="153"/>
        <v>0</v>
      </c>
      <c r="F346" s="43">
        <f t="shared" si="153"/>
        <v>0</v>
      </c>
      <c r="G346" s="43">
        <f t="shared" si="153"/>
        <v>0</v>
      </c>
      <c r="H346" s="43">
        <f t="shared" si="153"/>
        <v>0</v>
      </c>
      <c r="I346" s="43">
        <f t="shared" si="153"/>
        <v>0</v>
      </c>
      <c r="J346" s="43">
        <f t="shared" si="153"/>
        <v>0</v>
      </c>
      <c r="K346" s="43">
        <f t="shared" si="153"/>
        <v>0</v>
      </c>
      <c r="L346" s="43">
        <f t="shared" si="153"/>
        <v>0</v>
      </c>
      <c r="M346" s="43">
        <f t="shared" si="153"/>
        <v>9.846864</v>
      </c>
      <c r="N346" s="43">
        <f t="shared" si="153"/>
        <v>9.846864</v>
      </c>
    </row>
    <row r="347" spans="1:14" ht="12.75">
      <c r="A347" s="4" t="str">
        <f>A249</f>
        <v>VGS Demolition</v>
      </c>
      <c r="B347" s="43">
        <f aca="true" t="shared" si="154" ref="B347:N347">IF(AND(B$335&gt;=$J249,B$335&lt;=$K249),$F249+$F250,0)</f>
        <v>11.984622399999997</v>
      </c>
      <c r="C347" s="43">
        <f t="shared" si="154"/>
        <v>11.984622399999997</v>
      </c>
      <c r="D347" s="43">
        <f t="shared" si="154"/>
        <v>0</v>
      </c>
      <c r="E347" s="43">
        <f t="shared" si="154"/>
        <v>0</v>
      </c>
      <c r="F347" s="43">
        <f t="shared" si="154"/>
        <v>0</v>
      </c>
      <c r="G347" s="43">
        <f t="shared" si="154"/>
        <v>0</v>
      </c>
      <c r="H347" s="43">
        <f t="shared" si="154"/>
        <v>0</v>
      </c>
      <c r="I347" s="43">
        <f t="shared" si="154"/>
        <v>0</v>
      </c>
      <c r="J347" s="43">
        <f t="shared" si="154"/>
        <v>0</v>
      </c>
      <c r="K347" s="43">
        <f t="shared" si="154"/>
        <v>0</v>
      </c>
      <c r="L347" s="43">
        <f t="shared" si="154"/>
        <v>0</v>
      </c>
      <c r="M347" s="43">
        <f t="shared" si="154"/>
        <v>0</v>
      </c>
      <c r="N347" s="43">
        <f t="shared" si="154"/>
        <v>0</v>
      </c>
    </row>
    <row r="348" spans="1:14" ht="12.75">
      <c r="A348" s="4" t="str">
        <f>A251</f>
        <v>VGS Grading</v>
      </c>
      <c r="B348" s="43">
        <f aca="true" t="shared" si="155" ref="B348:N348">IF(AND(B$335&gt;=$J251,B$335&lt;=$K251),$F251+$F252,0)</f>
        <v>0</v>
      </c>
      <c r="C348" s="43">
        <f t="shared" si="155"/>
        <v>0</v>
      </c>
      <c r="D348" s="43">
        <f t="shared" si="155"/>
        <v>3.698616</v>
      </c>
      <c r="E348" s="43">
        <f t="shared" si="155"/>
        <v>3.698616</v>
      </c>
      <c r="F348" s="43">
        <f t="shared" si="155"/>
        <v>0</v>
      </c>
      <c r="G348" s="43">
        <f t="shared" si="155"/>
        <v>0</v>
      </c>
      <c r="H348" s="43">
        <f t="shared" si="155"/>
        <v>0</v>
      </c>
      <c r="I348" s="43">
        <f t="shared" si="155"/>
        <v>0</v>
      </c>
      <c r="J348" s="43">
        <f t="shared" si="155"/>
        <v>0</v>
      </c>
      <c r="K348" s="43">
        <f t="shared" si="155"/>
        <v>0</v>
      </c>
      <c r="L348" s="43">
        <f t="shared" si="155"/>
        <v>0</v>
      </c>
      <c r="M348" s="43">
        <f t="shared" si="155"/>
        <v>0</v>
      </c>
      <c r="N348" s="43">
        <f t="shared" si="155"/>
        <v>0</v>
      </c>
    </row>
    <row r="349" spans="1:14" ht="12.75">
      <c r="A349" s="4" t="str">
        <f>A253</f>
        <v>VGS Foundations </v>
      </c>
      <c r="B349" s="43">
        <f aca="true" t="shared" si="156" ref="B349:N349">IF(AND(B$335&gt;=$J253,B$335&lt;=$K253),$F253+$F254,0)</f>
        <v>0</v>
      </c>
      <c r="C349" s="43">
        <f t="shared" si="156"/>
        <v>0</v>
      </c>
      <c r="D349" s="43">
        <f t="shared" si="156"/>
        <v>0</v>
      </c>
      <c r="E349" s="43">
        <f t="shared" si="156"/>
        <v>0</v>
      </c>
      <c r="F349" s="43">
        <f t="shared" si="156"/>
        <v>2.2287760000000003</v>
      </c>
      <c r="G349" s="43">
        <f t="shared" si="156"/>
        <v>2.2287760000000003</v>
      </c>
      <c r="H349" s="43">
        <f t="shared" si="156"/>
        <v>2.2287760000000003</v>
      </c>
      <c r="I349" s="43">
        <f t="shared" si="156"/>
        <v>2.2287760000000003</v>
      </c>
      <c r="J349" s="43">
        <f t="shared" si="156"/>
        <v>2.2287760000000003</v>
      </c>
      <c r="K349" s="43">
        <f t="shared" si="156"/>
        <v>0</v>
      </c>
      <c r="L349" s="43">
        <f t="shared" si="156"/>
        <v>0</v>
      </c>
      <c r="M349" s="43">
        <f t="shared" si="156"/>
        <v>0</v>
      </c>
      <c r="N349" s="43">
        <f t="shared" si="156"/>
        <v>0</v>
      </c>
    </row>
    <row r="350" spans="1:14" ht="12.75">
      <c r="A350" s="4" t="str">
        <f>A255</f>
        <v>VGS Paving</v>
      </c>
      <c r="B350" s="43">
        <f aca="true" t="shared" si="157" ref="B350:N350">IF(AND(B$335&gt;=$J255,B$335&lt;=$K255),$F255+$F256,0)</f>
        <v>0</v>
      </c>
      <c r="C350" s="43">
        <f t="shared" si="157"/>
        <v>0</v>
      </c>
      <c r="D350" s="43">
        <f t="shared" si="157"/>
        <v>0</v>
      </c>
      <c r="E350" s="43">
        <f t="shared" si="157"/>
        <v>0</v>
      </c>
      <c r="F350" s="43">
        <f t="shared" si="157"/>
        <v>0</v>
      </c>
      <c r="G350" s="43">
        <f t="shared" si="157"/>
        <v>0</v>
      </c>
      <c r="H350" s="43">
        <f t="shared" si="157"/>
        <v>0</v>
      </c>
      <c r="I350" s="43">
        <f t="shared" si="157"/>
        <v>2.5934239999999997</v>
      </c>
      <c r="J350" s="43">
        <f t="shared" si="157"/>
        <v>2.5934239999999997</v>
      </c>
      <c r="K350" s="43">
        <f t="shared" si="157"/>
        <v>2.5934239999999997</v>
      </c>
      <c r="L350" s="43">
        <f t="shared" si="157"/>
        <v>0</v>
      </c>
      <c r="M350" s="43">
        <f t="shared" si="157"/>
        <v>0</v>
      </c>
      <c r="N350" s="43">
        <f t="shared" si="157"/>
        <v>0</v>
      </c>
    </row>
    <row r="351" spans="1:14" ht="12.75">
      <c r="A351" s="4" t="str">
        <f>A257</f>
        <v>VGS Equipment Installation</v>
      </c>
      <c r="B351" s="43">
        <f aca="true" t="shared" si="158" ref="B351:N351">IF(AND(B$335&gt;=$J257,B$335&lt;=$K257),$F257+$F258,0)</f>
        <v>0</v>
      </c>
      <c r="C351" s="43">
        <f t="shared" si="158"/>
        <v>0</v>
      </c>
      <c r="D351" s="43">
        <f t="shared" si="158"/>
        <v>0</v>
      </c>
      <c r="E351" s="43">
        <f t="shared" si="158"/>
        <v>0</v>
      </c>
      <c r="F351" s="43">
        <f t="shared" si="158"/>
        <v>0</v>
      </c>
      <c r="G351" s="43">
        <f t="shared" si="158"/>
        <v>0</v>
      </c>
      <c r="H351" s="43">
        <f t="shared" si="158"/>
        <v>0</v>
      </c>
      <c r="I351" s="43">
        <f t="shared" si="158"/>
        <v>0</v>
      </c>
      <c r="J351" s="43">
        <f t="shared" si="158"/>
        <v>0</v>
      </c>
      <c r="K351" s="43">
        <f t="shared" si="158"/>
        <v>0</v>
      </c>
      <c r="L351" s="43">
        <f t="shared" si="158"/>
        <v>0</v>
      </c>
      <c r="M351" s="43">
        <f t="shared" si="158"/>
        <v>10.449848000000001</v>
      </c>
      <c r="N351" s="43">
        <f t="shared" si="158"/>
        <v>10.449848000000001</v>
      </c>
    </row>
    <row r="352" spans="1:14" ht="12.75">
      <c r="A352" s="15" t="s">
        <v>24</v>
      </c>
      <c r="B352" s="44">
        <f aca="true" t="shared" si="159" ref="B352:N352">SUM(B336:B351)</f>
        <v>35.9844192</v>
      </c>
      <c r="C352" s="44">
        <f t="shared" si="159"/>
        <v>35.9844192</v>
      </c>
      <c r="D352" s="44">
        <f t="shared" si="159"/>
        <v>29.587864000000003</v>
      </c>
      <c r="E352" s="44">
        <f t="shared" si="159"/>
        <v>29.587864000000003</v>
      </c>
      <c r="F352" s="44">
        <f t="shared" si="159"/>
        <v>28.118024000000002</v>
      </c>
      <c r="G352" s="44">
        <f t="shared" si="159"/>
        <v>38.39900000000001</v>
      </c>
      <c r="H352" s="44">
        <f t="shared" si="159"/>
        <v>38.39900000000001</v>
      </c>
      <c r="I352" s="44">
        <f t="shared" si="159"/>
        <v>25.304199999999998</v>
      </c>
      <c r="J352" s="44">
        <f t="shared" si="159"/>
        <v>25.304199999999998</v>
      </c>
      <c r="K352" s="44">
        <f t="shared" si="159"/>
        <v>23.075423999999998</v>
      </c>
      <c r="L352" s="44">
        <f t="shared" si="159"/>
        <v>20.482</v>
      </c>
      <c r="M352" s="44">
        <f t="shared" si="159"/>
        <v>45.07468800000001</v>
      </c>
      <c r="N352" s="44">
        <f t="shared" si="159"/>
        <v>45.07468800000001</v>
      </c>
    </row>
    <row r="353" spans="1:14" ht="12.75">
      <c r="A353" s="39" t="s">
        <v>132</v>
      </c>
      <c r="B353" s="48"/>
      <c r="C353" s="49"/>
      <c r="D353" s="49"/>
      <c r="E353" s="49"/>
      <c r="F353" s="49"/>
      <c r="G353" s="49"/>
      <c r="H353" s="49"/>
      <c r="I353" s="49"/>
      <c r="J353" s="49"/>
      <c r="K353" s="49"/>
      <c r="L353" s="47"/>
      <c r="M353" s="47"/>
      <c r="N353" s="47"/>
    </row>
    <row r="354" spans="1:14" ht="12.75">
      <c r="A354" s="62" t="s">
        <v>276</v>
      </c>
      <c r="B354" s="48"/>
      <c r="C354" s="49"/>
      <c r="D354" s="49"/>
      <c r="E354" s="49"/>
      <c r="F354" s="49"/>
      <c r="G354" s="49"/>
      <c r="H354" s="49"/>
      <c r="I354" s="49"/>
      <c r="J354" s="49"/>
      <c r="K354" s="49"/>
      <c r="L354" s="47"/>
      <c r="M354" s="47"/>
      <c r="N354" s="47"/>
    </row>
    <row r="355" spans="1:11" ht="12.75">
      <c r="A355" s="29"/>
      <c r="B355" s="48"/>
      <c r="C355" s="49"/>
      <c r="D355" s="49"/>
      <c r="E355" s="49"/>
      <c r="F355" s="49"/>
      <c r="G355" s="49"/>
      <c r="H355" s="49"/>
      <c r="I355" s="49"/>
      <c r="J355" s="49"/>
      <c r="K355" s="49"/>
    </row>
    <row r="356" spans="1:11" ht="12.75">
      <c r="A356" s="29"/>
      <c r="B356" s="48"/>
      <c r="C356" s="49"/>
      <c r="D356" s="49"/>
      <c r="E356" s="49"/>
      <c r="F356" s="49"/>
      <c r="G356" s="49"/>
      <c r="H356" s="49"/>
      <c r="I356" s="49"/>
      <c r="J356" s="49"/>
      <c r="K356" s="49"/>
    </row>
    <row r="357" spans="1:14" ht="12.75">
      <c r="A357" s="86" t="s">
        <v>322</v>
      </c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</row>
    <row r="358" spans="1:14" ht="15">
      <c r="A358" s="85" t="s">
        <v>328</v>
      </c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</row>
    <row r="359" spans="1:14" ht="12.75">
      <c r="A359" s="37" t="s">
        <v>87</v>
      </c>
      <c r="B359" s="69">
        <v>1</v>
      </c>
      <c r="C359" s="69">
        <v>10</v>
      </c>
      <c r="D359" s="69">
        <v>11</v>
      </c>
      <c r="E359" s="69">
        <v>15</v>
      </c>
      <c r="F359" s="69">
        <v>16</v>
      </c>
      <c r="G359" s="69">
        <v>18</v>
      </c>
      <c r="H359" s="69">
        <v>20</v>
      </c>
      <c r="I359" s="69">
        <v>21</v>
      </c>
      <c r="J359" s="69">
        <v>22</v>
      </c>
      <c r="K359" s="69">
        <v>25</v>
      </c>
      <c r="L359" s="69">
        <v>28</v>
      </c>
      <c r="M359" s="69">
        <v>29</v>
      </c>
      <c r="N359" s="69">
        <v>150</v>
      </c>
    </row>
    <row r="360" spans="1:14" ht="12.75">
      <c r="A360" s="4" t="str">
        <f>A227</f>
        <v>HGS Tank Demolition</v>
      </c>
      <c r="B360" s="43">
        <f aca="true" t="shared" si="160" ref="B360:N360">IF(AND(B$359&gt;=$J227,B$359&lt;=$K227),$I227+$I228,0)</f>
        <v>97.78695268200377</v>
      </c>
      <c r="C360" s="43">
        <f t="shared" si="160"/>
        <v>97.78695268200377</v>
      </c>
      <c r="D360" s="43">
        <f t="shared" si="160"/>
        <v>0</v>
      </c>
      <c r="E360" s="43">
        <f t="shared" si="160"/>
        <v>0</v>
      </c>
      <c r="F360" s="43">
        <f t="shared" si="160"/>
        <v>0</v>
      </c>
      <c r="G360" s="43">
        <f t="shared" si="160"/>
        <v>0</v>
      </c>
      <c r="H360" s="43">
        <f t="shared" si="160"/>
        <v>0</v>
      </c>
      <c r="I360" s="43">
        <f t="shared" si="160"/>
        <v>0</v>
      </c>
      <c r="J360" s="43">
        <f t="shared" si="160"/>
        <v>0</v>
      </c>
      <c r="K360" s="43">
        <f t="shared" si="160"/>
        <v>0</v>
      </c>
      <c r="L360" s="43">
        <f t="shared" si="160"/>
        <v>0</v>
      </c>
      <c r="M360" s="43">
        <f t="shared" si="160"/>
        <v>0</v>
      </c>
      <c r="N360" s="43">
        <f t="shared" si="160"/>
        <v>0</v>
      </c>
    </row>
    <row r="361" spans="1:14" ht="12.75">
      <c r="A361" s="4" t="str">
        <f>A229</f>
        <v>HGS Backfill</v>
      </c>
      <c r="B361" s="43">
        <f aca="true" t="shared" si="161" ref="B361:N361">IF(AND(B$359&gt;=$J229,B$359&lt;=$K229),$I229+$I230,0)</f>
        <v>0</v>
      </c>
      <c r="C361" s="43">
        <f t="shared" si="161"/>
        <v>0</v>
      </c>
      <c r="D361" s="43">
        <f t="shared" si="161"/>
        <v>227.97289616407107</v>
      </c>
      <c r="E361" s="43">
        <f t="shared" si="161"/>
        <v>227.97289616407107</v>
      </c>
      <c r="F361" s="43">
        <f t="shared" si="161"/>
        <v>227.97289616407107</v>
      </c>
      <c r="G361" s="43">
        <f t="shared" si="161"/>
        <v>227.97289616407107</v>
      </c>
      <c r="H361" s="43">
        <f t="shared" si="161"/>
        <v>227.97289616407107</v>
      </c>
      <c r="I361" s="43">
        <f t="shared" si="161"/>
        <v>0</v>
      </c>
      <c r="J361" s="43">
        <f t="shared" si="161"/>
        <v>0</v>
      </c>
      <c r="K361" s="43">
        <f t="shared" si="161"/>
        <v>0</v>
      </c>
      <c r="L361" s="43">
        <f t="shared" si="161"/>
        <v>0</v>
      </c>
      <c r="M361" s="43">
        <f t="shared" si="161"/>
        <v>0</v>
      </c>
      <c r="N361" s="43">
        <f t="shared" si="161"/>
        <v>0</v>
      </c>
    </row>
    <row r="362" spans="1:14" ht="12.75">
      <c r="A362" s="4" t="str">
        <f>A231</f>
        <v>HGS Grading</v>
      </c>
      <c r="B362" s="43">
        <f aca="true" t="shared" si="162" ref="B362:N362">IF(AND(B$359&gt;=$J231,B$359&lt;=$K231),$I231+$I232,0)</f>
        <v>0</v>
      </c>
      <c r="C362" s="43">
        <f t="shared" si="162"/>
        <v>0</v>
      </c>
      <c r="D362" s="43">
        <f t="shared" si="162"/>
        <v>0</v>
      </c>
      <c r="E362" s="43">
        <f t="shared" si="162"/>
        <v>0</v>
      </c>
      <c r="F362" s="43">
        <f t="shared" si="162"/>
        <v>0</v>
      </c>
      <c r="G362" s="43">
        <f t="shared" si="162"/>
        <v>6.686364355303537</v>
      </c>
      <c r="H362" s="43">
        <f t="shared" si="162"/>
        <v>6.686364355303537</v>
      </c>
      <c r="I362" s="43">
        <f t="shared" si="162"/>
        <v>0</v>
      </c>
      <c r="J362" s="43">
        <f t="shared" si="162"/>
        <v>0</v>
      </c>
      <c r="K362" s="43">
        <f t="shared" si="162"/>
        <v>0</v>
      </c>
      <c r="L362" s="43">
        <f t="shared" si="162"/>
        <v>0</v>
      </c>
      <c r="M362" s="43">
        <f t="shared" si="162"/>
        <v>0</v>
      </c>
      <c r="N362" s="43">
        <f t="shared" si="162"/>
        <v>0</v>
      </c>
    </row>
    <row r="363" spans="1:14" ht="12.75">
      <c r="A363" s="4" t="str">
        <f>A233</f>
        <v>HGS Foundations </v>
      </c>
      <c r="B363" s="43">
        <f aca="true" t="shared" si="163" ref="B363:N363">IF(AND(B$359&gt;=$J233,B$359&lt;=$K233),$I233+$I234,0)</f>
        <v>0</v>
      </c>
      <c r="C363" s="43">
        <f t="shared" si="163"/>
        <v>0</v>
      </c>
      <c r="D363" s="43">
        <f t="shared" si="163"/>
        <v>0</v>
      </c>
      <c r="E363" s="43">
        <f t="shared" si="163"/>
        <v>0</v>
      </c>
      <c r="F363" s="43">
        <f t="shared" si="163"/>
        <v>0</v>
      </c>
      <c r="G363" s="43">
        <f t="shared" si="163"/>
        <v>0</v>
      </c>
      <c r="H363" s="43">
        <f t="shared" si="163"/>
        <v>0</v>
      </c>
      <c r="I363" s="43">
        <f t="shared" si="163"/>
        <v>134.0102750679946</v>
      </c>
      <c r="J363" s="43">
        <f t="shared" si="163"/>
        <v>134.0102750679946</v>
      </c>
      <c r="K363" s="43">
        <f t="shared" si="163"/>
        <v>134.0102750679946</v>
      </c>
      <c r="L363" s="43">
        <f t="shared" si="163"/>
        <v>134.0102750679946</v>
      </c>
      <c r="M363" s="43">
        <f t="shared" si="163"/>
        <v>0</v>
      </c>
      <c r="N363" s="43">
        <f t="shared" si="163"/>
        <v>0</v>
      </c>
    </row>
    <row r="364" spans="1:14" ht="12.75">
      <c r="A364" s="4" t="str">
        <f>A235</f>
        <v>HGS Paving</v>
      </c>
      <c r="B364" s="43">
        <f aca="true" t="shared" si="164" ref="B364:N364">IF(AND(B$359&gt;=$J235,B$359&lt;=$K235),$I235+$I236,0)</f>
        <v>0</v>
      </c>
      <c r="C364" s="43">
        <f t="shared" si="164"/>
        <v>0</v>
      </c>
      <c r="D364" s="43">
        <f t="shared" si="164"/>
        <v>0</v>
      </c>
      <c r="E364" s="43">
        <f t="shared" si="164"/>
        <v>0</v>
      </c>
      <c r="F364" s="43">
        <f t="shared" si="164"/>
        <v>0</v>
      </c>
      <c r="G364" s="43">
        <f t="shared" si="164"/>
        <v>0</v>
      </c>
      <c r="H364" s="43">
        <f t="shared" si="164"/>
        <v>0</v>
      </c>
      <c r="I364" s="43">
        <f t="shared" si="164"/>
        <v>58.43200475041253</v>
      </c>
      <c r="J364" s="43">
        <f t="shared" si="164"/>
        <v>58.43200475041253</v>
      </c>
      <c r="K364" s="43">
        <f t="shared" si="164"/>
        <v>58.43200475041253</v>
      </c>
      <c r="L364" s="43">
        <f t="shared" si="164"/>
        <v>58.43200475041253</v>
      </c>
      <c r="M364" s="43">
        <f t="shared" si="164"/>
        <v>0</v>
      </c>
      <c r="N364" s="43">
        <f t="shared" si="164"/>
        <v>0</v>
      </c>
    </row>
    <row r="365" spans="1:14" ht="12.75">
      <c r="A365" s="4" t="str">
        <f>A237</f>
        <v>HGS Equipment Installation</v>
      </c>
      <c r="B365" s="43">
        <f aca="true" t="shared" si="165" ref="B365:N365">IF(AND(B$359&gt;=$J237,B$359&lt;=$K237),$I237+$I238,0)</f>
        <v>0</v>
      </c>
      <c r="C365" s="43">
        <f t="shared" si="165"/>
        <v>0</v>
      </c>
      <c r="D365" s="43">
        <f t="shared" si="165"/>
        <v>0</v>
      </c>
      <c r="E365" s="43">
        <f t="shared" si="165"/>
        <v>0</v>
      </c>
      <c r="F365" s="43">
        <f t="shared" si="165"/>
        <v>0</v>
      </c>
      <c r="G365" s="43">
        <f t="shared" si="165"/>
        <v>0</v>
      </c>
      <c r="H365" s="43">
        <f t="shared" si="165"/>
        <v>0</v>
      </c>
      <c r="I365" s="43">
        <f t="shared" si="165"/>
        <v>0</v>
      </c>
      <c r="J365" s="43">
        <f t="shared" si="165"/>
        <v>0</v>
      </c>
      <c r="K365" s="43">
        <f t="shared" si="165"/>
        <v>0</v>
      </c>
      <c r="L365" s="43">
        <f t="shared" si="165"/>
        <v>0</v>
      </c>
      <c r="M365" s="43">
        <f t="shared" si="165"/>
        <v>76.08963660728756</v>
      </c>
      <c r="N365" s="43">
        <f t="shared" si="165"/>
        <v>76.08963660728756</v>
      </c>
    </row>
    <row r="366" spans="1:14" ht="12.75">
      <c r="A366" s="4" t="str">
        <f>A239</f>
        <v>SGS Slab Demolition</v>
      </c>
      <c r="B366" s="43">
        <f aca="true" t="shared" si="166" ref="B366:N366">IF(AND(B$359&gt;=$J239,B$359&lt;=$K239),$I239+$I240,0)</f>
        <v>51.00451039386885</v>
      </c>
      <c r="C366" s="43">
        <f t="shared" si="166"/>
        <v>51.00451039386885</v>
      </c>
      <c r="D366" s="43">
        <f t="shared" si="166"/>
        <v>0</v>
      </c>
      <c r="E366" s="43">
        <f t="shared" si="166"/>
        <v>0</v>
      </c>
      <c r="F366" s="43">
        <f t="shared" si="166"/>
        <v>0</v>
      </c>
      <c r="G366" s="43">
        <f t="shared" si="166"/>
        <v>0</v>
      </c>
      <c r="H366" s="43">
        <f t="shared" si="166"/>
        <v>0</v>
      </c>
      <c r="I366" s="43">
        <f t="shared" si="166"/>
        <v>0</v>
      </c>
      <c r="J366" s="43">
        <f t="shared" si="166"/>
        <v>0</v>
      </c>
      <c r="K366" s="43">
        <f t="shared" si="166"/>
        <v>0</v>
      </c>
      <c r="L366" s="43">
        <f t="shared" si="166"/>
        <v>0</v>
      </c>
      <c r="M366" s="43">
        <f t="shared" si="166"/>
        <v>0</v>
      </c>
      <c r="N366" s="43">
        <f t="shared" si="166"/>
        <v>0</v>
      </c>
    </row>
    <row r="367" spans="1:14" ht="12.75">
      <c r="A367" s="4" t="str">
        <f>A241</f>
        <v>SGS Grading</v>
      </c>
      <c r="B367" s="43">
        <f aca="true" t="shared" si="167" ref="B367:N367">IF(AND(B$359&gt;=$J241,B$359&lt;=$K241),$I241+$I242,0)</f>
        <v>0</v>
      </c>
      <c r="C367" s="43">
        <f t="shared" si="167"/>
        <v>0</v>
      </c>
      <c r="D367" s="43">
        <f t="shared" si="167"/>
        <v>0</v>
      </c>
      <c r="E367" s="43">
        <f t="shared" si="167"/>
        <v>0</v>
      </c>
      <c r="F367" s="43">
        <f t="shared" si="167"/>
        <v>0</v>
      </c>
      <c r="G367" s="43">
        <f t="shared" si="167"/>
        <v>5.304704652500198</v>
      </c>
      <c r="H367" s="43">
        <f t="shared" si="167"/>
        <v>5.304704652500198</v>
      </c>
      <c r="I367" s="43">
        <f t="shared" si="167"/>
        <v>0</v>
      </c>
      <c r="J367" s="43">
        <f t="shared" si="167"/>
        <v>0</v>
      </c>
      <c r="K367" s="43">
        <f t="shared" si="167"/>
        <v>0</v>
      </c>
      <c r="L367" s="43">
        <f t="shared" si="167"/>
        <v>0</v>
      </c>
      <c r="M367" s="43">
        <f t="shared" si="167"/>
        <v>0</v>
      </c>
      <c r="N367" s="43">
        <f t="shared" si="167"/>
        <v>0</v>
      </c>
    </row>
    <row r="368" spans="1:14" ht="12.75">
      <c r="A368" s="4" t="str">
        <f>A243</f>
        <v>SGS Foundations </v>
      </c>
      <c r="B368" s="43">
        <f aca="true" t="shared" si="168" ref="B368:N368">IF(AND(B$359&gt;=$J243,B$359&lt;=$K243),$I243+$I244,0)</f>
        <v>0</v>
      </c>
      <c r="C368" s="43">
        <f t="shared" si="168"/>
        <v>0</v>
      </c>
      <c r="D368" s="43">
        <f t="shared" si="168"/>
        <v>0</v>
      </c>
      <c r="E368" s="43">
        <f t="shared" si="168"/>
        <v>0</v>
      </c>
      <c r="F368" s="43">
        <f t="shared" si="168"/>
        <v>0</v>
      </c>
      <c r="G368" s="43">
        <f t="shared" si="168"/>
        <v>0</v>
      </c>
      <c r="H368" s="43">
        <f t="shared" si="168"/>
        <v>0</v>
      </c>
      <c r="I368" s="43">
        <f t="shared" si="168"/>
        <v>25.480378363426937</v>
      </c>
      <c r="J368" s="43">
        <f t="shared" si="168"/>
        <v>25.480378363426937</v>
      </c>
      <c r="K368" s="43">
        <f t="shared" si="168"/>
        <v>25.480378363426937</v>
      </c>
      <c r="L368" s="43">
        <f t="shared" si="168"/>
        <v>25.480378363426937</v>
      </c>
      <c r="M368" s="43">
        <f t="shared" si="168"/>
        <v>0</v>
      </c>
      <c r="N368" s="43">
        <f t="shared" si="168"/>
        <v>0</v>
      </c>
    </row>
    <row r="369" spans="1:14" ht="12.75">
      <c r="A369" s="4" t="str">
        <f>A245</f>
        <v>SGS Paving</v>
      </c>
      <c r="B369" s="43">
        <f aca="true" t="shared" si="169" ref="B369:N369">IF(AND(B$359&gt;=$J245,B$359&lt;=$K245),$I245+$I246,0)</f>
        <v>0</v>
      </c>
      <c r="C369" s="43">
        <f t="shared" si="169"/>
        <v>0</v>
      </c>
      <c r="D369" s="43">
        <f t="shared" si="169"/>
        <v>0</v>
      </c>
      <c r="E369" s="43">
        <f t="shared" si="169"/>
        <v>0</v>
      </c>
      <c r="F369" s="43">
        <f t="shared" si="169"/>
        <v>0</v>
      </c>
      <c r="G369" s="43">
        <f t="shared" si="169"/>
        <v>0</v>
      </c>
      <c r="H369" s="43">
        <f t="shared" si="169"/>
        <v>0</v>
      </c>
      <c r="I369" s="43">
        <f t="shared" si="169"/>
        <v>18.290973203778908</v>
      </c>
      <c r="J369" s="43">
        <f t="shared" si="169"/>
        <v>18.290973203778908</v>
      </c>
      <c r="K369" s="43">
        <f t="shared" si="169"/>
        <v>18.290973203778908</v>
      </c>
      <c r="L369" s="43">
        <f t="shared" si="169"/>
        <v>18.290973203778908</v>
      </c>
      <c r="M369" s="43">
        <f t="shared" si="169"/>
        <v>0</v>
      </c>
      <c r="N369" s="43">
        <f t="shared" si="169"/>
        <v>0</v>
      </c>
    </row>
    <row r="370" spans="1:14" ht="12.75">
      <c r="A370" s="4" t="str">
        <f>A247</f>
        <v>SGS Equipment Installation</v>
      </c>
      <c r="B370" s="43">
        <f aca="true" t="shared" si="170" ref="B370:N370">IF(AND(B$359&gt;=$J247,B$359&lt;=$K247),$I247+$I248,0)</f>
        <v>0</v>
      </c>
      <c r="C370" s="43">
        <f t="shared" si="170"/>
        <v>0</v>
      </c>
      <c r="D370" s="43">
        <f t="shared" si="170"/>
        <v>0</v>
      </c>
      <c r="E370" s="43">
        <f t="shared" si="170"/>
        <v>0</v>
      </c>
      <c r="F370" s="43">
        <f t="shared" si="170"/>
        <v>0</v>
      </c>
      <c r="G370" s="43">
        <f t="shared" si="170"/>
        <v>0</v>
      </c>
      <c r="H370" s="43">
        <f t="shared" si="170"/>
        <v>0</v>
      </c>
      <c r="I370" s="43">
        <f t="shared" si="170"/>
        <v>0</v>
      </c>
      <c r="J370" s="43">
        <f t="shared" si="170"/>
        <v>0</v>
      </c>
      <c r="K370" s="43">
        <f t="shared" si="170"/>
        <v>0</v>
      </c>
      <c r="L370" s="43">
        <f t="shared" si="170"/>
        <v>0</v>
      </c>
      <c r="M370" s="43">
        <f t="shared" si="170"/>
        <v>43.8100109282929</v>
      </c>
      <c r="N370" s="43">
        <f t="shared" si="170"/>
        <v>43.8100109282929</v>
      </c>
    </row>
    <row r="371" spans="1:14" ht="12.75">
      <c r="A371" s="4" t="str">
        <f>A249</f>
        <v>VGS Demolition</v>
      </c>
      <c r="B371" s="43">
        <f aca="true" t="shared" si="171" ref="B371:N371">IF(AND(B$359&gt;=$J249,B$359&lt;=$K249),$I249+$I250,0)</f>
        <v>39.52213153074709</v>
      </c>
      <c r="C371" s="43">
        <f t="shared" si="171"/>
        <v>39.52213153074709</v>
      </c>
      <c r="D371" s="43">
        <f t="shared" si="171"/>
        <v>0</v>
      </c>
      <c r="E371" s="43">
        <f t="shared" si="171"/>
        <v>0</v>
      </c>
      <c r="F371" s="43">
        <f t="shared" si="171"/>
        <v>0</v>
      </c>
      <c r="G371" s="43">
        <f t="shared" si="171"/>
        <v>0</v>
      </c>
      <c r="H371" s="43">
        <f t="shared" si="171"/>
        <v>0</v>
      </c>
      <c r="I371" s="43">
        <f t="shared" si="171"/>
        <v>0</v>
      </c>
      <c r="J371" s="43">
        <f t="shared" si="171"/>
        <v>0</v>
      </c>
      <c r="K371" s="43">
        <f t="shared" si="171"/>
        <v>0</v>
      </c>
      <c r="L371" s="43">
        <f t="shared" si="171"/>
        <v>0</v>
      </c>
      <c r="M371" s="43">
        <f t="shared" si="171"/>
        <v>0</v>
      </c>
      <c r="N371" s="43">
        <f t="shared" si="171"/>
        <v>0</v>
      </c>
    </row>
    <row r="372" spans="1:14" ht="12.75">
      <c r="A372" s="4" t="str">
        <f>A251</f>
        <v>VGS Grading</v>
      </c>
      <c r="B372" s="43">
        <f aca="true" t="shared" si="172" ref="B372:N372">IF(AND(B$359&gt;=$J251,B$359&lt;=$K251),$I251+$I252,0)</f>
        <v>0</v>
      </c>
      <c r="C372" s="43">
        <f t="shared" si="172"/>
        <v>0</v>
      </c>
      <c r="D372" s="43">
        <f t="shared" si="172"/>
        <v>4.523556355303537</v>
      </c>
      <c r="E372" s="43">
        <f t="shared" si="172"/>
        <v>4.523556355303537</v>
      </c>
      <c r="F372" s="43">
        <f t="shared" si="172"/>
        <v>0</v>
      </c>
      <c r="G372" s="43">
        <f t="shared" si="172"/>
        <v>0</v>
      </c>
      <c r="H372" s="43">
        <f t="shared" si="172"/>
        <v>0</v>
      </c>
      <c r="I372" s="43">
        <f t="shared" si="172"/>
        <v>0</v>
      </c>
      <c r="J372" s="43">
        <f t="shared" si="172"/>
        <v>0</v>
      </c>
      <c r="K372" s="43">
        <f t="shared" si="172"/>
        <v>0</v>
      </c>
      <c r="L372" s="43">
        <f t="shared" si="172"/>
        <v>0</v>
      </c>
      <c r="M372" s="43">
        <f t="shared" si="172"/>
        <v>0</v>
      </c>
      <c r="N372" s="43">
        <f t="shared" si="172"/>
        <v>0</v>
      </c>
    </row>
    <row r="373" spans="1:14" ht="12.75">
      <c r="A373" s="4" t="str">
        <f>A253</f>
        <v>VGS Foundations </v>
      </c>
      <c r="B373" s="43">
        <f aca="true" t="shared" si="173" ref="B373:N373">IF(AND(B$359&gt;=$J253,B$359&lt;=$K253),$I253+$I254,0)</f>
        <v>0</v>
      </c>
      <c r="C373" s="43">
        <f t="shared" si="173"/>
        <v>0</v>
      </c>
      <c r="D373" s="43">
        <f t="shared" si="173"/>
        <v>0</v>
      </c>
      <c r="E373" s="43">
        <f t="shared" si="173"/>
        <v>0</v>
      </c>
      <c r="F373" s="43">
        <f t="shared" si="173"/>
        <v>71.6738579165405</v>
      </c>
      <c r="G373" s="43">
        <f t="shared" si="173"/>
        <v>71.6738579165405</v>
      </c>
      <c r="H373" s="43">
        <f t="shared" si="173"/>
        <v>71.6738579165405</v>
      </c>
      <c r="I373" s="43">
        <f t="shared" si="173"/>
        <v>71.6738579165405</v>
      </c>
      <c r="J373" s="43">
        <f t="shared" si="173"/>
        <v>71.6738579165405</v>
      </c>
      <c r="K373" s="43">
        <f t="shared" si="173"/>
        <v>0</v>
      </c>
      <c r="L373" s="43">
        <f t="shared" si="173"/>
        <v>0</v>
      </c>
      <c r="M373" s="43">
        <f t="shared" si="173"/>
        <v>0</v>
      </c>
      <c r="N373" s="43">
        <f t="shared" si="173"/>
        <v>0</v>
      </c>
    </row>
    <row r="374" spans="1:14" ht="12.75">
      <c r="A374" s="4" t="str">
        <f>A255</f>
        <v>VGS Paving</v>
      </c>
      <c r="B374" s="43">
        <f aca="true" t="shared" si="174" ref="B374:N374">IF(AND(B$359&gt;=$J255,B$359&lt;=$K255),$I255+$I256,0)</f>
        <v>0</v>
      </c>
      <c r="C374" s="43">
        <f t="shared" si="174"/>
        <v>0</v>
      </c>
      <c r="D374" s="43">
        <f t="shared" si="174"/>
        <v>0</v>
      </c>
      <c r="E374" s="43">
        <f t="shared" si="174"/>
        <v>0</v>
      </c>
      <c r="F374" s="43">
        <f t="shared" si="174"/>
        <v>0</v>
      </c>
      <c r="G374" s="43">
        <f t="shared" si="174"/>
        <v>0</v>
      </c>
      <c r="H374" s="43">
        <f t="shared" si="174"/>
        <v>0</v>
      </c>
      <c r="I374" s="43">
        <f t="shared" si="174"/>
        <v>23.57305388360019</v>
      </c>
      <c r="J374" s="43">
        <f t="shared" si="174"/>
        <v>23.57305388360019</v>
      </c>
      <c r="K374" s="43">
        <f t="shared" si="174"/>
        <v>23.57305388360019</v>
      </c>
      <c r="L374" s="43">
        <f t="shared" si="174"/>
        <v>0</v>
      </c>
      <c r="M374" s="43">
        <f t="shared" si="174"/>
        <v>0</v>
      </c>
      <c r="N374" s="43">
        <f t="shared" si="174"/>
        <v>0</v>
      </c>
    </row>
    <row r="375" spans="1:14" ht="12.75">
      <c r="A375" s="4" t="str">
        <f>A257</f>
        <v>VGS Equipment Installation</v>
      </c>
      <c r="B375" s="43">
        <f aca="true" t="shared" si="175" ref="B375:N375">IF(AND(B$359&gt;=$J257,B$359&lt;=$K257),$I257+$I258,0)</f>
        <v>0</v>
      </c>
      <c r="C375" s="43">
        <f t="shared" si="175"/>
        <v>0</v>
      </c>
      <c r="D375" s="43">
        <f t="shared" si="175"/>
        <v>0</v>
      </c>
      <c r="E375" s="43">
        <f t="shared" si="175"/>
        <v>0</v>
      </c>
      <c r="F375" s="43">
        <f t="shared" si="175"/>
        <v>0</v>
      </c>
      <c r="G375" s="43">
        <f t="shared" si="175"/>
        <v>0</v>
      </c>
      <c r="H375" s="43">
        <f t="shared" si="175"/>
        <v>0</v>
      </c>
      <c r="I375" s="43">
        <f t="shared" si="175"/>
        <v>0</v>
      </c>
      <c r="J375" s="43">
        <f t="shared" si="175"/>
        <v>0</v>
      </c>
      <c r="K375" s="43">
        <f t="shared" si="175"/>
        <v>0</v>
      </c>
      <c r="L375" s="43">
        <f t="shared" si="175"/>
        <v>0</v>
      </c>
      <c r="M375" s="43">
        <f t="shared" si="175"/>
        <v>42.70426631643057</v>
      </c>
      <c r="N375" s="43">
        <f t="shared" si="175"/>
        <v>42.70426631643057</v>
      </c>
    </row>
    <row r="376" spans="1:14" ht="12.75">
      <c r="A376" s="15" t="s">
        <v>24</v>
      </c>
      <c r="B376" s="44">
        <f aca="true" t="shared" si="176" ref="B376:N376">SUM(B360:B375)</f>
        <v>188.31359460661972</v>
      </c>
      <c r="C376" s="44">
        <f t="shared" si="176"/>
        <v>188.31359460661972</v>
      </c>
      <c r="D376" s="44">
        <f t="shared" si="176"/>
        <v>232.4964525193746</v>
      </c>
      <c r="E376" s="44">
        <f t="shared" si="176"/>
        <v>232.4964525193746</v>
      </c>
      <c r="F376" s="44">
        <f t="shared" si="176"/>
        <v>299.6467540806116</v>
      </c>
      <c r="G376" s="44">
        <f t="shared" si="176"/>
        <v>311.6378230884153</v>
      </c>
      <c r="H376" s="44">
        <f t="shared" si="176"/>
        <v>311.6378230884153</v>
      </c>
      <c r="I376" s="44">
        <f t="shared" si="176"/>
        <v>331.46054318575375</v>
      </c>
      <c r="J376" s="44">
        <f t="shared" si="176"/>
        <v>331.46054318575375</v>
      </c>
      <c r="K376" s="44">
        <f t="shared" si="176"/>
        <v>259.7866852692132</v>
      </c>
      <c r="L376" s="44">
        <f t="shared" si="176"/>
        <v>236.213631385613</v>
      </c>
      <c r="M376" s="44">
        <f t="shared" si="176"/>
        <v>162.60391385201103</v>
      </c>
      <c r="N376" s="44">
        <f t="shared" si="176"/>
        <v>162.60391385201103</v>
      </c>
    </row>
    <row r="377" spans="1:14" ht="12.75">
      <c r="A377" s="39" t="s">
        <v>132</v>
      </c>
      <c r="B377" s="48"/>
      <c r="C377" s="49"/>
      <c r="D377" s="49"/>
      <c r="E377" s="49"/>
      <c r="F377" s="49"/>
      <c r="G377" s="49"/>
      <c r="H377" s="49"/>
      <c r="I377" s="49"/>
      <c r="J377" s="49"/>
      <c r="K377" s="49"/>
      <c r="L377" s="47"/>
      <c r="M377" s="47"/>
      <c r="N377" s="47"/>
    </row>
    <row r="378" spans="1:11" ht="12.75">
      <c r="A378" s="62" t="s">
        <v>276</v>
      </c>
      <c r="B378" s="48"/>
      <c r="C378" s="49"/>
      <c r="D378" s="49"/>
      <c r="E378" s="49"/>
      <c r="F378" s="49"/>
      <c r="G378" s="49"/>
      <c r="H378" s="49"/>
      <c r="I378" s="49"/>
      <c r="J378" s="49"/>
      <c r="K378" s="49"/>
    </row>
    <row r="379" spans="1:11" ht="12.75">
      <c r="A379" s="29"/>
      <c r="B379" s="48"/>
      <c r="C379" s="49"/>
      <c r="D379" s="49"/>
      <c r="E379" s="49"/>
      <c r="F379" s="49"/>
      <c r="G379" s="49"/>
      <c r="H379" s="49"/>
      <c r="I379" s="49"/>
      <c r="J379" s="49"/>
      <c r="K379" s="49"/>
    </row>
  </sheetData>
  <sheetProtection/>
  <mergeCells count="28">
    <mergeCell ref="A60:N60"/>
    <mergeCell ref="A59:N59"/>
    <mergeCell ref="A2:H2"/>
    <mergeCell ref="A1:H1"/>
    <mergeCell ref="A23:K23"/>
    <mergeCell ref="A22:K22"/>
    <mergeCell ref="A84:N84"/>
    <mergeCell ref="A83:N83"/>
    <mergeCell ref="A108:N108"/>
    <mergeCell ref="A107:N107"/>
    <mergeCell ref="A132:N132"/>
    <mergeCell ref="A131:N131"/>
    <mergeCell ref="A156:N156"/>
    <mergeCell ref="A155:N155"/>
    <mergeCell ref="A180:H180"/>
    <mergeCell ref="A179:H179"/>
    <mergeCell ref="A225:K225"/>
    <mergeCell ref="A224:K224"/>
    <mergeCell ref="A262:N262"/>
    <mergeCell ref="A261:N261"/>
    <mergeCell ref="A286:N286"/>
    <mergeCell ref="A285:N285"/>
    <mergeCell ref="A358:N358"/>
    <mergeCell ref="A357:N357"/>
    <mergeCell ref="A310:N310"/>
    <mergeCell ref="A309:N309"/>
    <mergeCell ref="A334:N334"/>
    <mergeCell ref="A333:N333"/>
  </mergeCells>
  <printOptions horizontalCentered="1"/>
  <pageMargins left="0.75" right="0.75" top="1" bottom="1" header="0.5" footer="0.5"/>
  <pageSetup fitToHeight="100" orientation="landscape" scale="76" r:id="rId1"/>
  <headerFooter alignWithMargins="0">
    <oddFooter>&amp;R&amp;D</oddFooter>
  </headerFooter>
  <rowBreaks count="9" manualBreakCount="9">
    <brk id="21" max="255" man="1"/>
    <brk id="58" max="255" man="1"/>
    <brk id="106" max="255" man="1"/>
    <brk id="154" max="255" man="1"/>
    <brk id="178" max="255" man="1"/>
    <brk id="223" max="255" man="1"/>
    <brk id="260" max="255" man="1"/>
    <brk id="308" max="255" man="1"/>
    <brk id="35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2"/>
  <dimension ref="A1:N117"/>
  <sheetViews>
    <sheetView zoomScalePageLayoutView="0" workbookViewId="0" topLeftCell="B3">
      <selection activeCell="L15" sqref="L15:L17"/>
    </sheetView>
  </sheetViews>
  <sheetFormatPr defaultColWidth="9.140625" defaultRowHeight="12.75"/>
  <cols>
    <col min="1" max="1" width="37.57421875" style="0" bestFit="1" customWidth="1"/>
    <col min="2" max="2" width="8.7109375" style="0" customWidth="1"/>
    <col min="3" max="3" width="10.140625" style="0" customWidth="1"/>
    <col min="4" max="4" width="9.8515625" style="0" customWidth="1"/>
    <col min="6" max="6" width="10.00390625" style="0" customWidth="1"/>
    <col min="13" max="14" width="0" style="0" hidden="1" customWidth="1"/>
  </cols>
  <sheetData>
    <row r="1" ht="12.75" hidden="1">
      <c r="A1" s="17" t="s">
        <v>329</v>
      </c>
    </row>
    <row r="2" ht="12.75" hidden="1">
      <c r="A2" s="52">
        <v>32</v>
      </c>
    </row>
    <row r="3" spans="1:12" ht="12.75">
      <c r="A3" s="87" t="str">
        <f>"Table "&amp;A$2&amp;"-A"</f>
        <v>Table 32-A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Alternative B HGS Foundations 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>
        <v>11</v>
      </c>
      <c r="C15" s="2">
        <v>16</v>
      </c>
      <c r="D15" s="2">
        <f>B15*C15</f>
        <v>176</v>
      </c>
      <c r="E15" s="2" t="s">
        <v>84</v>
      </c>
      <c r="F15" s="2" t="str">
        <f>IF(E15&lt;&gt;"N/A",B15*E15,"N/A")</f>
        <v>N/A</v>
      </c>
      <c r="G15" s="42">
        <f>$D15*VLOOKUP($A15,'Const. Equip. Emission Factors'!$A$5:$N$25,10,FALSE)</f>
        <v>155.49599999999998</v>
      </c>
      <c r="H15" s="42">
        <f>$D15*VLOOKUP($A15,'Const. Equip. Emission Factors'!$A$5:$N$25,11,FALSE)</f>
        <v>6.82</v>
      </c>
      <c r="I15" s="42">
        <f>$D15*VLOOKUP($A15,'Const. Equip. Emission Factors'!$A$5:$N$25,12,FALSE)</f>
        <v>3.0008</v>
      </c>
      <c r="J15" s="42">
        <f>$D15*VLOOKUP($A15,'Const. Equip. Emission Factors'!$A$5:$N$25,13,FALSE)</f>
        <v>0.1364</v>
      </c>
      <c r="K15" s="42">
        <f>$D15*VLOOKUP($A15,'Const. Equip. Emission Factors'!$A$5:$N$25,14,FALSE)</f>
        <v>0.01364</v>
      </c>
      <c r="L15" s="43">
        <f>VLOOKUP(A15,'Const. Equip. Emission Factors'!$A$5:$P$23,16,FALSE)*D15</f>
        <v>32.736</v>
      </c>
    </row>
    <row r="16" spans="1:12" ht="12.75">
      <c r="A16" s="4" t="s">
        <v>289</v>
      </c>
      <c r="B16" s="2">
        <v>11</v>
      </c>
      <c r="C16" s="2">
        <v>16</v>
      </c>
      <c r="D16" s="2">
        <f>B16*C16</f>
        <v>176</v>
      </c>
      <c r="E16" s="2" t="s">
        <v>84</v>
      </c>
      <c r="F16" s="2" t="str">
        <f>IF(E16&lt;&gt;"N/A",B16*E16,"N/A")</f>
        <v>N/A</v>
      </c>
      <c r="G16" s="42">
        <f>$D16*VLOOKUP($A16,'Const. Equip. Emission Factors'!$A$5:$N$25,10,FALSE)</f>
        <v>72.0192</v>
      </c>
      <c r="H16" s="42">
        <f>$D16*VLOOKUP($A16,'Const. Equip. Emission Factors'!$A$5:$N$25,11,FALSE)</f>
        <v>10.80288</v>
      </c>
      <c r="I16" s="42">
        <f>$D16*VLOOKUP($A16,'Const. Equip. Emission Factors'!$A$5:$N$25,12,FALSE)</f>
        <v>86.42304</v>
      </c>
      <c r="J16" s="42">
        <f>$D16*VLOOKUP($A16,'Const. Equip. Emission Factors'!$A$5:$N$25,13,FALSE)</f>
        <v>7.201920000000001</v>
      </c>
      <c r="K16" s="42">
        <f>$D16*VLOOKUP($A16,'Const. Equip. Emission Factors'!$A$5:$N$25,14,FALSE)</f>
        <v>5.40144</v>
      </c>
      <c r="L16" s="43">
        <f>VLOOKUP(A16,'Const. Equip. Emission Factors'!$A$5:$P$23,16,FALSE)*D16</f>
        <v>180.04800000000003</v>
      </c>
    </row>
    <row r="17" spans="1:12" ht="12.75">
      <c r="A17" s="4" t="s">
        <v>285</v>
      </c>
      <c r="B17" s="2">
        <v>20</v>
      </c>
      <c r="C17" s="2">
        <v>12</v>
      </c>
      <c r="D17" s="2">
        <f>B17*C17</f>
        <v>240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40.4736</v>
      </c>
      <c r="H17" s="42">
        <f>$D17*VLOOKUP($A17,'Const. Equip. Emission Factors'!$A$5:$N$25,11,FALSE)</f>
        <v>6.07104</v>
      </c>
      <c r="I17" s="42">
        <f>$D17*VLOOKUP($A17,'Const. Equip. Emission Factors'!$A$5:$N$25,12,FALSE)</f>
        <v>48.56832</v>
      </c>
      <c r="J17" s="42">
        <f>$D17*VLOOKUP($A17,'Const. Equip. Emission Factors'!$A$5:$N$25,13,FALSE)</f>
        <v>4.04736</v>
      </c>
      <c r="K17" s="42">
        <f>$D17*VLOOKUP($A17,'Const. Equip. Emission Factors'!$A$5:$N$25,14,FALSE)</f>
        <v>3.03552</v>
      </c>
      <c r="L17" s="43">
        <f>VLOOKUP(A17,'Const. Equip. Emission Factors'!$A$5:$P$23,16,FALSE)*D17</f>
        <v>101.18400000000001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42"/>
      <c r="H22" s="42"/>
      <c r="I22" s="42"/>
      <c r="J22" s="42"/>
      <c r="K22" s="42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267.98879999999997</v>
      </c>
      <c r="H23" s="46">
        <f t="shared" si="0"/>
        <v>23.693920000000002</v>
      </c>
      <c r="I23" s="46">
        <f t="shared" si="0"/>
        <v>137.99216</v>
      </c>
      <c r="J23" s="46">
        <f t="shared" si="0"/>
        <v>11.38568</v>
      </c>
      <c r="K23" s="46">
        <f t="shared" si="0"/>
        <v>8.4506</v>
      </c>
      <c r="L23" s="46">
        <f t="shared" si="0"/>
        <v>313.968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32-B</v>
      </c>
      <c r="B26" s="87"/>
      <c r="C26" s="87"/>
      <c r="D26" s="87"/>
    </row>
    <row r="27" spans="1:4" ht="12.75">
      <c r="A27" s="85" t="str">
        <f>A$1&amp;" Fugitive Dust Emissions (Pre-Mitigation)"</f>
        <v>Alternative B HGS Foundations 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SUM(F6:F22)-F8+E55+E56+E57+E58</f>
        <v>33</v>
      </c>
      <c r="C31" s="2" t="s">
        <v>46</v>
      </c>
      <c r="D31" s="43">
        <f>B31*'Fug. Dust Emission Factors'!C50</f>
        <v>10.02464359604417</v>
      </c>
    </row>
    <row r="32" spans="1:4" ht="12.75">
      <c r="A32" s="4" t="s">
        <v>110</v>
      </c>
      <c r="B32" s="14">
        <f>E54</f>
        <v>100</v>
      </c>
      <c r="C32" s="2" t="s">
        <v>46</v>
      </c>
      <c r="D32" s="43">
        <f>B32*'Fug. Dust Emission Factors'!C65</f>
        <v>29.982544505479115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148</v>
      </c>
      <c r="B34" s="2">
        <f>B61</f>
        <v>0</v>
      </c>
      <c r="C34" s="2" t="s">
        <v>166</v>
      </c>
      <c r="D34" s="43">
        <f>B34*'Fug. Dust Emission Factors'!C129</f>
        <v>0</v>
      </c>
    </row>
    <row r="35" spans="1:4" ht="12.75">
      <c r="A35" s="15" t="s">
        <v>24</v>
      </c>
      <c r="B35" s="4"/>
      <c r="C35" s="4"/>
      <c r="D35" s="44">
        <f>SUM(D28:D34)</f>
        <v>40.00718810152328</v>
      </c>
    </row>
    <row r="36" spans="1:4" ht="12.75">
      <c r="A36" s="15" t="s">
        <v>24</v>
      </c>
      <c r="B36" s="4"/>
      <c r="C36" s="4"/>
      <c r="D36" s="44">
        <f>SUM(D29:D34)</f>
        <v>40.00718810152328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32-C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Alternative B HGS Foundations 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32-D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Alternative B HGS Foundations 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32-E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Alternative B HGS Foundations 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10</v>
      </c>
      <c r="C54" s="2">
        <v>10</v>
      </c>
      <c r="D54" s="2">
        <v>4</v>
      </c>
      <c r="E54" s="14">
        <f>B54*C54</f>
        <v>100</v>
      </c>
      <c r="F54" s="14">
        <f>B54*D54</f>
        <v>40</v>
      </c>
      <c r="G54" s="42">
        <f>(E54*VLOOKUP(A54,'Motor Vehicle Emission Factors'!$A$6:$T$42,7,FALSE)+F54*VLOOKUP(A54,'Motor Vehicle Emission Factors'!$A$6:$T$42,8,FALSE))/453.6</f>
        <v>4.756613756613757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0.7727072310405644</v>
      </c>
      <c r="I54" s="42">
        <f>(E54*VLOOKUP(A54,'Motor Vehicle Emission Factors'!$A$6:$T$42,15,FALSE)+F54*VLOOKUP(A54,'Motor Vehicle Emission Factors'!$A$6:$T$42,16,FALSE))/453.6</f>
        <v>0.5542328042328042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0.002204585537918871</v>
      </c>
      <c r="L54" s="42">
        <f>J54+K54</f>
        <v>0.002204585537918871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33</v>
      </c>
      <c r="C58" s="2">
        <v>1</v>
      </c>
      <c r="D58" s="2">
        <v>1</v>
      </c>
      <c r="E58" s="14">
        <f>B58*C58</f>
        <v>33</v>
      </c>
      <c r="F58" s="14">
        <f>B58*D58</f>
        <v>33</v>
      </c>
      <c r="G58" s="42">
        <f>(E58*VLOOKUP(A58,'Motor Vehicle Emission Factors'!$A$6:$T$42,7,FALSE)+F58*VLOOKUP(A58,'Motor Vehicle Emission Factors'!$A$6:$T$42,8,FALSE))/453.6</f>
        <v>2.444444444444444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0.2539021164021164</v>
      </c>
      <c r="I58" s="42">
        <f>(E58*VLOOKUP(A58,'Motor Vehicle Emission Factors'!$A$6:$T$42,15,FALSE)+F58*VLOOKUP(A58,'Motor Vehicle Emission Factors'!$A$6:$T$42,16,FALSE))/453.6</f>
        <v>1.148015873015873</v>
      </c>
      <c r="J58" s="42">
        <f>E58*VLOOKUP(A58,'Motor Vehicle Emission Factors'!$A$6:$T$42,17,FALSE)/453.6</f>
        <v>0.04292328042328042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0.0007275132275132275</v>
      </c>
      <c r="L58" s="42">
        <f>J58+K58</f>
        <v>0.04365079365079365</v>
      </c>
    </row>
    <row r="59" spans="1:12" ht="12.75">
      <c r="A59" s="4" t="s">
        <v>105</v>
      </c>
      <c r="B59" s="2">
        <v>275</v>
      </c>
      <c r="C59" s="2">
        <v>40</v>
      </c>
      <c r="D59" s="2">
        <v>2</v>
      </c>
      <c r="E59" s="14">
        <f>B59*C59</f>
        <v>11000</v>
      </c>
      <c r="F59" s="14">
        <f>B59*D59</f>
        <v>550</v>
      </c>
      <c r="G59" s="42">
        <f>(E59*VLOOKUP(A59,'Motor Vehicle Emission Factors'!$A$6:$T$42,7,FALSE)+F59*VLOOKUP(A59,'Motor Vehicle Emission Factors'!$A$6:$T$42,8,FALSE))/453.6</f>
        <v>133.0864197530864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17.39969135802469</v>
      </c>
      <c r="I59" s="42">
        <f>(E59*VLOOKUP(A59,'Motor Vehicle Emission Factors'!$A$6:$T$42,15,FALSE)+F59*VLOOKUP(A59,'Motor Vehicle Emission Factors'!$A$6:$T$42,16,FALSE))/453.6</f>
        <v>19.242724867724867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13.642536466341044</v>
      </c>
      <c r="L59" s="42">
        <f>J59+K59</f>
        <v>13.642536466341044</v>
      </c>
    </row>
    <row r="60" spans="1:12" ht="12.75">
      <c r="A60" s="4" t="s">
        <v>129</v>
      </c>
      <c r="B60" s="2">
        <v>33</v>
      </c>
      <c r="C60" s="2">
        <v>40</v>
      </c>
      <c r="D60" s="2">
        <v>2</v>
      </c>
      <c r="E60" s="14">
        <f>B60*C60</f>
        <v>1320</v>
      </c>
      <c r="F60" s="14">
        <f>B60*D60</f>
        <v>66</v>
      </c>
      <c r="G60" s="42">
        <f>(E60*VLOOKUP(A60,'Motor Vehicle Emission Factors'!$A$6:$T$42,7,FALSE)+F60*VLOOKUP(A60,'Motor Vehicle Emission Factors'!$A$6:$T$42,8,FALSE))/453.6</f>
        <v>29.04232804232804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4.394179894179894</v>
      </c>
      <c r="I60" s="42">
        <f>(E60*VLOOKUP(A60,'Motor Vehicle Emission Factors'!$A$6:$T$42,15,FALSE)+F60*VLOOKUP(A60,'Motor Vehicle Emission Factors'!$A$6:$T$42,16,FALSE))/453.6</f>
        <v>26.917989417989418</v>
      </c>
      <c r="J60" s="42">
        <f>E60*VLOOKUP(A60,'Motor Vehicle Emission Factors'!$A$6:$T$42,17,FALSE)/453.6</f>
        <v>1.7169312169312168</v>
      </c>
      <c r="K60" s="42">
        <f>E60*(VLOOKUP(A60,'Motor Vehicle Emission Factors'!$A$6:$T$42,18,FALSE)+VLOOKUP(A60,'Motor Vehicle Emission Factors'!$A$6:$T$42,19,FALSE)+VLOOKUP(A60,'Motor Vehicle Emission Factors'!$A$6:$T$42,20,FALSE))/453.6</f>
        <v>77.01669937944277</v>
      </c>
      <c r="L60" s="42">
        <f>J60+K60</f>
        <v>78.73363059637398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169.32980599647266</v>
      </c>
      <c r="H62" s="46">
        <f t="shared" si="1"/>
        <v>22.82048059964726</v>
      </c>
      <c r="I62" s="46">
        <f t="shared" si="1"/>
        <v>47.86296296296296</v>
      </c>
      <c r="J62" s="46">
        <f t="shared" si="1"/>
        <v>1.7598544973544972</v>
      </c>
      <c r="K62" s="46">
        <f t="shared" si="1"/>
        <v>90.66216794454925</v>
      </c>
      <c r="L62" s="46">
        <f t="shared" si="1"/>
        <v>92.42202244190374</v>
      </c>
      <c r="M62" s="71">
        <f>E54+E59</f>
        <v>11100</v>
      </c>
      <c r="N62" s="71">
        <f>SUM(E54:E61)-M62</f>
        <v>1353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32-F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Alternative B HGS Foundations 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267.98879999999997</v>
      </c>
      <c r="C69" s="43">
        <f>H23</f>
        <v>23.693920000000002</v>
      </c>
      <c r="D69" s="43">
        <f>I23</f>
        <v>137.99216</v>
      </c>
      <c r="E69" s="43">
        <f>J23</f>
        <v>11.38568</v>
      </c>
      <c r="F69" s="43">
        <f>K23</f>
        <v>8.4506</v>
      </c>
      <c r="G69" s="43"/>
      <c r="H69" s="43">
        <f aca="true" t="shared" si="2" ref="H69:H77">F69+G69</f>
        <v>8.4506</v>
      </c>
    </row>
    <row r="70" spans="1:8" ht="12.75">
      <c r="A70" s="51" t="s">
        <v>127</v>
      </c>
      <c r="B70" s="43">
        <f>SUM(G54:G58)</f>
        <v>7.201058201058201</v>
      </c>
      <c r="C70" s="43">
        <f>SUM(H54:H58)</f>
        <v>1.0266093474426807</v>
      </c>
      <c r="D70" s="43">
        <f>SUM(I54:I58)</f>
        <v>1.7022486772486771</v>
      </c>
      <c r="E70" s="43">
        <v>0</v>
      </c>
      <c r="F70" s="43">
        <f>SUM(J54:J58)</f>
        <v>0.04292328042328042</v>
      </c>
      <c r="G70" s="43"/>
      <c r="H70" s="43">
        <f t="shared" si="2"/>
        <v>0.04292328042328042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D35-D34</f>
        <v>40.00718810152328</v>
      </c>
      <c r="H71" s="43">
        <f t="shared" si="2"/>
        <v>40.00718810152328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275.18985820105814</v>
      </c>
      <c r="C74" s="44">
        <f t="shared" si="3"/>
        <v>24.72052934744268</v>
      </c>
      <c r="D74" s="44">
        <f t="shared" si="3"/>
        <v>139.6944086772487</v>
      </c>
      <c r="E74" s="44">
        <f t="shared" si="3"/>
        <v>11.38568</v>
      </c>
      <c r="F74" s="44">
        <f t="shared" si="3"/>
        <v>8.49352328042328</v>
      </c>
      <c r="G74" s="44">
        <f t="shared" si="3"/>
        <v>40.00718810152328</v>
      </c>
      <c r="H74" s="44">
        <f t="shared" si="2"/>
        <v>48.500711381946566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D34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162.12874779541445</v>
      </c>
      <c r="C76" s="45">
        <f>SUM(H59:H61)</f>
        <v>21.793871252204582</v>
      </c>
      <c r="D76" s="45">
        <f>SUM(I59:I61)</f>
        <v>46.160714285714285</v>
      </c>
      <c r="E76" s="45">
        <v>0</v>
      </c>
      <c r="F76" s="45">
        <f>SUM(J59:J61)</f>
        <v>1.7169312169312168</v>
      </c>
      <c r="G76" s="45">
        <f>SUM(K59:K61)</f>
        <v>90.65923584578381</v>
      </c>
      <c r="H76" s="45">
        <f t="shared" si="2"/>
        <v>92.37616706271503</v>
      </c>
    </row>
    <row r="77" spans="1:8" ht="12.75">
      <c r="A77" s="15" t="s">
        <v>168</v>
      </c>
      <c r="B77" s="44">
        <f aca="true" t="shared" si="4" ref="B77:G77">SUM(B75:B76)</f>
        <v>162.12874779541445</v>
      </c>
      <c r="C77" s="44">
        <f t="shared" si="4"/>
        <v>21.793871252204582</v>
      </c>
      <c r="D77" s="44">
        <f t="shared" si="4"/>
        <v>46.160714285714285</v>
      </c>
      <c r="E77" s="44">
        <f t="shared" si="4"/>
        <v>0</v>
      </c>
      <c r="F77" s="44">
        <f t="shared" si="4"/>
        <v>1.7169312169312168</v>
      </c>
      <c r="G77" s="44">
        <f t="shared" si="4"/>
        <v>90.65923584578381</v>
      </c>
      <c r="H77" s="44">
        <f t="shared" si="2"/>
        <v>92.37616706271503</v>
      </c>
    </row>
    <row r="78" spans="1:8" ht="12.75">
      <c r="A78" s="15" t="s">
        <v>24</v>
      </c>
      <c r="B78" s="44">
        <f aca="true" t="shared" si="5" ref="B78:H78">B74+B77</f>
        <v>437.31860599647257</v>
      </c>
      <c r="C78" s="44">
        <f t="shared" si="5"/>
        <v>46.51440059964726</v>
      </c>
      <c r="D78" s="44">
        <f t="shared" si="5"/>
        <v>185.85512296296298</v>
      </c>
      <c r="E78" s="44">
        <f t="shared" si="5"/>
        <v>11.38568</v>
      </c>
      <c r="F78" s="44">
        <f t="shared" si="5"/>
        <v>10.210454497354498</v>
      </c>
      <c r="G78" s="44">
        <f t="shared" si="5"/>
        <v>130.6664239473071</v>
      </c>
      <c r="H78" s="44">
        <f t="shared" si="5"/>
        <v>140.8768784446616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32-G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Alternative B HGS Foundations 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267.98879999999997</v>
      </c>
      <c r="C85" s="43">
        <f>C69</f>
        <v>23.693920000000002</v>
      </c>
      <c r="D85" s="43">
        <f>D69</f>
        <v>137.99216</v>
      </c>
      <c r="E85" s="43">
        <f>E69</f>
        <v>11.38568</v>
      </c>
      <c r="F85" s="43">
        <f>F69</f>
        <v>8.4506</v>
      </c>
      <c r="G85" s="43"/>
      <c r="H85" s="43">
        <f>F85+G85</f>
        <v>8.4506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-1.1846960000000002</v>
      </c>
      <c r="D87" s="43">
        <f>-D86*D85</f>
        <v>-6.899608000000001</v>
      </c>
      <c r="E87" s="43">
        <f>-E86*E85</f>
        <v>-0.569284</v>
      </c>
      <c r="F87" s="43">
        <f>-F86*F85</f>
        <v>-0.42253</v>
      </c>
      <c r="G87" s="43"/>
      <c r="H87" s="43">
        <f>F87+G87</f>
        <v>-0.42253</v>
      </c>
    </row>
    <row r="88" spans="1:8" ht="12.75">
      <c r="A88" s="15" t="s">
        <v>125</v>
      </c>
      <c r="B88" s="44">
        <f>B85+B87</f>
        <v>267.98879999999997</v>
      </c>
      <c r="C88" s="44">
        <f>C85+C87</f>
        <v>22.509224000000003</v>
      </c>
      <c r="D88" s="44">
        <f>D85+D87</f>
        <v>131.092552</v>
      </c>
      <c r="E88" s="44">
        <f>E85+E87</f>
        <v>10.816396000000001</v>
      </c>
      <c r="F88" s="44">
        <f>F85+F87</f>
        <v>8.02807</v>
      </c>
      <c r="G88" s="44"/>
      <c r="H88" s="44">
        <f>F88+G88</f>
        <v>8.02807</v>
      </c>
    </row>
    <row r="89" spans="1:8" ht="12.75">
      <c r="A89" s="15" t="s">
        <v>127</v>
      </c>
      <c r="B89" s="45">
        <f>B70</f>
        <v>7.201058201058201</v>
      </c>
      <c r="C89" s="45">
        <f>C70</f>
        <v>1.0266093474426807</v>
      </c>
      <c r="D89" s="45">
        <f>D70</f>
        <v>1.7022486772486771</v>
      </c>
      <c r="E89" s="45">
        <f>E70</f>
        <v>0</v>
      </c>
      <c r="F89" s="45">
        <f>F70</f>
        <v>0.04292328042328042</v>
      </c>
      <c r="G89" s="45"/>
      <c r="H89" s="43">
        <f>F89+G89</f>
        <v>0.04292328042328042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7.201058201058201</v>
      </c>
      <c r="C92" s="44">
        <f>C89+C91</f>
        <v>1.0266093474426807</v>
      </c>
      <c r="D92" s="44">
        <f>D89+D91</f>
        <v>1.7022486772486771</v>
      </c>
      <c r="E92" s="44">
        <f>E89+E91</f>
        <v>0</v>
      </c>
      <c r="F92" s="44">
        <f>F89+F91</f>
        <v>0.04292328042328042</v>
      </c>
      <c r="G92" s="44"/>
      <c r="H92" s="44">
        <f>F92+G92</f>
        <v>0.04292328042328042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40.00718810152328</v>
      </c>
      <c r="H93" s="43">
        <f>F93+G93</f>
        <v>40.00718810152328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-6.401150096243725</v>
      </c>
      <c r="H95" s="43">
        <f>F95+G95</f>
        <v>-6.401150096243725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33.60603800527956</v>
      </c>
      <c r="H96" s="44">
        <f>F96+G96</f>
        <v>33.60603800527956</v>
      </c>
    </row>
    <row r="97" spans="1:8" ht="12.75">
      <c r="A97" s="15" t="s">
        <v>96</v>
      </c>
      <c r="B97" s="43"/>
      <c r="C97" s="43">
        <f>C72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275.18985820105814</v>
      </c>
      <c r="C105" s="44">
        <f t="shared" si="6"/>
        <v>23.535833347442683</v>
      </c>
      <c r="D105" s="44">
        <f t="shared" si="6"/>
        <v>132.7948006772487</v>
      </c>
      <c r="E105" s="44">
        <f t="shared" si="6"/>
        <v>10.816396000000001</v>
      </c>
      <c r="F105" s="44">
        <f t="shared" si="6"/>
        <v>8.07099328042328</v>
      </c>
      <c r="G105" s="44">
        <f t="shared" si="6"/>
        <v>33.60603800527956</v>
      </c>
      <c r="H105" s="44">
        <f>H88+H96+H100+H104</f>
        <v>41.63410800527956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 aca="true" t="shared" si="7" ref="B110:H110">B76</f>
        <v>162.12874779541445</v>
      </c>
      <c r="C110" s="44">
        <f t="shared" si="7"/>
        <v>21.793871252204582</v>
      </c>
      <c r="D110" s="44">
        <f t="shared" si="7"/>
        <v>46.160714285714285</v>
      </c>
      <c r="E110" s="44">
        <f t="shared" si="7"/>
        <v>0</v>
      </c>
      <c r="F110" s="44">
        <f t="shared" si="7"/>
        <v>1.7169312169312168</v>
      </c>
      <c r="G110" s="44">
        <f t="shared" si="7"/>
        <v>90.65923584578381</v>
      </c>
      <c r="H110" s="44">
        <f t="shared" si="7"/>
        <v>92.37616706271503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162.12874779541445</v>
      </c>
      <c r="C113" s="44">
        <f t="shared" si="9"/>
        <v>21.793871252204582</v>
      </c>
      <c r="D113" s="44">
        <f t="shared" si="9"/>
        <v>46.160714285714285</v>
      </c>
      <c r="E113" s="44">
        <f t="shared" si="9"/>
        <v>0</v>
      </c>
      <c r="F113" s="44">
        <f t="shared" si="9"/>
        <v>1.7169312169312168</v>
      </c>
      <c r="G113" s="44">
        <f t="shared" si="9"/>
        <v>90.65923584578381</v>
      </c>
      <c r="H113" s="44">
        <f>F113+G113</f>
        <v>92.37616706271503</v>
      </c>
    </row>
    <row r="114" spans="1:8" ht="12.75">
      <c r="A114" s="15" t="s">
        <v>168</v>
      </c>
      <c r="B114" s="44">
        <f aca="true" t="shared" si="10" ref="B114:H114">B113+B109</f>
        <v>162.12874779541445</v>
      </c>
      <c r="C114" s="44">
        <f t="shared" si="10"/>
        <v>21.793871252204582</v>
      </c>
      <c r="D114" s="44">
        <f t="shared" si="10"/>
        <v>46.160714285714285</v>
      </c>
      <c r="E114" s="44">
        <f t="shared" si="10"/>
        <v>0</v>
      </c>
      <c r="F114" s="44">
        <f t="shared" si="10"/>
        <v>1.7169312169312168</v>
      </c>
      <c r="G114" s="44">
        <f t="shared" si="10"/>
        <v>90.65923584578381</v>
      </c>
      <c r="H114" s="44">
        <f t="shared" si="10"/>
        <v>92.37616706271503</v>
      </c>
    </row>
    <row r="115" spans="1:8" ht="12.75">
      <c r="A115" s="15" t="s">
        <v>24</v>
      </c>
      <c r="B115" s="44">
        <f aca="true" t="shared" si="11" ref="B115:H115">B105+B114</f>
        <v>437.31860599647257</v>
      </c>
      <c r="C115" s="44">
        <f t="shared" si="11"/>
        <v>45.329704599647265</v>
      </c>
      <c r="D115" s="44">
        <f t="shared" si="11"/>
        <v>178.95551496296298</v>
      </c>
      <c r="E115" s="44">
        <f t="shared" si="11"/>
        <v>10.816396000000001</v>
      </c>
      <c r="F115" s="44">
        <f t="shared" si="11"/>
        <v>9.787924497354497</v>
      </c>
      <c r="G115" s="44">
        <f t="shared" si="11"/>
        <v>124.26527385106337</v>
      </c>
      <c r="H115" s="44">
        <f t="shared" si="11"/>
        <v>134.0102750679946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46:G46"/>
    <mergeCell ref="A26:D26"/>
    <mergeCell ref="A27:D27"/>
    <mergeCell ref="A82:H82"/>
    <mergeCell ref="A83:H83"/>
    <mergeCell ref="A51:L51"/>
    <mergeCell ref="A52:L52"/>
    <mergeCell ref="A66:H66"/>
    <mergeCell ref="A67:H67"/>
    <mergeCell ref="A3:L3"/>
    <mergeCell ref="A4:L4"/>
    <mergeCell ref="A39:F39"/>
    <mergeCell ref="A40:F40"/>
    <mergeCell ref="A45:G45"/>
  </mergeCells>
  <printOptions horizontalCentered="1"/>
  <pageMargins left="0.75" right="0.75" top="1" bottom="1" header="0.5" footer="0.5"/>
  <pageSetup fitToHeight="20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2"/>
  <dimension ref="A1:N116"/>
  <sheetViews>
    <sheetView zoomScalePageLayoutView="0" workbookViewId="0" topLeftCell="B3">
      <selection activeCell="L21" sqref="L21:L23"/>
    </sheetView>
  </sheetViews>
  <sheetFormatPr defaultColWidth="9.140625" defaultRowHeight="12.75"/>
  <cols>
    <col min="1" max="1" width="37.57421875" style="0" bestFit="1" customWidth="1"/>
    <col min="2" max="2" width="8.57421875" style="0" customWidth="1"/>
    <col min="3" max="3" width="10.7109375" style="0" customWidth="1"/>
    <col min="4" max="4" width="9.7109375" style="0" customWidth="1"/>
    <col min="6" max="6" width="9.57421875" style="0" customWidth="1"/>
    <col min="13" max="14" width="0" style="0" hidden="1" customWidth="1"/>
  </cols>
  <sheetData>
    <row r="1" ht="12.75" hidden="1">
      <c r="A1" s="17" t="s">
        <v>330</v>
      </c>
    </row>
    <row r="2" ht="12.75" hidden="1">
      <c r="A2" s="52">
        <v>33</v>
      </c>
    </row>
    <row r="3" spans="1:12" ht="12.75">
      <c r="A3" s="87" t="str">
        <f>"Table "&amp;A$2&amp;"-A"</f>
        <v>Table 33-A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Alternative B HGS Equipment Installation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169</v>
      </c>
      <c r="B14" s="2">
        <v>6</v>
      </c>
      <c r="C14" s="2">
        <v>16</v>
      </c>
      <c r="D14" s="2">
        <f>B14*C14</f>
        <v>96</v>
      </c>
      <c r="E14" s="2">
        <v>4</v>
      </c>
      <c r="F14" s="2">
        <f>B14*E14</f>
        <v>24</v>
      </c>
      <c r="G14" s="42">
        <f>$D14*VLOOKUP($A14,'Const. Equip. Emission Factors'!$A$5:$N$25,10,FALSE)</f>
        <v>49.2024</v>
      </c>
      <c r="H14" s="42">
        <f>$D14*VLOOKUP($A14,'Const. Equip. Emission Factors'!$A$5:$N$25,11,FALSE)</f>
        <v>11.3544</v>
      </c>
      <c r="I14" s="42">
        <f>$D14*VLOOKUP($A14,'Const. Equip. Emission Factors'!$A$5:$N$25,12,FALSE)</f>
        <v>117.3288</v>
      </c>
      <c r="J14" s="42">
        <f>$D14*VLOOKUP($A14,'Const. Equip. Emission Factors'!$A$5:$N$25,13,FALSE)</f>
        <v>7.5696</v>
      </c>
      <c r="K14" s="42">
        <f>$D14*VLOOKUP($A14,'Const. Equip. Emission Factors'!$A$5:$N$25,14,FALSE)</f>
        <v>5.6772</v>
      </c>
      <c r="L14" s="43">
        <f>VLOOKUP(A14,'Const. Equip. Emission Factors'!$A$5:$P$23,16,FALSE)*D14</f>
        <v>189.24000000000004</v>
      </c>
    </row>
    <row r="15" spans="1:12" ht="12.75">
      <c r="A15" s="4" t="s">
        <v>283</v>
      </c>
      <c r="B15" s="2">
        <v>1</v>
      </c>
      <c r="C15" s="2">
        <v>16</v>
      </c>
      <c r="D15" s="2">
        <f>B15*C15</f>
        <v>16</v>
      </c>
      <c r="E15" s="2">
        <v>4</v>
      </c>
      <c r="F15" s="2">
        <f>B15*E15</f>
        <v>4</v>
      </c>
      <c r="G15" s="42">
        <f>$D15*VLOOKUP($A15,'Const. Equip. Emission Factors'!$A$5:$N$25,10,FALSE)</f>
        <v>8.8164</v>
      </c>
      <c r="H15" s="42">
        <f>$D15*VLOOKUP($A15,'Const. Equip. Emission Factors'!$A$5:$N$25,11,FALSE)</f>
        <v>1.76328</v>
      </c>
      <c r="I15" s="42">
        <f>$D15*VLOOKUP($A15,'Const. Equip. Emission Factors'!$A$5:$N$25,12,FALSE)</f>
        <v>12.930719999999999</v>
      </c>
      <c r="J15" s="42">
        <f>$D15*VLOOKUP($A15,'Const. Equip. Emission Factors'!$A$5:$N$25,13,FALSE)</f>
        <v>1.1755200000000001</v>
      </c>
      <c r="K15" s="42">
        <f>$D15*VLOOKUP($A15,'Const. Equip. Emission Factors'!$A$5:$N$25,14,FALSE)</f>
        <v>0.5877600000000001</v>
      </c>
      <c r="L15" s="43">
        <f>VLOOKUP(A15,'Const. Equip. Emission Factors'!$A$5:$P$23,16,FALSE)*D15</f>
        <v>29.388</v>
      </c>
    </row>
    <row r="16" spans="1:12" ht="12.75">
      <c r="A16" s="4" t="s">
        <v>284</v>
      </c>
      <c r="B16" s="2"/>
      <c r="C16" s="2"/>
      <c r="D16" s="2"/>
      <c r="E16" s="2"/>
      <c r="F16" s="2"/>
      <c r="G16" s="42"/>
      <c r="H16" s="42"/>
      <c r="I16" s="42"/>
      <c r="J16" s="42"/>
      <c r="K16" s="42"/>
      <c r="L16" s="43"/>
    </row>
    <row r="17" spans="1:12" ht="12.75">
      <c r="A17" s="4" t="s">
        <v>289</v>
      </c>
      <c r="B17" s="2"/>
      <c r="C17" s="2"/>
      <c r="D17" s="2"/>
      <c r="E17" s="2"/>
      <c r="F17" s="2"/>
      <c r="G17" s="42"/>
      <c r="H17" s="42"/>
      <c r="I17" s="42"/>
      <c r="J17" s="42"/>
      <c r="K17" s="42"/>
      <c r="L17" s="43"/>
    </row>
    <row r="18" spans="1:12" ht="12.75">
      <c r="A18" s="4" t="s">
        <v>285</v>
      </c>
      <c r="B18" s="2">
        <v>20</v>
      </c>
      <c r="C18" s="2">
        <v>12</v>
      </c>
      <c r="D18" s="2">
        <f>B18*C18</f>
        <v>240</v>
      </c>
      <c r="E18" s="2" t="s">
        <v>84</v>
      </c>
      <c r="F18" s="2" t="str">
        <f>IF(E18&lt;&gt;"N/A",B18*E18,"N/A")</f>
        <v>N/A</v>
      </c>
      <c r="G18" s="42">
        <f>$D18*VLOOKUP($A18,'Const. Equip. Emission Factors'!$A$5:$N$25,10,FALSE)</f>
        <v>40.4736</v>
      </c>
      <c r="H18" s="42">
        <f>$D18*VLOOKUP($A18,'Const. Equip. Emission Factors'!$A$5:$N$25,11,FALSE)</f>
        <v>6.07104</v>
      </c>
      <c r="I18" s="42">
        <f>$D18*VLOOKUP($A18,'Const. Equip. Emission Factors'!$A$5:$N$25,12,FALSE)</f>
        <v>48.56832</v>
      </c>
      <c r="J18" s="42">
        <f>$D18*VLOOKUP($A18,'Const. Equip. Emission Factors'!$A$5:$N$25,13,FALSE)</f>
        <v>4.04736</v>
      </c>
      <c r="K18" s="42">
        <f>$D18*VLOOKUP($A18,'Const. Equip. Emission Factors'!$A$5:$N$25,14,FALSE)</f>
        <v>3.03552</v>
      </c>
      <c r="L18" s="43">
        <f>VLOOKUP(A18,'Const. Equip. Emission Factors'!$A$5:$P$23,16,FALSE)*D18</f>
        <v>101.18400000000001</v>
      </c>
    </row>
    <row r="19" spans="1:12" ht="12.75">
      <c r="A19" s="4" t="s">
        <v>364</v>
      </c>
      <c r="B19" s="2">
        <v>2</v>
      </c>
      <c r="C19" s="2">
        <v>16</v>
      </c>
      <c r="D19" s="2">
        <f>B19*C19</f>
        <v>32</v>
      </c>
      <c r="E19" s="2" t="s">
        <v>84</v>
      </c>
      <c r="F19" s="2" t="str">
        <f>IF(E19&lt;&gt;"N/A",B19*E19,"N/A")</f>
        <v>N/A</v>
      </c>
      <c r="G19" s="42">
        <f>$D19*VLOOKUP($A19,'Const. Equip. Emission Factors'!$A$5:$N$25,10,FALSE)</f>
        <v>6.251519999999999</v>
      </c>
      <c r="H19" s="42">
        <f>$D19*VLOOKUP($A19,'Const. Equip. Emission Factors'!$A$5:$N$25,11,FALSE)</f>
        <v>1.13664</v>
      </c>
      <c r="I19" s="42">
        <f>$D19*VLOOKUP($A19,'Const. Equip. Emission Factors'!$A$5:$N$25,12,FALSE)</f>
        <v>10.229759999999999</v>
      </c>
      <c r="J19" s="42">
        <f>$D19*VLOOKUP($A19,'Const. Equip. Emission Factors'!$A$5:$N$25,13,FALSE)</f>
        <v>1.13664</v>
      </c>
      <c r="K19" s="42">
        <f>$D19*VLOOKUP($A19,'Const. Equip. Emission Factors'!$A$5:$N$25,14,FALSE)</f>
        <v>0.56832</v>
      </c>
      <c r="L19" s="43">
        <f>VLOOKUP(A19,'Const. Equip. Emission Factors'!$A$5:$P$23,16,FALSE)*D19</f>
        <v>28.416000000000004</v>
      </c>
    </row>
    <row r="20" spans="1:12" ht="12.75">
      <c r="A20" s="4" t="s">
        <v>286</v>
      </c>
      <c r="B20" s="2"/>
      <c r="C20" s="2"/>
      <c r="D20" s="2"/>
      <c r="E20" s="2"/>
      <c r="F20" s="2"/>
      <c r="G20" s="42"/>
      <c r="H20" s="42"/>
      <c r="I20" s="42"/>
      <c r="J20" s="42"/>
      <c r="K20" s="42"/>
      <c r="L20" s="43"/>
    </row>
    <row r="21" spans="1:12" ht="12.75">
      <c r="A21" s="4" t="s">
        <v>287</v>
      </c>
      <c r="B21" s="2">
        <v>1</v>
      </c>
      <c r="C21" s="2">
        <v>16</v>
      </c>
      <c r="D21" s="2">
        <f>B21*C21</f>
        <v>16</v>
      </c>
      <c r="E21" s="2" t="s">
        <v>84</v>
      </c>
      <c r="F21" s="2" t="str">
        <f>IF(E21&lt;&gt;"N/A",B21*E21,"N/A")</f>
        <v>N/A</v>
      </c>
      <c r="G21" s="42">
        <f>$D21*VLOOKUP($A21,'Const. Equip. Emission Factors'!$A$5:$N$25,10,FALSE)</f>
        <v>13.344000000000001</v>
      </c>
      <c r="H21" s="42">
        <f>$D21*VLOOKUP($A21,'Const. Equip. Emission Factors'!$A$5:$N$25,11,FALSE)</f>
        <v>2.0016</v>
      </c>
      <c r="I21" s="42">
        <f>$D21*VLOOKUP($A21,'Const. Equip. Emission Factors'!$A$5:$N$25,12,FALSE)</f>
        <v>14.6784</v>
      </c>
      <c r="J21" s="42">
        <f>$D21*VLOOKUP($A21,'Const. Equip. Emission Factors'!$A$5:$N$25,13,FALSE)</f>
        <v>1.3344</v>
      </c>
      <c r="K21" s="42">
        <f>$D21*VLOOKUP($A21,'Const. Equip. Emission Factors'!$A$5:$N$25,14,FALSE)</f>
        <v>1.0008</v>
      </c>
      <c r="L21" s="43">
        <f>VLOOKUP(A21,'Const. Equip. Emission Factors'!$A$5:$P$23,16,FALSE)*D21</f>
        <v>33.36</v>
      </c>
    </row>
    <row r="22" spans="1:12" ht="12.75">
      <c r="A22" s="4" t="s">
        <v>288</v>
      </c>
      <c r="B22" s="2">
        <v>1</v>
      </c>
      <c r="C22" s="2">
        <v>16</v>
      </c>
      <c r="D22" s="2">
        <f>B22*C22</f>
        <v>16</v>
      </c>
      <c r="E22" s="2" t="s">
        <v>84</v>
      </c>
      <c r="F22" s="2" t="str">
        <f>IF(E22&lt;&gt;"N/A",B22*E22,"N/A")</f>
        <v>N/A</v>
      </c>
      <c r="G22" s="42">
        <f>$D22*VLOOKUP($A22,'Const. Equip. Emission Factors'!$A$5:$N$25,10,FALSE)</f>
        <v>0.4928</v>
      </c>
      <c r="H22" s="42">
        <f>$D22*VLOOKUP($A22,'Const. Equip. Emission Factors'!$A$5:$N$25,11,FALSE)</f>
        <v>0.1408</v>
      </c>
      <c r="I22" s="42">
        <f>$D22*VLOOKUP($A22,'Const. Equip. Emission Factors'!$A$5:$N$25,12,FALSE)</f>
        <v>1.4080000000000001</v>
      </c>
      <c r="J22" s="42">
        <f>$D22*VLOOKUP($A22,'Const. Equip. Emission Factors'!$A$5:$N$25,13,FALSE)</f>
        <v>0.1408</v>
      </c>
      <c r="K22" s="42">
        <f>$D22*VLOOKUP($A22,'Const. Equip. Emission Factors'!$A$5:$N$25,14,FALSE)</f>
        <v>0.0704</v>
      </c>
      <c r="L22" s="43">
        <f>VLOOKUP(A22,'Const. Equip. Emission Factors'!$A$5:$P$23,16,FALSE)*D22</f>
        <v>3.52</v>
      </c>
    </row>
    <row r="23" spans="1:12" ht="12.75">
      <c r="A23" s="4" t="s">
        <v>27</v>
      </c>
      <c r="B23" s="2">
        <v>4</v>
      </c>
      <c r="C23" s="2">
        <v>16</v>
      </c>
      <c r="D23" s="2">
        <f>B23*C23</f>
        <v>64</v>
      </c>
      <c r="E23" s="2" t="s">
        <v>84</v>
      </c>
      <c r="F23" s="2" t="s">
        <v>84</v>
      </c>
      <c r="G23" s="42">
        <f>$D23*VLOOKUP($A23,'Const. Equip. Emission Factors'!$A$5:$N$25,10,FALSE)</f>
        <v>48.04991999999999</v>
      </c>
      <c r="H23" s="42">
        <f>$D23*VLOOKUP($A23,'Const. Equip. Emission Factors'!$A$5:$N$25,11,FALSE)</f>
        <v>16.01664</v>
      </c>
      <c r="I23" s="42">
        <f>$D23*VLOOKUP($A23,'Const. Equip. Emission Factors'!$A$5:$N$25,12,FALSE)</f>
        <v>122.79423999999999</v>
      </c>
      <c r="J23" s="42">
        <f>$D23*VLOOKUP($A23,'Const. Equip. Emission Factors'!$A$5:$N$25,13,FALSE)</f>
        <v>10.677760000000001</v>
      </c>
      <c r="K23" s="42">
        <f>$D23*VLOOKUP($A23,'Const. Equip. Emission Factors'!$A$5:$N$25,14,FALSE)</f>
        <v>8.00832</v>
      </c>
      <c r="L23" s="43">
        <f>VLOOKUP(A23,'Const. Equip. Emission Factors'!$A$5:$P$23,16,FALSE)*D23</f>
        <v>266.944</v>
      </c>
    </row>
    <row r="24" spans="1:12" ht="12.75">
      <c r="A24" s="15" t="s">
        <v>24</v>
      </c>
      <c r="B24" s="18"/>
      <c r="C24" s="18"/>
      <c r="D24" s="18"/>
      <c r="E24" s="18"/>
      <c r="F24" s="18"/>
      <c r="G24" s="46">
        <f aca="true" t="shared" si="0" ref="G24:L24">SUM(G6:G23)</f>
        <v>166.63064</v>
      </c>
      <c r="H24" s="46">
        <f t="shared" si="0"/>
        <v>38.484399999999994</v>
      </c>
      <c r="I24" s="46">
        <f t="shared" si="0"/>
        <v>327.93824</v>
      </c>
      <c r="J24" s="46">
        <f t="shared" si="0"/>
        <v>26.082080000000005</v>
      </c>
      <c r="K24" s="46">
        <f t="shared" si="0"/>
        <v>18.94832</v>
      </c>
      <c r="L24" s="46">
        <f t="shared" si="0"/>
        <v>652.0520000000001</v>
      </c>
    </row>
    <row r="26" spans="1:4" ht="12.75">
      <c r="A26" s="87" t="str">
        <f>"Table "&amp;A$2&amp;"-B"</f>
        <v>Table 33-B</v>
      </c>
      <c r="B26" s="87"/>
      <c r="C26" s="87"/>
      <c r="D26" s="87"/>
    </row>
    <row r="27" spans="1:4" ht="12.75">
      <c r="A27" s="85" t="str">
        <f>A$1&amp;" Fugitive Dust Emissions (Pre-Mitigation)"</f>
        <v>Alternative B HGS Equipment Installation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SUM(F6:F23)-F8+E55+E56+E57+E58</f>
        <v>38</v>
      </c>
      <c r="C31" s="2" t="s">
        <v>46</v>
      </c>
      <c r="D31" s="43">
        <f>B31*'Fug. Dust Emission Factors'!C50</f>
        <v>11.543528989384194</v>
      </c>
    </row>
    <row r="32" spans="1:4" ht="12.75">
      <c r="A32" s="4" t="s">
        <v>110</v>
      </c>
      <c r="B32" s="14">
        <f>E54</f>
        <v>20</v>
      </c>
      <c r="C32" s="2" t="s">
        <v>46</v>
      </c>
      <c r="D32" s="43">
        <f>B32*'Fug. Dust Emission Factors'!C65</f>
        <v>5.996508901095822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2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0</v>
      </c>
      <c r="C35" s="2" t="s">
        <v>166</v>
      </c>
      <c r="D35" s="43">
        <f>B35*'Fug. Dust Emission Factors'!C129</f>
        <v>0</v>
      </c>
    </row>
    <row r="36" spans="1:4" ht="12.75">
      <c r="A36" s="15" t="s">
        <v>24</v>
      </c>
      <c r="B36" s="4"/>
      <c r="C36" s="4"/>
      <c r="D36" s="44">
        <f>SUM(D29:D35)</f>
        <v>17.540037890480015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33-C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Alternative B HGS Equipment Installation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33-D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Alternative B HGS Equipment Installation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100</v>
      </c>
      <c r="B47" s="2">
        <v>10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35</v>
      </c>
      <c r="C49" s="33"/>
      <c r="D49" s="31"/>
      <c r="E49" s="31"/>
      <c r="F49" s="31"/>
      <c r="G49" s="32"/>
    </row>
    <row r="50" ht="12.75">
      <c r="A50" s="39" t="s">
        <v>278</v>
      </c>
    </row>
    <row r="51" spans="1:12" ht="12.75">
      <c r="A51" s="87" t="str">
        <f>"Table "&amp;A$2&amp;"-E"</f>
        <v>Table 33-E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Alternative B HGS Equipment Installation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10</v>
      </c>
      <c r="C54" s="2">
        <v>2</v>
      </c>
      <c r="D54" s="2">
        <v>4</v>
      </c>
      <c r="E54" s="14">
        <f>B54*C54</f>
        <v>20</v>
      </c>
      <c r="F54" s="14">
        <f>B54*D54</f>
        <v>40</v>
      </c>
      <c r="G54" s="42">
        <f>(E54*VLOOKUP(A54,'Motor Vehicle Emission Factors'!$A$6:$T$42,7,FALSE)+F54*VLOOKUP(A54,'Motor Vehicle Emission Factors'!$A$6:$T$42,8,FALSE))/453.6</f>
        <v>3.797178130511464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0.6300264550264549</v>
      </c>
      <c r="I54" s="42">
        <f>(E54*VLOOKUP(A54,'Motor Vehicle Emission Factors'!$A$6:$T$42,15,FALSE)+F54*VLOOKUP(A54,'Motor Vehicle Emission Factors'!$A$6:$T$42,16,FALSE))/453.6</f>
        <v>0.3196649029982363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0.0004409171075837742</v>
      </c>
      <c r="L54" s="42">
        <f>J54+K54</f>
        <v>0.0004409171075837742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10</v>
      </c>
      <c r="C58" s="2">
        <v>1</v>
      </c>
      <c r="D58" s="2">
        <v>2</v>
      </c>
      <c r="E58" s="14">
        <f>B58*C58</f>
        <v>10</v>
      </c>
      <c r="F58" s="14">
        <f>B58*D58</f>
        <v>20</v>
      </c>
      <c r="G58" s="42">
        <f>(E58*VLOOKUP(A58,'Motor Vehicle Emission Factors'!$A$6:$T$42,7,FALSE)+F58*VLOOKUP(A58,'Motor Vehicle Emission Factors'!$A$6:$T$42,8,FALSE))/453.6</f>
        <v>0.7407407407407407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0.07694003527336861</v>
      </c>
      <c r="I58" s="42">
        <f>(E58*VLOOKUP(A58,'Motor Vehicle Emission Factors'!$A$6:$T$42,15,FALSE)+F58*VLOOKUP(A58,'Motor Vehicle Emission Factors'!$A$6:$T$42,16,FALSE))/453.6</f>
        <v>0.34788359788359785</v>
      </c>
      <c r="J58" s="42">
        <f>E58*VLOOKUP(A58,'Motor Vehicle Emission Factors'!$A$6:$T$42,17,FALSE)/453.6</f>
        <v>0.013007054673721338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0.0002204585537918871</v>
      </c>
      <c r="L58" s="42">
        <f>J58+K58</f>
        <v>0.013227513227513225</v>
      </c>
    </row>
    <row r="59" spans="1:12" ht="12.75">
      <c r="A59" s="4" t="s">
        <v>105</v>
      </c>
      <c r="B59" s="2">
        <v>393</v>
      </c>
      <c r="C59" s="2">
        <v>40</v>
      </c>
      <c r="D59" s="2">
        <v>2</v>
      </c>
      <c r="E59" s="14">
        <f>B59*C59</f>
        <v>15720</v>
      </c>
      <c r="F59" s="14">
        <f>B59*D59</f>
        <v>786</v>
      </c>
      <c r="G59" s="42">
        <f>(E59*VLOOKUP(A59,'Motor Vehicle Emission Factors'!$A$6:$T$42,7,FALSE)+F59*VLOOKUP(A59,'Motor Vehicle Emission Factors'!$A$6:$T$42,8,FALSE))/453.6</f>
        <v>190.19259259259258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24.86574074074074</v>
      </c>
      <c r="I59" s="42">
        <f>(E59*VLOOKUP(A59,'Motor Vehicle Emission Factors'!$A$6:$T$42,15,FALSE)+F59*VLOOKUP(A59,'Motor Vehicle Emission Factors'!$A$6:$T$42,16,FALSE))/453.6</f>
        <v>27.499603174603173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19.4964248409892</v>
      </c>
      <c r="L59" s="42">
        <f>J59+K59</f>
        <v>19.4964248409892</v>
      </c>
    </row>
    <row r="60" spans="1:12" ht="12.75">
      <c r="A60" s="4" t="s">
        <v>129</v>
      </c>
      <c r="B60" s="2">
        <v>10</v>
      </c>
      <c r="C60" s="2">
        <v>40</v>
      </c>
      <c r="D60" s="2">
        <v>2</v>
      </c>
      <c r="E60" s="14">
        <f>B60*C60</f>
        <v>400</v>
      </c>
      <c r="F60" s="14">
        <f>B60*D60</f>
        <v>20</v>
      </c>
      <c r="G60" s="42">
        <f>(E60*VLOOKUP(A60,'Motor Vehicle Emission Factors'!$A$6:$T$42,7,FALSE)+F60*VLOOKUP(A60,'Motor Vehicle Emission Factors'!$A$6:$T$42,8,FALSE))/453.6</f>
        <v>8.800705467372133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1.3315696649029982</v>
      </c>
      <c r="I60" s="42">
        <f>(E60*VLOOKUP(A60,'Motor Vehicle Emission Factors'!$A$6:$T$42,15,FALSE)+F60*VLOOKUP(A60,'Motor Vehicle Emission Factors'!$A$6:$T$42,16,FALSE))/453.6</f>
        <v>8.156966490299823</v>
      </c>
      <c r="J60" s="42">
        <f>E60*VLOOKUP(A60,'Motor Vehicle Emission Factors'!$A$6:$T$42,17,FALSE)/453.6</f>
        <v>0.5202821869488536</v>
      </c>
      <c r="K60" s="42">
        <f>E60*(VLOOKUP(A60,'Motor Vehicle Emission Factors'!$A$6:$T$42,18,FALSE)+VLOOKUP(A60,'Motor Vehicle Emission Factors'!$A$6:$T$42,19,FALSE)+VLOOKUP(A60,'Motor Vehicle Emission Factors'!$A$6:$T$42,20,FALSE))/453.6</f>
        <v>23.3383937513463</v>
      </c>
      <c r="L60" s="42">
        <f>J60+K60</f>
        <v>23.858675938295153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203.5312169312169</v>
      </c>
      <c r="H62" s="46">
        <f t="shared" si="1"/>
        <v>26.90427689594356</v>
      </c>
      <c r="I62" s="46">
        <f t="shared" si="1"/>
        <v>36.32411816578483</v>
      </c>
      <c r="J62" s="46">
        <f t="shared" si="1"/>
        <v>0.533289241622575</v>
      </c>
      <c r="K62" s="46">
        <f t="shared" si="1"/>
        <v>42.835479967996875</v>
      </c>
      <c r="L62" s="46">
        <f t="shared" si="1"/>
        <v>43.36876920961945</v>
      </c>
      <c r="M62" s="71">
        <f>E54+E59</f>
        <v>15740</v>
      </c>
      <c r="N62" s="71">
        <f>SUM(E54:E61)-M62</f>
        <v>410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33-F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Alternative B HGS Equipment Installation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G24</f>
        <v>166.63064</v>
      </c>
      <c r="C69" s="43">
        <f>H24</f>
        <v>38.484399999999994</v>
      </c>
      <c r="D69" s="43">
        <f>I24</f>
        <v>327.93824</v>
      </c>
      <c r="E69" s="43">
        <f>J24</f>
        <v>26.082080000000005</v>
      </c>
      <c r="F69" s="43">
        <f>K24</f>
        <v>18.94832</v>
      </c>
      <c r="G69" s="43"/>
      <c r="H69" s="43">
        <f aca="true" t="shared" si="2" ref="H69:H77">F69+G69</f>
        <v>18.94832</v>
      </c>
    </row>
    <row r="70" spans="1:8" ht="12.75">
      <c r="A70" s="51" t="s">
        <v>127</v>
      </c>
      <c r="B70" s="43">
        <f>SUM(G54:G58)</f>
        <v>4.537918871252205</v>
      </c>
      <c r="C70" s="43">
        <f>SUM(H54:H58)</f>
        <v>0.7069664902998235</v>
      </c>
      <c r="D70" s="43">
        <f>SUM(I54:I58)</f>
        <v>0.6675485008818342</v>
      </c>
      <c r="E70" s="43">
        <v>0</v>
      </c>
      <c r="F70" s="43">
        <f>SUM(J54:J58)</f>
        <v>0.013007054673721338</v>
      </c>
      <c r="G70" s="43"/>
      <c r="H70" s="43">
        <f t="shared" si="2"/>
        <v>0.013007054673721338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17.540037890480015</v>
      </c>
      <c r="H71" s="43">
        <f t="shared" si="2"/>
        <v>17.540037890480015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35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171.1685588712522</v>
      </c>
      <c r="C74" s="44">
        <f t="shared" si="3"/>
        <v>74.19136649029983</v>
      </c>
      <c r="D74" s="44">
        <f t="shared" si="3"/>
        <v>328.60578850088183</v>
      </c>
      <c r="E74" s="44">
        <f t="shared" si="3"/>
        <v>26.082080000000005</v>
      </c>
      <c r="F74" s="44">
        <f t="shared" si="3"/>
        <v>18.96132705467372</v>
      </c>
      <c r="G74" s="44">
        <f t="shared" si="3"/>
        <v>17.540037890480015</v>
      </c>
      <c r="H74" s="44">
        <f t="shared" si="2"/>
        <v>36.50136494515374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198.9932980599647</v>
      </c>
      <c r="C76" s="45">
        <f>SUM(H59:H61)</f>
        <v>26.197310405643737</v>
      </c>
      <c r="D76" s="45">
        <f>SUM(I59:I61)</f>
        <v>35.656569664902996</v>
      </c>
      <c r="E76" s="45">
        <v>0</v>
      </c>
      <c r="F76" s="45">
        <f>SUM(J59:J61)</f>
        <v>0.5202821869488536</v>
      </c>
      <c r="G76" s="45">
        <f>SUM(K59:K61)</f>
        <v>42.834818592335495</v>
      </c>
      <c r="H76" s="45">
        <f t="shared" si="2"/>
        <v>43.35510077928435</v>
      </c>
    </row>
    <row r="77" spans="1:8" ht="12.75">
      <c r="A77" s="15" t="s">
        <v>168</v>
      </c>
      <c r="B77" s="44">
        <f aca="true" t="shared" si="4" ref="B77:G77">SUM(B75:B76)</f>
        <v>198.9932980599647</v>
      </c>
      <c r="C77" s="44">
        <f t="shared" si="4"/>
        <v>26.197310405643737</v>
      </c>
      <c r="D77" s="44">
        <f t="shared" si="4"/>
        <v>35.656569664902996</v>
      </c>
      <c r="E77" s="44">
        <f t="shared" si="4"/>
        <v>0</v>
      </c>
      <c r="F77" s="44">
        <f t="shared" si="4"/>
        <v>0.5202821869488536</v>
      </c>
      <c r="G77" s="44">
        <f t="shared" si="4"/>
        <v>42.834818592335495</v>
      </c>
      <c r="H77" s="44">
        <f t="shared" si="2"/>
        <v>43.35510077928435</v>
      </c>
    </row>
    <row r="78" spans="1:8" ht="12.75">
      <c r="A78" s="15" t="s">
        <v>24</v>
      </c>
      <c r="B78" s="44">
        <f aca="true" t="shared" si="5" ref="B78:H78">B74+B77</f>
        <v>370.1618569312169</v>
      </c>
      <c r="C78" s="44">
        <f t="shared" si="5"/>
        <v>100.38867689594356</v>
      </c>
      <c r="D78" s="44">
        <f t="shared" si="5"/>
        <v>364.2623581657848</v>
      </c>
      <c r="E78" s="44">
        <f t="shared" si="5"/>
        <v>26.082080000000005</v>
      </c>
      <c r="F78" s="44">
        <f t="shared" si="5"/>
        <v>19.481609241622575</v>
      </c>
      <c r="G78" s="44">
        <f t="shared" si="5"/>
        <v>60.37485648281551</v>
      </c>
      <c r="H78" s="44">
        <f t="shared" si="5"/>
        <v>79.8564657244381</v>
      </c>
    </row>
    <row r="79" ht="12.75">
      <c r="A79" s="39" t="s">
        <v>132</v>
      </c>
    </row>
    <row r="80" ht="12.75">
      <c r="A80" s="39"/>
    </row>
    <row r="81" spans="1:8" ht="12.75">
      <c r="A81" s="87" t="str">
        <f>"Table "&amp;A$2&amp;"-G"</f>
        <v>Table 33-G</v>
      </c>
      <c r="B81" s="87"/>
      <c r="C81" s="87"/>
      <c r="D81" s="87"/>
      <c r="E81" s="87"/>
      <c r="F81" s="87"/>
      <c r="G81" s="87"/>
      <c r="H81" s="87"/>
    </row>
    <row r="82" spans="1:8" ht="12.75">
      <c r="A82" s="87" t="str">
        <f>A$1&amp;" Emissions Summary (Mitigated)"</f>
        <v>Alternative B HGS Equipment Installation Emissions Summary (Mitigated)</v>
      </c>
      <c r="B82" s="87"/>
      <c r="C82" s="87"/>
      <c r="D82" s="87"/>
      <c r="E82" s="87"/>
      <c r="F82" s="87"/>
      <c r="G82" s="87"/>
      <c r="H82" s="87"/>
    </row>
    <row r="83" spans="1:8" ht="42">
      <c r="A83" s="2" t="s">
        <v>131</v>
      </c>
      <c r="B83" s="3" t="s">
        <v>193</v>
      </c>
      <c r="C83" s="3" t="s">
        <v>194</v>
      </c>
      <c r="D83" s="3" t="s">
        <v>199</v>
      </c>
      <c r="E83" s="3" t="s">
        <v>200</v>
      </c>
      <c r="F83" s="3" t="s">
        <v>208</v>
      </c>
      <c r="G83" s="3" t="s">
        <v>209</v>
      </c>
      <c r="H83" s="3" t="s">
        <v>210</v>
      </c>
    </row>
    <row r="84" spans="1:8" ht="12.75">
      <c r="A84" s="15" t="s">
        <v>94</v>
      </c>
      <c r="B84" s="43">
        <f>B69</f>
        <v>166.63064</v>
      </c>
      <c r="C84" s="43">
        <f>C69</f>
        <v>38.484399999999994</v>
      </c>
      <c r="D84" s="43">
        <f>D69</f>
        <v>327.93824</v>
      </c>
      <c r="E84" s="43">
        <f>E69</f>
        <v>26.082080000000005</v>
      </c>
      <c r="F84" s="43">
        <f>F69</f>
        <v>18.94832</v>
      </c>
      <c r="G84" s="43"/>
      <c r="H84" s="43">
        <f>F84+G84</f>
        <v>18.94832</v>
      </c>
    </row>
    <row r="85" spans="1:8" ht="12.75">
      <c r="A85" s="4" t="s">
        <v>123</v>
      </c>
      <c r="B85" s="40">
        <v>0</v>
      </c>
      <c r="C85" s="40">
        <v>0.05</v>
      </c>
      <c r="D85" s="40">
        <v>0.05</v>
      </c>
      <c r="E85" s="40">
        <v>0.05</v>
      </c>
      <c r="F85" s="40">
        <v>0.05</v>
      </c>
      <c r="G85" s="40"/>
      <c r="H85" s="43"/>
    </row>
    <row r="86" spans="1:8" ht="12.75">
      <c r="A86" s="4" t="s">
        <v>124</v>
      </c>
      <c r="B86" s="43">
        <f>-B85*B84</f>
        <v>0</v>
      </c>
      <c r="C86" s="43">
        <f>-C85*C84</f>
        <v>-1.9242199999999998</v>
      </c>
      <c r="D86" s="43">
        <f>-D85*D84</f>
        <v>-16.396912</v>
      </c>
      <c r="E86" s="43">
        <f>-E85*E84</f>
        <v>-1.3041040000000004</v>
      </c>
      <c r="F86" s="43">
        <f>-F85*F84</f>
        <v>-0.947416</v>
      </c>
      <c r="G86" s="43"/>
      <c r="H86" s="43">
        <f>F86+G86</f>
        <v>-0.947416</v>
      </c>
    </row>
    <row r="87" spans="1:8" ht="12.75">
      <c r="A87" s="15" t="s">
        <v>125</v>
      </c>
      <c r="B87" s="44">
        <f>B84+B86</f>
        <v>166.63064</v>
      </c>
      <c r="C87" s="44">
        <f>C84+C86</f>
        <v>36.560179999999995</v>
      </c>
      <c r="D87" s="44">
        <f>D84+D86</f>
        <v>311.541328</v>
      </c>
      <c r="E87" s="44">
        <f>E84+E86</f>
        <v>24.777976000000006</v>
      </c>
      <c r="F87" s="44">
        <f>F84+F86</f>
        <v>18.000904</v>
      </c>
      <c r="G87" s="44"/>
      <c r="H87" s="44">
        <f>F87+G87</f>
        <v>18.000904</v>
      </c>
    </row>
    <row r="88" spans="1:8" ht="12.75">
      <c r="A88" s="15" t="s">
        <v>127</v>
      </c>
      <c r="B88" s="45">
        <f>B70</f>
        <v>4.537918871252205</v>
      </c>
      <c r="C88" s="45">
        <f>C70</f>
        <v>0.7069664902998235</v>
      </c>
      <c r="D88" s="45">
        <f>D70</f>
        <v>0.6675485008818342</v>
      </c>
      <c r="E88" s="45">
        <f>E70</f>
        <v>0</v>
      </c>
      <c r="F88" s="45">
        <f>F70</f>
        <v>0.013007054673721338</v>
      </c>
      <c r="G88" s="45"/>
      <c r="H88" s="43">
        <f>F88+G88</f>
        <v>0.013007054673721338</v>
      </c>
    </row>
    <row r="89" spans="1:8" ht="12.75">
      <c r="A89" s="4" t="s">
        <v>123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/>
      <c r="H89" s="44"/>
    </row>
    <row r="90" spans="1:8" ht="12.75">
      <c r="A90" s="4" t="s">
        <v>124</v>
      </c>
      <c r="B90" s="43">
        <f>-B89*B88</f>
        <v>0</v>
      </c>
      <c r="C90" s="43">
        <f>-C89*C88</f>
        <v>0</v>
      </c>
      <c r="D90" s="43">
        <f>-D89*D88</f>
        <v>0</v>
      </c>
      <c r="E90" s="43">
        <f>-E89*E88</f>
        <v>0</v>
      </c>
      <c r="F90" s="43">
        <f>-F89*F88</f>
        <v>0</v>
      </c>
      <c r="G90" s="43"/>
      <c r="H90" s="43">
        <f>F90+G90</f>
        <v>0</v>
      </c>
    </row>
    <row r="91" spans="1:8" ht="12.75">
      <c r="A91" s="15" t="s">
        <v>125</v>
      </c>
      <c r="B91" s="44">
        <f>B88+B90</f>
        <v>4.537918871252205</v>
      </c>
      <c r="C91" s="44">
        <f>C88+C90</f>
        <v>0.7069664902998235</v>
      </c>
      <c r="D91" s="44">
        <f>D88+D90</f>
        <v>0.6675485008818342</v>
      </c>
      <c r="E91" s="44">
        <f>E88+E90</f>
        <v>0</v>
      </c>
      <c r="F91" s="44">
        <f>F88+F90</f>
        <v>0.013007054673721338</v>
      </c>
      <c r="G91" s="44"/>
      <c r="H91" s="44">
        <f>F91+G91</f>
        <v>0.013007054673721338</v>
      </c>
    </row>
    <row r="92" spans="1:8" ht="12.75">
      <c r="A92" s="15" t="s">
        <v>95</v>
      </c>
      <c r="B92" s="43"/>
      <c r="C92" s="43"/>
      <c r="D92" s="43"/>
      <c r="E92" s="43"/>
      <c r="F92" s="43"/>
      <c r="G92" s="43">
        <f>G71</f>
        <v>17.540037890480015</v>
      </c>
      <c r="H92" s="43">
        <f>F92+G92</f>
        <v>17.540037890480015</v>
      </c>
    </row>
    <row r="93" spans="1:8" ht="12.75">
      <c r="A93" s="4" t="s">
        <v>123</v>
      </c>
      <c r="B93" s="40"/>
      <c r="C93" s="40"/>
      <c r="D93" s="40"/>
      <c r="E93" s="40"/>
      <c r="F93" s="40"/>
      <c r="G93" s="40">
        <v>0.16</v>
      </c>
      <c r="H93" s="43"/>
    </row>
    <row r="94" spans="1:8" ht="12.75">
      <c r="A94" s="4" t="s">
        <v>124</v>
      </c>
      <c r="B94" s="43"/>
      <c r="C94" s="43"/>
      <c r="D94" s="43"/>
      <c r="E94" s="43"/>
      <c r="F94" s="43"/>
      <c r="G94" s="43">
        <f>-G93*G92</f>
        <v>-2.8064060624768024</v>
      </c>
      <c r="H94" s="43">
        <f>F94+G94</f>
        <v>-2.8064060624768024</v>
      </c>
    </row>
    <row r="95" spans="1:8" ht="12.75">
      <c r="A95" s="15" t="s">
        <v>125</v>
      </c>
      <c r="B95" s="44"/>
      <c r="C95" s="44"/>
      <c r="D95" s="44"/>
      <c r="E95" s="44"/>
      <c r="F95" s="44"/>
      <c r="G95" s="44">
        <f>G92+G94</f>
        <v>14.733631828003212</v>
      </c>
      <c r="H95" s="44">
        <f>F95+G95</f>
        <v>14.733631828003212</v>
      </c>
    </row>
    <row r="96" spans="1:8" ht="12.75">
      <c r="A96" s="15" t="s">
        <v>96</v>
      </c>
      <c r="B96" s="43"/>
      <c r="C96" s="43">
        <f>C72</f>
        <v>0</v>
      </c>
      <c r="D96" s="43"/>
      <c r="E96" s="43"/>
      <c r="F96" s="43"/>
      <c r="G96" s="43"/>
      <c r="H96" s="43"/>
    </row>
    <row r="97" spans="1:8" ht="12.75">
      <c r="A97" s="4" t="s">
        <v>123</v>
      </c>
      <c r="B97" s="40"/>
      <c r="C97" s="40">
        <v>0</v>
      </c>
      <c r="D97" s="40"/>
      <c r="E97" s="40"/>
      <c r="F97" s="40"/>
      <c r="G97" s="40"/>
      <c r="H97" s="43"/>
    </row>
    <row r="98" spans="1:8" ht="12.75">
      <c r="A98" s="4" t="s">
        <v>124</v>
      </c>
      <c r="B98" s="43"/>
      <c r="C98" s="43">
        <f>-C97*C96</f>
        <v>0</v>
      </c>
      <c r="D98" s="43"/>
      <c r="E98" s="43"/>
      <c r="F98" s="43"/>
      <c r="G98" s="43"/>
      <c r="H98" s="43"/>
    </row>
    <row r="99" spans="1:8" ht="12.75">
      <c r="A99" s="15" t="s">
        <v>125</v>
      </c>
      <c r="B99" s="44"/>
      <c r="C99" s="44">
        <f>C96+C98</f>
        <v>0</v>
      </c>
      <c r="D99" s="44"/>
      <c r="E99" s="44"/>
      <c r="F99" s="44"/>
      <c r="G99" s="44"/>
      <c r="H99" s="44"/>
    </row>
    <row r="100" spans="1:8" ht="12.75">
      <c r="A100" s="15" t="s">
        <v>97</v>
      </c>
      <c r="B100" s="43"/>
      <c r="C100" s="43">
        <f>C73</f>
        <v>35</v>
      </c>
      <c r="D100" s="43"/>
      <c r="E100" s="43"/>
      <c r="F100" s="43"/>
      <c r="G100" s="43"/>
      <c r="H100" s="43"/>
    </row>
    <row r="101" spans="1:8" ht="12.75">
      <c r="A101" s="4" t="s">
        <v>123</v>
      </c>
      <c r="B101" s="40"/>
      <c r="C101" s="40">
        <v>0</v>
      </c>
      <c r="D101" s="40"/>
      <c r="E101" s="40"/>
      <c r="F101" s="40"/>
      <c r="G101" s="40"/>
      <c r="H101" s="43"/>
    </row>
    <row r="102" spans="1:8" ht="12.75">
      <c r="A102" s="4" t="s">
        <v>124</v>
      </c>
      <c r="B102" s="43"/>
      <c r="C102" s="43">
        <f>-C101*C100</f>
        <v>0</v>
      </c>
      <c r="D102" s="43"/>
      <c r="E102" s="43"/>
      <c r="F102" s="43"/>
      <c r="G102" s="43"/>
      <c r="H102" s="43"/>
    </row>
    <row r="103" spans="1:8" ht="12.75">
      <c r="A103" s="15" t="s">
        <v>125</v>
      </c>
      <c r="B103" s="44"/>
      <c r="C103" s="44">
        <f>C100+C102</f>
        <v>35</v>
      </c>
      <c r="D103" s="44"/>
      <c r="E103" s="44"/>
      <c r="F103" s="44"/>
      <c r="G103" s="44"/>
      <c r="H103" s="44"/>
    </row>
    <row r="104" spans="1:8" ht="12.75">
      <c r="A104" s="15" t="s">
        <v>98</v>
      </c>
      <c r="B104" s="44">
        <f aca="true" t="shared" si="6" ref="B104:G104">B87+B91+B95+B99+B103</f>
        <v>171.1685588712522</v>
      </c>
      <c r="C104" s="44">
        <f t="shared" si="6"/>
        <v>72.26714649029982</v>
      </c>
      <c r="D104" s="44">
        <f t="shared" si="6"/>
        <v>312.20887650088184</v>
      </c>
      <c r="E104" s="44">
        <f t="shared" si="6"/>
        <v>24.777976000000006</v>
      </c>
      <c r="F104" s="44">
        <f t="shared" si="6"/>
        <v>18.01391105467372</v>
      </c>
      <c r="G104" s="44">
        <f t="shared" si="6"/>
        <v>14.733631828003212</v>
      </c>
      <c r="H104" s="44">
        <f>H87+H95+H99+H103</f>
        <v>32.73453582800321</v>
      </c>
    </row>
    <row r="105" spans="1:8" ht="15">
      <c r="A105" s="15" t="s">
        <v>227</v>
      </c>
      <c r="B105" s="44"/>
      <c r="C105" s="44"/>
      <c r="D105" s="44"/>
      <c r="E105" s="44"/>
      <c r="F105" s="44"/>
      <c r="G105" s="44">
        <f>G75*2</f>
        <v>0</v>
      </c>
      <c r="H105" s="44">
        <f>F105+G105</f>
        <v>0</v>
      </c>
    </row>
    <row r="106" spans="1:8" ht="12.75">
      <c r="A106" s="4" t="s">
        <v>123</v>
      </c>
      <c r="B106" s="44"/>
      <c r="C106" s="44"/>
      <c r="D106" s="44"/>
      <c r="E106" s="44"/>
      <c r="F106" s="44"/>
      <c r="G106" s="61">
        <v>0.9</v>
      </c>
      <c r="H106" s="44"/>
    </row>
    <row r="107" spans="1:8" ht="12.75">
      <c r="A107" s="4" t="s">
        <v>124</v>
      </c>
      <c r="B107" s="44"/>
      <c r="C107" s="44"/>
      <c r="D107" s="44"/>
      <c r="E107" s="44"/>
      <c r="F107" s="44"/>
      <c r="G107" s="43">
        <f>-G106*G105</f>
        <v>0</v>
      </c>
      <c r="H107" s="43">
        <f>F107+G107</f>
        <v>0</v>
      </c>
    </row>
    <row r="108" spans="1:8" ht="12.75">
      <c r="A108" s="15" t="s">
        <v>125</v>
      </c>
      <c r="B108" s="44"/>
      <c r="C108" s="44"/>
      <c r="D108" s="44"/>
      <c r="E108" s="44"/>
      <c r="F108" s="44"/>
      <c r="G108" s="44">
        <f>G105+G107</f>
        <v>0</v>
      </c>
      <c r="H108" s="44">
        <f>F108+G108</f>
        <v>0</v>
      </c>
    </row>
    <row r="109" spans="1:8" ht="12.75">
      <c r="A109" s="15" t="s">
        <v>99</v>
      </c>
      <c r="B109" s="44">
        <f aca="true" t="shared" si="7" ref="B109:H109">B76</f>
        <v>198.9932980599647</v>
      </c>
      <c r="C109" s="44">
        <f t="shared" si="7"/>
        <v>26.197310405643737</v>
      </c>
      <c r="D109" s="44">
        <f t="shared" si="7"/>
        <v>35.656569664902996</v>
      </c>
      <c r="E109" s="44">
        <f t="shared" si="7"/>
        <v>0</v>
      </c>
      <c r="F109" s="44">
        <f t="shared" si="7"/>
        <v>0.5202821869488536</v>
      </c>
      <c r="G109" s="44">
        <f t="shared" si="7"/>
        <v>42.834818592335495</v>
      </c>
      <c r="H109" s="44">
        <f t="shared" si="7"/>
        <v>43.35510077928435</v>
      </c>
    </row>
    <row r="110" spans="1:8" ht="12.75">
      <c r="A110" s="4" t="s">
        <v>123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3"/>
    </row>
    <row r="111" spans="1:8" ht="12.75">
      <c r="A111" s="4" t="s">
        <v>124</v>
      </c>
      <c r="B111" s="43">
        <f aca="true" t="shared" si="8" ref="B111:G111">-B110*B109</f>
        <v>0</v>
      </c>
      <c r="C111" s="43">
        <f t="shared" si="8"/>
        <v>0</v>
      </c>
      <c r="D111" s="43">
        <f t="shared" si="8"/>
        <v>0</v>
      </c>
      <c r="E111" s="43">
        <f t="shared" si="8"/>
        <v>0</v>
      </c>
      <c r="F111" s="43">
        <f t="shared" si="8"/>
        <v>0</v>
      </c>
      <c r="G111" s="43">
        <f t="shared" si="8"/>
        <v>0</v>
      </c>
      <c r="H111" s="43">
        <f>F111+G111</f>
        <v>0</v>
      </c>
    </row>
    <row r="112" spans="1:8" ht="12.75">
      <c r="A112" s="15" t="s">
        <v>125</v>
      </c>
      <c r="B112" s="44">
        <f aca="true" t="shared" si="9" ref="B112:G112">B109+B111</f>
        <v>198.9932980599647</v>
      </c>
      <c r="C112" s="44">
        <f t="shared" si="9"/>
        <v>26.197310405643737</v>
      </c>
      <c r="D112" s="44">
        <f t="shared" si="9"/>
        <v>35.656569664902996</v>
      </c>
      <c r="E112" s="44">
        <f t="shared" si="9"/>
        <v>0</v>
      </c>
      <c r="F112" s="44">
        <f t="shared" si="9"/>
        <v>0.5202821869488536</v>
      </c>
      <c r="G112" s="44">
        <f t="shared" si="9"/>
        <v>42.834818592335495</v>
      </c>
      <c r="H112" s="44">
        <f>F112+G112</f>
        <v>43.35510077928435</v>
      </c>
    </row>
    <row r="113" spans="1:8" ht="12.75">
      <c r="A113" s="15" t="s">
        <v>168</v>
      </c>
      <c r="B113" s="44">
        <f aca="true" t="shared" si="10" ref="B113:H113">B112+B108</f>
        <v>198.9932980599647</v>
      </c>
      <c r="C113" s="44">
        <f t="shared" si="10"/>
        <v>26.197310405643737</v>
      </c>
      <c r="D113" s="44">
        <f t="shared" si="10"/>
        <v>35.656569664902996</v>
      </c>
      <c r="E113" s="44">
        <f t="shared" si="10"/>
        <v>0</v>
      </c>
      <c r="F113" s="44">
        <f t="shared" si="10"/>
        <v>0.5202821869488536</v>
      </c>
      <c r="G113" s="44">
        <f t="shared" si="10"/>
        <v>42.834818592335495</v>
      </c>
      <c r="H113" s="44">
        <f t="shared" si="10"/>
        <v>43.35510077928435</v>
      </c>
    </row>
    <row r="114" spans="1:8" ht="12.75">
      <c r="A114" s="15" t="s">
        <v>24</v>
      </c>
      <c r="B114" s="44">
        <f aca="true" t="shared" si="11" ref="B114:H114">B104+B113</f>
        <v>370.1618569312169</v>
      </c>
      <c r="C114" s="44">
        <f t="shared" si="11"/>
        <v>98.46445689594356</v>
      </c>
      <c r="D114" s="44">
        <f t="shared" si="11"/>
        <v>347.8654461657848</v>
      </c>
      <c r="E114" s="44">
        <f t="shared" si="11"/>
        <v>24.777976000000006</v>
      </c>
      <c r="F114" s="44">
        <f t="shared" si="11"/>
        <v>18.534193241622575</v>
      </c>
      <c r="G114" s="44">
        <f t="shared" si="11"/>
        <v>57.568450420338706</v>
      </c>
      <c r="H114" s="44">
        <f t="shared" si="11"/>
        <v>76.08963660728756</v>
      </c>
    </row>
    <row r="115" ht="12.75">
      <c r="A115" s="39" t="s">
        <v>132</v>
      </c>
    </row>
    <row r="116" ht="12.75">
      <c r="A116" s="13" t="s">
        <v>228</v>
      </c>
    </row>
  </sheetData>
  <sheetProtection/>
  <mergeCells count="14">
    <mergeCell ref="A46:G46"/>
    <mergeCell ref="A26:D26"/>
    <mergeCell ref="A27:D27"/>
    <mergeCell ref="A81:H81"/>
    <mergeCell ref="A82:H82"/>
    <mergeCell ref="A51:L51"/>
    <mergeCell ref="A52:L52"/>
    <mergeCell ref="A66:H66"/>
    <mergeCell ref="A67:H67"/>
    <mergeCell ref="A3:L3"/>
    <mergeCell ref="A4:L4"/>
    <mergeCell ref="A39:F39"/>
    <mergeCell ref="A40:F40"/>
    <mergeCell ref="A45:G45"/>
  </mergeCells>
  <printOptions horizontalCentered="1"/>
  <pageMargins left="0.75" right="0.75" top="1" bottom="1" header="0.5" footer="0.5"/>
  <pageSetup fitToHeight="21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3.8515625" style="0" bestFit="1" customWidth="1"/>
  </cols>
  <sheetData>
    <row r="1" spans="1:14" ht="12.75">
      <c r="A1" s="87" t="s">
        <v>331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 customHeight="1">
      <c r="A2" s="93" t="s">
        <v>332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5" spans="5:14" ht="12.75" customHeight="1">
      <c r="E5" s="94" t="s">
        <v>258</v>
      </c>
      <c r="F5" s="95"/>
      <c r="G5" s="95"/>
      <c r="H5" s="96"/>
      <c r="I5" s="91" t="s">
        <v>259</v>
      </c>
      <c r="J5" s="91"/>
      <c r="K5" s="91"/>
      <c r="L5" s="91"/>
      <c r="M5" s="92" t="s">
        <v>260</v>
      </c>
      <c r="N5" s="92"/>
    </row>
    <row r="6" spans="1:14" ht="42">
      <c r="A6" s="73" t="s">
        <v>87</v>
      </c>
      <c r="B6" s="73" t="s">
        <v>281</v>
      </c>
      <c r="C6" s="73" t="s">
        <v>282</v>
      </c>
      <c r="D6" s="73" t="s">
        <v>267</v>
      </c>
      <c r="E6" s="73" t="s">
        <v>299</v>
      </c>
      <c r="F6" s="73" t="s">
        <v>261</v>
      </c>
      <c r="G6" s="73" t="s">
        <v>300</v>
      </c>
      <c r="H6" s="73" t="s">
        <v>268</v>
      </c>
      <c r="I6" s="73" t="s">
        <v>265</v>
      </c>
      <c r="J6" s="73" t="s">
        <v>266</v>
      </c>
      <c r="K6" s="73" t="s">
        <v>269</v>
      </c>
      <c r="L6" s="73" t="s">
        <v>270</v>
      </c>
      <c r="M6" s="73" t="s">
        <v>262</v>
      </c>
      <c r="N6" s="73" t="s">
        <v>263</v>
      </c>
    </row>
    <row r="7" spans="1:14" ht="12.75">
      <c r="A7" s="4" t="str">
        <f>Summaries!A25</f>
        <v>HGS Tank Demolition</v>
      </c>
      <c r="B7" s="69">
        <f>Summaries!J25</f>
        <v>1</v>
      </c>
      <c r="C7" s="69">
        <f>Summaries!K25</f>
        <v>10</v>
      </c>
      <c r="D7" s="69">
        <f aca="true" t="shared" si="0" ref="D7:D22">C7-B7+1</f>
        <v>10</v>
      </c>
      <c r="E7" s="43">
        <f>TankDemolitionHGS!L15</f>
        <v>0</v>
      </c>
      <c r="F7" s="43">
        <f>TankDemolitionHGS!L23-E7</f>
        <v>507.99760000000003</v>
      </c>
      <c r="G7" s="14">
        <f aca="true" t="shared" si="1" ref="G7:G22">E7*D7</f>
        <v>0</v>
      </c>
      <c r="H7" s="14">
        <f aca="true" t="shared" si="2" ref="H7:H22">D7*F7</f>
        <v>5079.976000000001</v>
      </c>
      <c r="I7" s="14">
        <f>TankDemolitionHGS!M85</f>
        <v>642</v>
      </c>
      <c r="J7" s="14">
        <f>TankDemolitionHGS!N85</f>
        <v>1055</v>
      </c>
      <c r="K7" s="14">
        <f aca="true" t="shared" si="3" ref="K7:K22">D7*I7/20</f>
        <v>321</v>
      </c>
      <c r="L7" s="14">
        <f aca="true" t="shared" si="4" ref="L7:L22">D7*J7/20</f>
        <v>527.5</v>
      </c>
      <c r="M7" s="72">
        <f aca="true" t="shared" si="5" ref="M7:M22">K7+G7</f>
        <v>321</v>
      </c>
      <c r="N7" s="72">
        <f aca="true" t="shared" si="6" ref="N7:N22">H7+L7</f>
        <v>5607.476000000001</v>
      </c>
    </row>
    <row r="8" spans="1:14" ht="12.75">
      <c r="A8" s="4" t="str">
        <f>Summaries!A27</f>
        <v>HGS Backfill</v>
      </c>
      <c r="B8" s="69">
        <f>Summaries!J27</f>
        <v>11</v>
      </c>
      <c r="C8" s="69">
        <f>Summaries!K27</f>
        <v>20</v>
      </c>
      <c r="D8" s="69">
        <f t="shared" si="0"/>
        <v>10</v>
      </c>
      <c r="E8" s="43">
        <f>BackfillHGS!L15</f>
        <v>0</v>
      </c>
      <c r="F8" s="43">
        <f>BackfillHGS!L23-E8</f>
        <v>681.296</v>
      </c>
      <c r="G8" s="14">
        <f t="shared" si="1"/>
        <v>0</v>
      </c>
      <c r="H8" s="14">
        <f t="shared" si="2"/>
        <v>6812.960000000001</v>
      </c>
      <c r="I8" s="14">
        <f>BackfillHGS!M62</f>
        <v>400</v>
      </c>
      <c r="J8" s="14">
        <f>BackfillHGS!N62</f>
        <v>2070</v>
      </c>
      <c r="K8" s="14">
        <f t="shared" si="3"/>
        <v>200</v>
      </c>
      <c r="L8" s="14">
        <f t="shared" si="4"/>
        <v>1035</v>
      </c>
      <c r="M8" s="72">
        <f t="shared" si="5"/>
        <v>200</v>
      </c>
      <c r="N8" s="72">
        <f t="shared" si="6"/>
        <v>7847.960000000001</v>
      </c>
    </row>
    <row r="9" spans="1:14" ht="12.75">
      <c r="A9" s="4" t="str">
        <f>Summaries!A29</f>
        <v>HGS Grading</v>
      </c>
      <c r="B9" s="69">
        <f>Summaries!J29</f>
        <v>18</v>
      </c>
      <c r="C9" s="69">
        <f>Summaries!K29</f>
        <v>20</v>
      </c>
      <c r="D9" s="69">
        <f t="shared" si="0"/>
        <v>3</v>
      </c>
      <c r="E9" s="43">
        <f>GradingHGS!L15</f>
        <v>0</v>
      </c>
      <c r="F9" s="43">
        <f>GradingHGS!L23-E9</f>
        <v>173.22000000000003</v>
      </c>
      <c r="G9" s="14">
        <f t="shared" si="1"/>
        <v>0</v>
      </c>
      <c r="H9" s="14">
        <f t="shared" si="2"/>
        <v>519.6600000000001</v>
      </c>
      <c r="I9" s="14">
        <f>GradingHGS!M62</f>
        <v>120</v>
      </c>
      <c r="J9" s="14">
        <f>GradingHGS!N62</f>
        <v>1</v>
      </c>
      <c r="K9" s="14">
        <f t="shared" si="3"/>
        <v>18</v>
      </c>
      <c r="L9" s="14">
        <f t="shared" si="4"/>
        <v>0.15</v>
      </c>
      <c r="M9" s="72">
        <f t="shared" si="5"/>
        <v>18</v>
      </c>
      <c r="N9" s="72">
        <f t="shared" si="6"/>
        <v>519.8100000000001</v>
      </c>
    </row>
    <row r="10" spans="1:14" ht="12.75">
      <c r="A10" s="4" t="str">
        <f>Summaries!A31</f>
        <v>HGS Foundations </v>
      </c>
      <c r="B10" s="69">
        <f>Summaries!J31</f>
        <v>21</v>
      </c>
      <c r="C10" s="69">
        <f>Summaries!K31</f>
        <v>28</v>
      </c>
      <c r="D10" s="69">
        <f t="shared" si="0"/>
        <v>8</v>
      </c>
      <c r="E10" s="43">
        <f>FoundationsHGSAltB!L15</f>
        <v>32.736</v>
      </c>
      <c r="F10" s="43">
        <f>FoundationsHGSAltB!L23-E10</f>
        <v>281.232</v>
      </c>
      <c r="G10" s="14">
        <f t="shared" si="1"/>
        <v>261.888</v>
      </c>
      <c r="H10" s="14">
        <f t="shared" si="2"/>
        <v>2249.856</v>
      </c>
      <c r="I10" s="14">
        <f>FoundationsHGSAltB!M62</f>
        <v>11100</v>
      </c>
      <c r="J10" s="14">
        <f>FoundationsHGSAltB!N62</f>
        <v>1353</v>
      </c>
      <c r="K10" s="14">
        <f t="shared" si="3"/>
        <v>4440</v>
      </c>
      <c r="L10" s="14">
        <f t="shared" si="4"/>
        <v>541.2</v>
      </c>
      <c r="M10" s="72">
        <f t="shared" si="5"/>
        <v>4701.888</v>
      </c>
      <c r="N10" s="72">
        <f t="shared" si="6"/>
        <v>2791.0560000000005</v>
      </c>
    </row>
    <row r="11" spans="1:14" ht="12.75">
      <c r="A11" s="4" t="str">
        <f>Summaries!A33</f>
        <v>HGS Paving</v>
      </c>
      <c r="B11" s="69">
        <f>Summaries!J33</f>
        <v>21</v>
      </c>
      <c r="C11" s="69">
        <f>Summaries!K33</f>
        <v>28</v>
      </c>
      <c r="D11" s="69">
        <f t="shared" si="0"/>
        <v>8</v>
      </c>
      <c r="E11" s="43">
        <f>PavingHGS!L15</f>
        <v>0</v>
      </c>
      <c r="F11" s="43">
        <f>PavingHGS!L23-E11</f>
        <v>144.13600000000002</v>
      </c>
      <c r="G11" s="14">
        <f t="shared" si="1"/>
        <v>0</v>
      </c>
      <c r="H11" s="14">
        <f t="shared" si="2"/>
        <v>1153.0880000000002</v>
      </c>
      <c r="I11" s="14">
        <f>PavingHGS!M62</f>
        <v>242</v>
      </c>
      <c r="J11" s="14">
        <f>PavingHGS!N62</f>
        <v>854</v>
      </c>
      <c r="K11" s="14">
        <f t="shared" si="3"/>
        <v>96.8</v>
      </c>
      <c r="L11" s="14">
        <f t="shared" si="4"/>
        <v>341.6</v>
      </c>
      <c r="M11" s="72">
        <f t="shared" si="5"/>
        <v>96.8</v>
      </c>
      <c r="N11" s="72">
        <f t="shared" si="6"/>
        <v>1494.688</v>
      </c>
    </row>
    <row r="12" spans="1:14" ht="12.75">
      <c r="A12" s="4" t="str">
        <f>Summaries!A35</f>
        <v>HGS Equipment Installation</v>
      </c>
      <c r="B12" s="69">
        <f>Summaries!J35</f>
        <v>29</v>
      </c>
      <c r="C12" s="69">
        <f>Summaries!K35</f>
        <v>150</v>
      </c>
      <c r="D12" s="69">
        <f t="shared" si="0"/>
        <v>122</v>
      </c>
      <c r="E12" s="43">
        <f>'Equipment InstallationHGSAltB'!L16</f>
        <v>0</v>
      </c>
      <c r="F12" s="43">
        <f>'Equipment InstallationHGSAltB'!L24-E12</f>
        <v>652.0520000000001</v>
      </c>
      <c r="G12" s="14">
        <f t="shared" si="1"/>
        <v>0</v>
      </c>
      <c r="H12" s="14">
        <f t="shared" si="2"/>
        <v>79550.34400000001</v>
      </c>
      <c r="I12" s="14">
        <f>'Equipment InstallationHGSAltB'!M62</f>
        <v>15740</v>
      </c>
      <c r="J12" s="14">
        <f>'Equipment InstallationHGSAltB'!N62</f>
        <v>410</v>
      </c>
      <c r="K12" s="14">
        <f t="shared" si="3"/>
        <v>96014</v>
      </c>
      <c r="L12" s="14">
        <f t="shared" si="4"/>
        <v>2501</v>
      </c>
      <c r="M12" s="72">
        <f t="shared" si="5"/>
        <v>96014</v>
      </c>
      <c r="N12" s="72">
        <f t="shared" si="6"/>
        <v>82051.34400000001</v>
      </c>
    </row>
    <row r="13" spans="1:14" ht="12.75">
      <c r="A13" s="4" t="str">
        <f>Summaries!A37</f>
        <v>SGS Slab Demolition</v>
      </c>
      <c r="B13" s="69">
        <f>Summaries!J37</f>
        <v>1</v>
      </c>
      <c r="C13" s="69">
        <f>Summaries!K37</f>
        <v>10</v>
      </c>
      <c r="D13" s="69">
        <f t="shared" si="0"/>
        <v>10</v>
      </c>
      <c r="E13" s="43">
        <f>SlabDemolitionSGS!L15</f>
        <v>0</v>
      </c>
      <c r="F13" s="43">
        <f>SlabDemolitionSGS!L23-E13</f>
        <v>123.57600000000001</v>
      </c>
      <c r="G13" s="14">
        <f t="shared" si="1"/>
        <v>0</v>
      </c>
      <c r="H13" s="14">
        <f t="shared" si="2"/>
        <v>1235.76</v>
      </c>
      <c r="I13" s="14">
        <f>SlabDemolitionSGS!M62</f>
        <v>201</v>
      </c>
      <c r="J13" s="14">
        <f>SlabDemolitionSGS!N62</f>
        <v>656</v>
      </c>
      <c r="K13" s="14">
        <f t="shared" si="3"/>
        <v>100.5</v>
      </c>
      <c r="L13" s="14">
        <f t="shared" si="4"/>
        <v>328</v>
      </c>
      <c r="M13" s="72">
        <f t="shared" si="5"/>
        <v>100.5</v>
      </c>
      <c r="N13" s="72">
        <f t="shared" si="6"/>
        <v>1563.76</v>
      </c>
    </row>
    <row r="14" spans="1:14" ht="12.75">
      <c r="A14" s="4" t="str">
        <f>Summaries!A39</f>
        <v>SGS Grading</v>
      </c>
      <c r="B14" s="69">
        <f>Summaries!J39</f>
        <v>18</v>
      </c>
      <c r="C14" s="69">
        <f>Summaries!K39</f>
        <v>20</v>
      </c>
      <c r="D14" s="69">
        <f t="shared" si="0"/>
        <v>3</v>
      </c>
      <c r="E14" s="43">
        <f>GradingSGS!L15</f>
        <v>0</v>
      </c>
      <c r="F14" s="43">
        <f>GradingSGS!L23-E14</f>
        <v>97.33200000000001</v>
      </c>
      <c r="G14" s="14">
        <f t="shared" si="1"/>
        <v>0</v>
      </c>
      <c r="H14" s="14">
        <f t="shared" si="2"/>
        <v>291.99600000000004</v>
      </c>
      <c r="I14" s="14">
        <f>GradingSGS!M62</f>
        <v>121</v>
      </c>
      <c r="J14" s="14">
        <f>GradingSGS!N62</f>
        <v>1</v>
      </c>
      <c r="K14" s="14">
        <f t="shared" si="3"/>
        <v>18.15</v>
      </c>
      <c r="L14" s="14">
        <f t="shared" si="4"/>
        <v>0.15</v>
      </c>
      <c r="M14" s="72">
        <f t="shared" si="5"/>
        <v>18.15</v>
      </c>
      <c r="N14" s="72">
        <f t="shared" si="6"/>
        <v>292.146</v>
      </c>
    </row>
    <row r="15" spans="1:14" ht="12.75">
      <c r="A15" s="4" t="str">
        <f>Summaries!A41</f>
        <v>SGS Foundations </v>
      </c>
      <c r="B15" s="69">
        <f>Summaries!J41</f>
        <v>21</v>
      </c>
      <c r="C15" s="69">
        <f>Summaries!K41</f>
        <v>28</v>
      </c>
      <c r="D15" s="69">
        <f t="shared" si="0"/>
        <v>8</v>
      </c>
      <c r="E15" s="43">
        <f>FoundationsSGS!L15</f>
        <v>2.9759999999999995</v>
      </c>
      <c r="F15" s="43">
        <f>FoundationsSGS!L23-E15</f>
        <v>41.664</v>
      </c>
      <c r="G15" s="14">
        <f t="shared" si="1"/>
        <v>23.807999999999996</v>
      </c>
      <c r="H15" s="14">
        <f t="shared" si="2"/>
        <v>333.312</v>
      </c>
      <c r="I15" s="14">
        <f>FoundationsSGS!M61</f>
        <v>530</v>
      </c>
      <c r="J15" s="14">
        <f>FoundationsSGS!N61</f>
        <v>328</v>
      </c>
      <c r="K15" s="14">
        <f t="shared" si="3"/>
        <v>212</v>
      </c>
      <c r="L15" s="14">
        <f t="shared" si="4"/>
        <v>131.2</v>
      </c>
      <c r="M15" s="72">
        <f t="shared" si="5"/>
        <v>235.808</v>
      </c>
      <c r="N15" s="72">
        <f t="shared" si="6"/>
        <v>464.512</v>
      </c>
    </row>
    <row r="16" spans="1:14" ht="12.75">
      <c r="A16" s="4" t="str">
        <f>Summaries!A43</f>
        <v>SGS Paving</v>
      </c>
      <c r="B16" s="69">
        <f>Summaries!J43</f>
        <v>21</v>
      </c>
      <c r="C16" s="69">
        <f>Summaries!K43</f>
        <v>28</v>
      </c>
      <c r="D16" s="69">
        <f t="shared" si="0"/>
        <v>8</v>
      </c>
      <c r="E16" s="43">
        <f>PavingSGS!L15</f>
        <v>0</v>
      </c>
      <c r="F16" s="43">
        <f>PavingSGS!L23-E16</f>
        <v>68.248</v>
      </c>
      <c r="G16" s="14">
        <f t="shared" si="1"/>
        <v>0</v>
      </c>
      <c r="H16" s="14">
        <f t="shared" si="2"/>
        <v>545.984</v>
      </c>
      <c r="I16" s="14">
        <f>PavingSGS!M62</f>
        <v>122</v>
      </c>
      <c r="J16" s="14">
        <f>PavingSGS!N62</f>
        <v>246</v>
      </c>
      <c r="K16" s="14">
        <f t="shared" si="3"/>
        <v>48.8</v>
      </c>
      <c r="L16" s="14">
        <f t="shared" si="4"/>
        <v>98.4</v>
      </c>
      <c r="M16" s="72">
        <f t="shared" si="5"/>
        <v>48.8</v>
      </c>
      <c r="N16" s="72">
        <f t="shared" si="6"/>
        <v>644.384</v>
      </c>
    </row>
    <row r="17" spans="1:14" ht="12.75">
      <c r="A17" s="4" t="str">
        <f>Summaries!A45</f>
        <v>SGS Equipment Installation</v>
      </c>
      <c r="B17" s="69">
        <f>Summaries!J45</f>
        <v>29</v>
      </c>
      <c r="C17" s="69">
        <f>Summaries!K45</f>
        <v>150</v>
      </c>
      <c r="D17" s="69">
        <f t="shared" si="0"/>
        <v>122</v>
      </c>
      <c r="E17" s="43">
        <f>'Equipment InstallationSGS'!L16</f>
        <v>0</v>
      </c>
      <c r="F17" s="43">
        <f>'Equipment InstallationSGS'!L24-E17</f>
        <v>259.12800000000004</v>
      </c>
      <c r="G17" s="14">
        <f t="shared" si="1"/>
        <v>0</v>
      </c>
      <c r="H17" s="14">
        <f t="shared" si="2"/>
        <v>31613.616000000005</v>
      </c>
      <c r="I17" s="14">
        <f>'Equipment InstallationSGS'!M62</f>
        <v>4005</v>
      </c>
      <c r="J17" s="14">
        <f>'Equipment InstallationSGS'!N62</f>
        <v>451</v>
      </c>
      <c r="K17" s="14">
        <f t="shared" si="3"/>
        <v>24430.5</v>
      </c>
      <c r="L17" s="14">
        <f t="shared" si="4"/>
        <v>2751.1</v>
      </c>
      <c r="M17" s="72">
        <f t="shared" si="5"/>
        <v>24430.5</v>
      </c>
      <c r="N17" s="72">
        <f t="shared" si="6"/>
        <v>34364.71600000001</v>
      </c>
    </row>
    <row r="18" spans="1:14" ht="12.75">
      <c r="A18" s="4" t="str">
        <f>Summaries!A47</f>
        <v>VGS Demolition</v>
      </c>
      <c r="B18" s="69">
        <f>Summaries!J47</f>
        <v>1</v>
      </c>
      <c r="C18" s="69">
        <f>Summaries!K47</f>
        <v>10</v>
      </c>
      <c r="D18" s="69">
        <f t="shared" si="0"/>
        <v>10</v>
      </c>
      <c r="E18" s="43">
        <f>DemolitionVGS!L15</f>
        <v>0</v>
      </c>
      <c r="F18" s="43">
        <f>DemolitionVGS!L23-E18</f>
        <v>315.3848</v>
      </c>
      <c r="G18" s="14">
        <f t="shared" si="1"/>
        <v>0</v>
      </c>
      <c r="H18" s="14">
        <f t="shared" si="2"/>
        <v>3153.848</v>
      </c>
      <c r="I18" s="14">
        <f>DemolitionVGS!M72</f>
        <v>681</v>
      </c>
      <c r="J18" s="14">
        <f>DemolitionVGS!N72</f>
        <v>412</v>
      </c>
      <c r="K18" s="14">
        <f t="shared" si="3"/>
        <v>340.5</v>
      </c>
      <c r="L18" s="14">
        <f t="shared" si="4"/>
        <v>206</v>
      </c>
      <c r="M18" s="72">
        <f t="shared" si="5"/>
        <v>340.5</v>
      </c>
      <c r="N18" s="72">
        <f t="shared" si="6"/>
        <v>3359.848</v>
      </c>
    </row>
    <row r="19" spans="1:14" ht="12.75">
      <c r="A19" s="4" t="str">
        <f>Summaries!A49</f>
        <v>VGS Grading</v>
      </c>
      <c r="B19" s="69">
        <f>Summaries!J49</f>
        <v>11</v>
      </c>
      <c r="C19" s="69">
        <f>Summaries!K49</f>
        <v>15</v>
      </c>
      <c r="D19" s="69">
        <f t="shared" si="0"/>
        <v>5</v>
      </c>
      <c r="E19" s="43">
        <f>GradingVGS!L15</f>
        <v>0</v>
      </c>
      <c r="F19" s="43">
        <f>GradingVGS!L23-E19</f>
        <v>97.33200000000001</v>
      </c>
      <c r="G19" s="14">
        <f t="shared" si="1"/>
        <v>0</v>
      </c>
      <c r="H19" s="14">
        <f t="shared" si="2"/>
        <v>486.66</v>
      </c>
      <c r="I19" s="14">
        <f>GradingVGS!M62</f>
        <v>120</v>
      </c>
      <c r="J19" s="14">
        <f>GradingVGS!N62</f>
        <v>1</v>
      </c>
      <c r="K19" s="14">
        <f t="shared" si="3"/>
        <v>30</v>
      </c>
      <c r="L19" s="14">
        <f t="shared" si="4"/>
        <v>0.25</v>
      </c>
      <c r="M19" s="72">
        <f t="shared" si="5"/>
        <v>30</v>
      </c>
      <c r="N19" s="72">
        <f t="shared" si="6"/>
        <v>486.91</v>
      </c>
    </row>
    <row r="20" spans="1:14" ht="12.75">
      <c r="A20" s="4" t="str">
        <f>Summaries!A51</f>
        <v>VGS Foundations </v>
      </c>
      <c r="B20" s="69">
        <f>Summaries!J51</f>
        <v>16</v>
      </c>
      <c r="C20" s="69">
        <f>Summaries!K51</f>
        <v>22</v>
      </c>
      <c r="D20" s="69">
        <f t="shared" si="0"/>
        <v>7</v>
      </c>
      <c r="E20" s="43">
        <f>FoundationsVGS!L15</f>
        <v>5.951999999999999</v>
      </c>
      <c r="F20" s="43">
        <f>FoundationsVGS!L23-E20-E20</f>
        <v>52.08000000000001</v>
      </c>
      <c r="G20" s="14">
        <f t="shared" si="1"/>
        <v>41.663999999999994</v>
      </c>
      <c r="H20" s="14">
        <f t="shared" si="2"/>
        <v>364.56000000000006</v>
      </c>
      <c r="I20" s="14">
        <f>FoundationsVGS!M61</f>
        <v>2006</v>
      </c>
      <c r="J20" s="14">
        <f>FoundationsVGS!N61</f>
        <v>1025</v>
      </c>
      <c r="K20" s="14">
        <f t="shared" si="3"/>
        <v>702.1</v>
      </c>
      <c r="L20" s="14">
        <f t="shared" si="4"/>
        <v>358.75</v>
      </c>
      <c r="M20" s="72">
        <f t="shared" si="5"/>
        <v>743.764</v>
      </c>
      <c r="N20" s="72">
        <f t="shared" si="6"/>
        <v>723.3100000000001</v>
      </c>
    </row>
    <row r="21" spans="1:14" ht="12.75">
      <c r="A21" s="4" t="str">
        <f>Summaries!A53</f>
        <v>VGS Paving</v>
      </c>
      <c r="B21" s="69">
        <f>Summaries!J53</f>
        <v>21</v>
      </c>
      <c r="C21" s="69">
        <f>Summaries!K53</f>
        <v>25</v>
      </c>
      <c r="D21" s="69">
        <f t="shared" si="0"/>
        <v>5</v>
      </c>
      <c r="E21" s="43">
        <f>PavingVGS!L15</f>
        <v>0</v>
      </c>
      <c r="F21" s="43">
        <f>PavingVGS!L23-E21</f>
        <v>68.248</v>
      </c>
      <c r="G21" s="14">
        <f t="shared" si="1"/>
        <v>0</v>
      </c>
      <c r="H21" s="14">
        <f t="shared" si="2"/>
        <v>341.24</v>
      </c>
      <c r="I21" s="14">
        <f>PavingVGS!M62</f>
        <v>122</v>
      </c>
      <c r="J21" s="14">
        <f>PavingVGS!N62</f>
        <v>328</v>
      </c>
      <c r="K21" s="14">
        <f t="shared" si="3"/>
        <v>30.5</v>
      </c>
      <c r="L21" s="14">
        <f t="shared" si="4"/>
        <v>82</v>
      </c>
      <c r="M21" s="72">
        <f t="shared" si="5"/>
        <v>30.5</v>
      </c>
      <c r="N21" s="72">
        <f t="shared" si="6"/>
        <v>423.24</v>
      </c>
    </row>
    <row r="22" spans="1:14" ht="12.75">
      <c r="A22" s="4" t="str">
        <f>Summaries!A55</f>
        <v>VGS Equipment Installation</v>
      </c>
      <c r="B22" s="69">
        <f>Summaries!J55</f>
        <v>29</v>
      </c>
      <c r="C22" s="69">
        <f>Summaries!K55</f>
        <v>150</v>
      </c>
      <c r="D22" s="69">
        <f t="shared" si="0"/>
        <v>122</v>
      </c>
      <c r="E22" s="43">
        <f>'Equipment InstallationVGS'!L16</f>
        <v>0</v>
      </c>
      <c r="F22" s="43">
        <f>'Equipment InstallationVGS'!L24-E22</f>
        <v>274.99600000000004</v>
      </c>
      <c r="G22" s="14">
        <f t="shared" si="1"/>
        <v>0</v>
      </c>
      <c r="H22" s="14">
        <f t="shared" si="2"/>
        <v>33549.512</v>
      </c>
      <c r="I22" s="14">
        <f>'Equipment InstallationVGS'!M62</f>
        <v>4204</v>
      </c>
      <c r="J22" s="14">
        <f>'Equipment InstallationVGS'!N62</f>
        <v>410</v>
      </c>
      <c r="K22" s="14">
        <f t="shared" si="3"/>
        <v>25644.4</v>
      </c>
      <c r="L22" s="14">
        <f t="shared" si="4"/>
        <v>2501</v>
      </c>
      <c r="M22" s="72">
        <f t="shared" si="5"/>
        <v>25644.4</v>
      </c>
      <c r="N22" s="72">
        <f t="shared" si="6"/>
        <v>36050.512</v>
      </c>
    </row>
    <row r="23" spans="1:14" ht="12.75">
      <c r="A23" s="15" t="s">
        <v>24</v>
      </c>
      <c r="B23" s="4"/>
      <c r="C23" s="4"/>
      <c r="D23" s="4"/>
      <c r="E23" s="4"/>
      <c r="F23" s="4"/>
      <c r="G23" s="72">
        <f>SUM(G7:G22)</f>
        <v>327.35999999999996</v>
      </c>
      <c r="H23" s="72">
        <f>SUM(H7:H22)</f>
        <v>167282.37200000003</v>
      </c>
      <c r="I23" s="4"/>
      <c r="J23" s="4"/>
      <c r="K23" s="72">
        <f>SUM(K7:K22)</f>
        <v>152647.25</v>
      </c>
      <c r="L23" s="72">
        <f>SUM(L7:L22)</f>
        <v>11403.3</v>
      </c>
      <c r="M23" s="72">
        <f>SUM(M7:M22)</f>
        <v>152974.61</v>
      </c>
      <c r="N23" s="72">
        <f>SUM(N7:N22)</f>
        <v>178685.67200000002</v>
      </c>
    </row>
    <row r="24" ht="12.75">
      <c r="A24" s="13" t="s">
        <v>271</v>
      </c>
    </row>
    <row r="25" ht="12.75">
      <c r="A25" s="13" t="s">
        <v>272</v>
      </c>
    </row>
  </sheetData>
  <sheetProtection/>
  <mergeCells count="5">
    <mergeCell ref="M5:N5"/>
    <mergeCell ref="I5:L5"/>
    <mergeCell ref="A1:N1"/>
    <mergeCell ref="A2:N2"/>
    <mergeCell ref="E5:H5"/>
  </mergeCells>
  <printOptions horizontalCentered="1"/>
  <pageMargins left="0.75" right="0.75" top="1" bottom="1" header="0.5" footer="0.5"/>
  <pageSetup fitToHeight="1" fitToWidth="1" orientation="landscape" scale="86" r:id="rId1"/>
  <headerFooter alignWithMargins="0">
    <oddFooter>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2"/>
  <dimension ref="A1:AF379"/>
  <sheetViews>
    <sheetView zoomScalePageLayoutView="0" workbookViewId="0" topLeftCell="A220">
      <selection activeCell="C249" sqref="C249:I250"/>
    </sheetView>
  </sheetViews>
  <sheetFormatPr defaultColWidth="9.140625" defaultRowHeight="12.75"/>
  <cols>
    <col min="1" max="1" width="37.57421875" style="0" customWidth="1"/>
    <col min="2" max="2" width="10.28125" style="0" bestFit="1" customWidth="1"/>
    <col min="10" max="10" width="11.28125" style="0" customWidth="1"/>
    <col min="11" max="11" width="11.421875" style="0" customWidth="1"/>
  </cols>
  <sheetData>
    <row r="1" spans="1:8" ht="12.75">
      <c r="A1" s="87" t="s">
        <v>333</v>
      </c>
      <c r="B1" s="87"/>
      <c r="C1" s="87"/>
      <c r="D1" s="87"/>
      <c r="E1" s="87"/>
      <c r="F1" s="87"/>
      <c r="G1" s="87"/>
      <c r="H1" s="87"/>
    </row>
    <row r="2" spans="1:8" ht="12.75">
      <c r="A2" s="85" t="s">
        <v>347</v>
      </c>
      <c r="B2" s="85"/>
      <c r="C2" s="85"/>
      <c r="D2" s="85"/>
      <c r="E2" s="85"/>
      <c r="F2" s="85"/>
      <c r="G2" s="85"/>
      <c r="H2" s="85"/>
    </row>
    <row r="3" spans="1:8" ht="42">
      <c r="A3" s="2" t="s">
        <v>131</v>
      </c>
      <c r="B3" s="3" t="s">
        <v>193</v>
      </c>
      <c r="C3" s="3" t="s">
        <v>194</v>
      </c>
      <c r="D3" s="3" t="s">
        <v>199</v>
      </c>
      <c r="E3" s="3" t="s">
        <v>200</v>
      </c>
      <c r="F3" s="3" t="s">
        <v>208</v>
      </c>
      <c r="G3" s="3" t="s">
        <v>209</v>
      </c>
      <c r="H3" s="3" t="s">
        <v>210</v>
      </c>
    </row>
    <row r="4" spans="1:8" ht="12.75">
      <c r="A4" s="51" t="s">
        <v>94</v>
      </c>
      <c r="B4" s="43">
        <f>FoundationsHGS!B69+PavingHGS!B69+FoundationsSGS!B68+PavingSGS!B69+FoundationsVGS!B68+PavingVGS!B69</f>
        <v>408.34224000000006</v>
      </c>
      <c r="C4" s="43">
        <f>TankDemolitionHGS!C92+SlabDemolitionSGS!C69+DemolitionVGSAltC!C79</f>
        <v>38.959728</v>
      </c>
      <c r="D4" s="43">
        <f>'Equipment InstallationHGS'!D69+'Equipment InstallationSGS'!D69+'Equipment InstallationVGS'!D69</f>
        <v>590.5340799999999</v>
      </c>
      <c r="E4" s="43">
        <f>'Equipment InstallationHGS'!E69+'Equipment InstallationSGS'!E69+'Equipment InstallationVGS'!E69</f>
        <v>48.62256</v>
      </c>
      <c r="F4" s="43">
        <f>GradingHGS!F69+BackfillHGS!F69+GradingSGS!F69+FoundationsVGS!F68</f>
        <v>23.05704</v>
      </c>
      <c r="G4" s="43"/>
      <c r="H4" s="43">
        <f>GradingHGS!H69+BackfillHGS!H69+GradingSGS!H69+FoundationsVGS!H68</f>
        <v>23.05704</v>
      </c>
    </row>
    <row r="5" spans="1:8" ht="12.75">
      <c r="A5" s="51" t="s">
        <v>127</v>
      </c>
      <c r="B5" s="43">
        <f>FoundationsHGS!B70+PavingHGS!B70+FoundationsSGS!B69+PavingSGS!B70+FoundationsVGS!B69+PavingVGS!B70</f>
        <v>13.495282186948854</v>
      </c>
      <c r="C5" s="43">
        <f>TankDemolitionHGS!C93+SlabDemolitionSGS!C70+DemolitionVGSAltC!C80</f>
        <v>0.8339638447971781</v>
      </c>
      <c r="D5" s="43">
        <f>'Equipment InstallationHGS'!D70+'Equipment InstallationSGS'!D70+'Equipment InstallationVGS'!D70</f>
        <v>1.6072089947089945</v>
      </c>
      <c r="E5" s="43">
        <f>'Equipment InstallationHGS'!E70+'Equipment InstallationSGS'!E70+'Equipment InstallationVGS'!E70</f>
        <v>0</v>
      </c>
      <c r="F5" s="43">
        <f>GradingHGS!F70+BackfillHGS!F70+GradingSGS!F70+FoundationsVGS!F69</f>
        <v>0.11743827160493826</v>
      </c>
      <c r="G5" s="43"/>
      <c r="H5" s="43">
        <f>GradingHGS!H70+BackfillHGS!H70+GradingSGS!H70+FoundationsVGS!H69</f>
        <v>0.11743827160493826</v>
      </c>
    </row>
    <row r="6" spans="1:8" ht="12.75">
      <c r="A6" s="51" t="s">
        <v>95</v>
      </c>
      <c r="B6" s="43"/>
      <c r="C6" s="43"/>
      <c r="D6" s="43"/>
      <c r="E6" s="43"/>
      <c r="F6" s="43"/>
      <c r="G6" s="43">
        <f>GradingHGS!G71+BackfillHGS!G71+GradingSGS!G71+FoundationsVGS!G70</f>
        <v>108.91979721550221</v>
      </c>
      <c r="H6" s="43">
        <f>GradingHGS!H71+BackfillHGS!H71+GradingSGS!H71+FoundationsVGS!H70</f>
        <v>108.91979721550221</v>
      </c>
    </row>
    <row r="7" spans="1:8" ht="12.75">
      <c r="A7" s="51" t="s">
        <v>96</v>
      </c>
      <c r="B7" s="43"/>
      <c r="C7" s="43">
        <f>TankDemolitionHGS!C95+SlabDemolitionSGS!C72+DemolitionVGSAltC!C82</f>
        <v>0</v>
      </c>
      <c r="D7" s="43"/>
      <c r="E7" s="43"/>
      <c r="F7" s="43"/>
      <c r="G7" s="43"/>
      <c r="H7" s="43">
        <f>GradingHGS!H72+BackfillHGS!H72+GradingSGS!H72+FoundationsVGS!H71</f>
        <v>0</v>
      </c>
    </row>
    <row r="8" spans="1:8" ht="12.75">
      <c r="A8" s="51" t="s">
        <v>97</v>
      </c>
      <c r="B8" s="43"/>
      <c r="C8" s="43">
        <f>TankDemolitionHGS!C96+SlabDemolitionSGS!C73+DemolitionVGSAltC!C83</f>
        <v>0</v>
      </c>
      <c r="D8" s="43"/>
      <c r="E8" s="43"/>
      <c r="F8" s="43"/>
      <c r="G8" s="43"/>
      <c r="H8" s="43">
        <f>GradingHGS!H73+BackfillHGS!H73+GradingSGS!H73+FoundationsVGS!H72</f>
        <v>0</v>
      </c>
    </row>
    <row r="9" spans="1:8" ht="12.75">
      <c r="A9" s="51" t="s">
        <v>189</v>
      </c>
      <c r="B9" s="43"/>
      <c r="C9" s="43">
        <f>TankDemolitionHGS!C97+DemolitionVGSAltC!C84</f>
        <v>269.2718919995366</v>
      </c>
      <c r="D9" s="43"/>
      <c r="E9" s="43"/>
      <c r="F9" s="43"/>
      <c r="G9" s="43"/>
      <c r="H9" s="43"/>
    </row>
    <row r="10" spans="1:8" ht="12.75">
      <c r="A10" s="15" t="s">
        <v>98</v>
      </c>
      <c r="B10" s="44">
        <f aca="true" t="shared" si="0" ref="B10:H10">SUM(B4:B9)</f>
        <v>421.8375221869489</v>
      </c>
      <c r="C10" s="44">
        <f t="shared" si="0"/>
        <v>309.0655838443338</v>
      </c>
      <c r="D10" s="44">
        <f t="shared" si="0"/>
        <v>592.1412889947089</v>
      </c>
      <c r="E10" s="44">
        <f t="shared" si="0"/>
        <v>48.62256</v>
      </c>
      <c r="F10" s="44">
        <f t="shared" si="0"/>
        <v>23.17447827160494</v>
      </c>
      <c r="G10" s="44">
        <f t="shared" si="0"/>
        <v>108.91979721550221</v>
      </c>
      <c r="H10" s="44">
        <f t="shared" si="0"/>
        <v>132.09427548710715</v>
      </c>
    </row>
    <row r="11" spans="1:8" ht="12.75">
      <c r="A11" s="51" t="s">
        <v>167</v>
      </c>
      <c r="B11" s="45"/>
      <c r="C11" s="45"/>
      <c r="D11" s="45"/>
      <c r="E11" s="45"/>
      <c r="F11" s="45"/>
      <c r="G11" s="45">
        <f>GradingHGS!G75+BackfillHGS!G75+GradingSGS!G75+FoundationsVGS!G74</f>
        <v>80.13363569128998</v>
      </c>
      <c r="H11" s="45">
        <f>F11+G11</f>
        <v>80.13363569128998</v>
      </c>
    </row>
    <row r="12" spans="1:8" ht="12.75">
      <c r="A12" s="51" t="s">
        <v>99</v>
      </c>
      <c r="B12" s="43">
        <f>FoundationsHGS!B77+PavingHGS!B77+FoundationsSGS!B76+PavingSGS!B77+FoundationsVGS!B76+PavingVGS!B77</f>
        <v>246.1710758377425</v>
      </c>
      <c r="C12" s="45">
        <f>TankDemolitionHGS!C100+SlabDemolitionSGS!C76+DemolitionVGSAltC!C88</f>
        <v>9.138668430335096</v>
      </c>
      <c r="D12" s="43">
        <f>'Equipment InstallationHGS'!D77+'Equipment InstallationSGS'!D77+'Equipment InstallationVGS'!D77</f>
        <v>67.62059082892415</v>
      </c>
      <c r="E12" s="43">
        <f>'Equipment InstallationHGS'!E77+'Equipment InstallationSGS'!E77+'Equipment InstallationVGS'!E77</f>
        <v>0</v>
      </c>
      <c r="F12" s="45">
        <f>GradingHGS!F76+BackfillHGS!F76+GradingSGS!F76+FoundationsVGS!F75</f>
        <v>3.902116402116402</v>
      </c>
      <c r="G12" s="45">
        <f>GradingHGS!G76+BackfillHGS!G76+GradingSGS!G76+FoundationsVGS!G75</f>
        <v>178.31216188701904</v>
      </c>
      <c r="H12" s="45">
        <f>F12+G12</f>
        <v>182.21427828913545</v>
      </c>
    </row>
    <row r="13" spans="1:8" ht="12.75">
      <c r="A13" s="15" t="s">
        <v>168</v>
      </c>
      <c r="B13" s="44">
        <f aca="true" t="shared" si="1" ref="B13:G13">SUM(B11:B12)</f>
        <v>246.1710758377425</v>
      </c>
      <c r="C13" s="44">
        <f t="shared" si="1"/>
        <v>9.138668430335096</v>
      </c>
      <c r="D13" s="44">
        <f t="shared" si="1"/>
        <v>67.62059082892415</v>
      </c>
      <c r="E13" s="44">
        <f t="shared" si="1"/>
        <v>0</v>
      </c>
      <c r="F13" s="44">
        <f t="shared" si="1"/>
        <v>3.902116402116402</v>
      </c>
      <c r="G13" s="44">
        <f t="shared" si="1"/>
        <v>258.445797578309</v>
      </c>
      <c r="H13" s="44">
        <f>F13+G13</f>
        <v>262.3479139804254</v>
      </c>
    </row>
    <row r="14" spans="1:8" ht="12.75">
      <c r="A14" s="15" t="s">
        <v>24</v>
      </c>
      <c r="B14" s="44">
        <f aca="true" t="shared" si="2" ref="B14:H14">B10+B13</f>
        <v>668.0085980246914</v>
      </c>
      <c r="C14" s="44">
        <f t="shared" si="2"/>
        <v>318.2042522746689</v>
      </c>
      <c r="D14" s="44">
        <f t="shared" si="2"/>
        <v>659.7618798236331</v>
      </c>
      <c r="E14" s="44">
        <f t="shared" si="2"/>
        <v>48.62256</v>
      </c>
      <c r="F14" s="44">
        <f t="shared" si="2"/>
        <v>27.076594673721342</v>
      </c>
      <c r="G14" s="44">
        <f t="shared" si="2"/>
        <v>367.3655947938112</v>
      </c>
      <c r="H14" s="44">
        <f t="shared" si="2"/>
        <v>394.44218946753256</v>
      </c>
    </row>
    <row r="15" spans="1:8" ht="12.75">
      <c r="A15" s="68" t="s">
        <v>252</v>
      </c>
      <c r="B15" s="70">
        <v>550</v>
      </c>
      <c r="C15" s="70">
        <v>75</v>
      </c>
      <c r="D15" s="70">
        <v>100</v>
      </c>
      <c r="E15" s="70">
        <v>150</v>
      </c>
      <c r="F15" s="70"/>
      <c r="G15" s="70"/>
      <c r="H15" s="70">
        <v>150</v>
      </c>
    </row>
    <row r="16" spans="1:8" ht="12.75">
      <c r="A16" s="51" t="s">
        <v>253</v>
      </c>
      <c r="B16" s="44" t="str">
        <f>IF(B14&gt;B15,"Yes","No")</f>
        <v>Yes</v>
      </c>
      <c r="C16" s="44" t="str">
        <f>IF(C14&gt;C15,"Yes","No")</f>
        <v>Yes</v>
      </c>
      <c r="D16" s="44" t="str">
        <f>IF(D14&gt;D15,"Yes","No")</f>
        <v>Yes</v>
      </c>
      <c r="E16" s="45" t="str">
        <f>IF(E14&gt;E15,"Yes","No")</f>
        <v>No</v>
      </c>
      <c r="F16" s="44"/>
      <c r="G16" s="44"/>
      <c r="H16" s="44" t="str">
        <f>IF(H14&gt;H15,"Yes","No")</f>
        <v>Yes</v>
      </c>
    </row>
    <row r="17" ht="12.75">
      <c r="A17" s="39" t="s">
        <v>132</v>
      </c>
    </row>
    <row r="18" ht="12.75">
      <c r="A18" s="39" t="s">
        <v>365</v>
      </c>
    </row>
    <row r="19" ht="13.5">
      <c r="A19" s="39" t="s">
        <v>372</v>
      </c>
    </row>
    <row r="22" spans="1:11" ht="12.75">
      <c r="A22" s="87" t="s">
        <v>334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>
      <c r="A23" s="85" t="s">
        <v>348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32" ht="39">
      <c r="A24" s="27" t="s">
        <v>87</v>
      </c>
      <c r="B24" s="2" t="s">
        <v>101</v>
      </c>
      <c r="C24" s="3" t="s">
        <v>39</v>
      </c>
      <c r="D24" s="3" t="s">
        <v>126</v>
      </c>
      <c r="E24" s="3" t="s">
        <v>37</v>
      </c>
      <c r="F24" s="3" t="s">
        <v>38</v>
      </c>
      <c r="G24" s="3" t="s">
        <v>40</v>
      </c>
      <c r="H24" s="3" t="s">
        <v>41</v>
      </c>
      <c r="I24" s="3" t="s">
        <v>42</v>
      </c>
      <c r="J24" s="3" t="s">
        <v>274</v>
      </c>
      <c r="K24" s="75" t="s">
        <v>275</v>
      </c>
      <c r="L24" s="81"/>
      <c r="M24" s="77"/>
      <c r="N24" s="29"/>
      <c r="O24" s="78"/>
      <c r="P24" s="7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2.75">
      <c r="A25" s="5" t="str">
        <f>+TankDemolitionHGS!A$1</f>
        <v>HGS Tank Demolition</v>
      </c>
      <c r="B25" s="74" t="s">
        <v>111</v>
      </c>
      <c r="C25" s="42">
        <f>TankDemolitionHGS!B$98</f>
        <v>131.8359452275132</v>
      </c>
      <c r="D25" s="42">
        <f>TankDemolitionHGS!C$98</f>
        <v>292.9318887967147</v>
      </c>
      <c r="E25" s="42">
        <f>TankDemolitionHGS!D$98</f>
        <v>238.04909526631394</v>
      </c>
      <c r="F25" s="42">
        <f>TankDemolitionHGS!E$98</f>
        <v>20.319903999999998</v>
      </c>
      <c r="G25" s="42">
        <f>TankDemolitionHGS!F$98</f>
        <v>13.93300493121693</v>
      </c>
      <c r="H25" s="42">
        <f>TankDemolitionHGS!G$98</f>
        <v>15.962114231331839</v>
      </c>
      <c r="I25" s="42">
        <f>TankDemolitionHGS!H$98</f>
        <v>29.895119162548767</v>
      </c>
      <c r="J25" s="14">
        <v>1</v>
      </c>
      <c r="K25" s="76">
        <v>10</v>
      </c>
      <c r="L25" s="82"/>
      <c r="M25" s="79"/>
      <c r="N25" s="79"/>
      <c r="O25" s="80"/>
      <c r="P25" s="80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2.75">
      <c r="A26" s="56"/>
      <c r="B26" s="74" t="s">
        <v>112</v>
      </c>
      <c r="C26" s="42">
        <f>TankDemolitionHGS!B$101</f>
        <v>30.625044091710755</v>
      </c>
      <c r="D26" s="42">
        <f>TankDemolitionHGS!C$101</f>
        <v>4.474426807760141</v>
      </c>
      <c r="E26" s="42">
        <f>TankDemolitionHGS!D$101</f>
        <v>22.32768959435626</v>
      </c>
      <c r="F26" s="42">
        <f>TankDemolitionHGS!E$101</f>
        <v>0</v>
      </c>
      <c r="G26" s="42">
        <f>TankDemolitionHGS!F$101</f>
        <v>1.3527336860670194</v>
      </c>
      <c r="H26" s="42">
        <f>TankDemolitionHGS!G$101</f>
        <v>103.14306188919466</v>
      </c>
      <c r="I26" s="42">
        <f>TankDemolitionHGS!H$101</f>
        <v>104.49579557526168</v>
      </c>
      <c r="J26" s="14">
        <v>1</v>
      </c>
      <c r="K26" s="76">
        <v>10</v>
      </c>
      <c r="L26" s="82"/>
      <c r="M26" s="79"/>
      <c r="N26" s="79"/>
      <c r="O26" s="80"/>
      <c r="P26" s="80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2.75">
      <c r="A27" s="5" t="str">
        <f>+BackfillHGS!A$1</f>
        <v>HGS Backfill</v>
      </c>
      <c r="B27" s="74" t="s">
        <v>111</v>
      </c>
      <c r="C27" s="42">
        <f>BackfillHGS!B$74</f>
        <v>151.92707132275132</v>
      </c>
      <c r="D27" s="42">
        <f>BackfillHGS!C$74</f>
        <v>32.61926158730159</v>
      </c>
      <c r="E27" s="42">
        <f>BackfillHGS!D$74</f>
        <v>302.86940726631394</v>
      </c>
      <c r="F27" s="42">
        <f>BackfillHGS!E$74</f>
        <v>27.25184</v>
      </c>
      <c r="G27" s="42">
        <f>BackfillHGS!F$74</f>
        <v>14.720872874779541</v>
      </c>
      <c r="H27" s="42">
        <f>BackfillHGS!G$74</f>
        <v>93.15574416571152</v>
      </c>
      <c r="I27" s="42">
        <f>BackfillHGS!H$74</f>
        <v>107.87661704049107</v>
      </c>
      <c r="J27" s="14">
        <v>11</v>
      </c>
      <c r="K27" s="76">
        <v>20</v>
      </c>
      <c r="L27" s="82"/>
      <c r="M27" s="79"/>
      <c r="N27" s="79"/>
      <c r="O27" s="80"/>
      <c r="P27" s="80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2.75">
      <c r="A28" s="56"/>
      <c r="B28" s="74" t="s">
        <v>112</v>
      </c>
      <c r="C28" s="42">
        <f>BackfillHGS!B$77</f>
        <v>48.84303350970018</v>
      </c>
      <c r="D28" s="42">
        <f>BackfillHGS!C$77</f>
        <v>7.290564373897706</v>
      </c>
      <c r="E28" s="42">
        <f>BackfillHGS!D$77</f>
        <v>41.48456790123456</v>
      </c>
      <c r="F28" s="42">
        <f>BackfillHGS!E$77</f>
        <v>0</v>
      </c>
      <c r="G28" s="42">
        <f>BackfillHGS!F$77</f>
        <v>2.6014109347442678</v>
      </c>
      <c r="H28" s="42">
        <f>BackfillHGS!G$77</f>
        <v>197.32169668316112</v>
      </c>
      <c r="I28" s="42">
        <f>BackfillHGS!H$77</f>
        <v>199.9231076179054</v>
      </c>
      <c r="J28" s="14">
        <v>11</v>
      </c>
      <c r="K28" s="76">
        <v>20</v>
      </c>
      <c r="L28" s="82"/>
      <c r="M28" s="79"/>
      <c r="N28" s="79"/>
      <c r="O28" s="80"/>
      <c r="P28" s="80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2.75">
      <c r="A29" s="5" t="str">
        <f>+GradingHGS!A$1</f>
        <v>HGS Grading</v>
      </c>
      <c r="B29" s="74" t="s">
        <v>111</v>
      </c>
      <c r="C29" s="42">
        <f>GradingHGS!B$74</f>
        <v>52.030312380952374</v>
      </c>
      <c r="D29" s="42">
        <f>GradingHGS!C$74</f>
        <v>10.397080070546737</v>
      </c>
      <c r="E29" s="42">
        <f>GradingHGS!D$74</f>
        <v>78.8414514638448</v>
      </c>
      <c r="F29" s="42">
        <f>GradingHGS!E$74</f>
        <v>6.928800000000001</v>
      </c>
      <c r="G29" s="42">
        <f>GradingHGS!F$74</f>
        <v>4.477143880070546</v>
      </c>
      <c r="H29" s="42">
        <f>GradingHGS!G$74</f>
        <v>2.720367481859088</v>
      </c>
      <c r="I29" s="42">
        <f>GradingHGS!H$74</f>
        <v>7.197511361929634</v>
      </c>
      <c r="J29" s="14">
        <v>18</v>
      </c>
      <c r="K29" s="76">
        <v>20</v>
      </c>
      <c r="L29" s="82"/>
      <c r="M29" s="79"/>
      <c r="N29" s="79"/>
      <c r="O29" s="80"/>
      <c r="P29" s="80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2.75">
      <c r="A30" s="56"/>
      <c r="B30" s="74" t="s">
        <v>112</v>
      </c>
      <c r="C30" s="42">
        <f>GradingHGS!B$77</f>
        <v>1.4518518518518517</v>
      </c>
      <c r="D30" s="42">
        <f>GradingHGS!C$77</f>
        <v>0.1898148148148148</v>
      </c>
      <c r="E30" s="42">
        <f>GradingHGS!D$77</f>
        <v>0.20992063492063495</v>
      </c>
      <c r="F30" s="42">
        <f>GradingHGS!E$77</f>
        <v>0</v>
      </c>
      <c r="G30" s="42">
        <f>GradingHGS!F$77</f>
        <v>0</v>
      </c>
      <c r="H30" s="42">
        <f>GradingHGS!G$77</f>
        <v>0.14882767054190232</v>
      </c>
      <c r="I30" s="42">
        <f>GradingHGS!H$77</f>
        <v>0.14882767054190232</v>
      </c>
      <c r="J30" s="14">
        <v>18</v>
      </c>
      <c r="K30" s="76">
        <v>20</v>
      </c>
      <c r="L30" s="82"/>
      <c r="M30" s="79"/>
      <c r="N30" s="79"/>
      <c r="O30" s="80"/>
      <c r="P30" s="80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2.75">
      <c r="A31" s="5" t="str">
        <f>+FoundationsHGS!A$1</f>
        <v>HGS Foundations </v>
      </c>
      <c r="B31" s="74" t="s">
        <v>111</v>
      </c>
      <c r="C31" s="42">
        <f>FoundationsHGS!B$74</f>
        <v>254.5066582010582</v>
      </c>
      <c r="D31" s="42">
        <f>FoundationsHGS!C$74</f>
        <v>23.11844934744268</v>
      </c>
      <c r="E31" s="42">
        <f>FoundationsHGS!D$74</f>
        <v>131.5649686772487</v>
      </c>
      <c r="F31" s="42">
        <f>FoundationsHGS!E$74</f>
        <v>10.71856</v>
      </c>
      <c r="G31" s="42">
        <f>FoundationsHGS!F$74</f>
        <v>8.001243280423282</v>
      </c>
      <c r="H31" s="42">
        <f>FoundationsHGS!G$74</f>
        <v>40.00718810152328</v>
      </c>
      <c r="I31" s="42">
        <f>FoundationsHGS!H$74</f>
        <v>48.008431381946565</v>
      </c>
      <c r="J31" s="14">
        <v>21</v>
      </c>
      <c r="K31" s="76">
        <v>28</v>
      </c>
      <c r="L31" s="82"/>
      <c r="M31" s="79"/>
      <c r="N31" s="79"/>
      <c r="O31" s="80"/>
      <c r="P31" s="80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2.75">
      <c r="A32" s="56"/>
      <c r="B32" s="74" t="s">
        <v>112</v>
      </c>
      <c r="C32" s="42">
        <f>FoundationsHGS!B$77</f>
        <v>150.0299823633157</v>
      </c>
      <c r="D32" s="42">
        <f>FoundationsHGS!C$77</f>
        <v>20.212081128747794</v>
      </c>
      <c r="E32" s="42">
        <f>FoundationsHGS!D$77</f>
        <v>44.41137566137566</v>
      </c>
      <c r="F32" s="42">
        <f>FoundationsHGS!E$77</f>
        <v>0</v>
      </c>
      <c r="G32" s="42">
        <f>FoundationsHGS!F$77</f>
        <v>1.7169312169312168</v>
      </c>
      <c r="H32" s="42">
        <f>FoundationsHGS!G$77</f>
        <v>89.41900525793463</v>
      </c>
      <c r="I32" s="42">
        <f>FoundationsHGS!H$77</f>
        <v>91.13593647486584</v>
      </c>
      <c r="J32" s="14">
        <v>21</v>
      </c>
      <c r="K32" s="76">
        <v>28</v>
      </c>
      <c r="L32" s="82"/>
      <c r="M32" s="79"/>
      <c r="N32" s="79"/>
      <c r="O32" s="80"/>
      <c r="P32" s="80"/>
      <c r="Q32" s="67"/>
      <c r="R32" s="29"/>
      <c r="S32" s="23"/>
      <c r="T32" s="67"/>
      <c r="U32" s="67"/>
      <c r="V32" s="67"/>
      <c r="W32" s="67"/>
      <c r="X32" s="67"/>
      <c r="Y32" s="67"/>
      <c r="Z32" s="67"/>
      <c r="AA32" s="80"/>
      <c r="AB32" s="80"/>
      <c r="AC32" s="79"/>
      <c r="AD32" s="29"/>
      <c r="AE32" s="29"/>
      <c r="AF32" s="29"/>
    </row>
    <row r="33" spans="1:32" ht="12.75">
      <c r="A33" s="5" t="str">
        <f>+PavingHGS!A$1</f>
        <v>HGS Paving</v>
      </c>
      <c r="B33" s="74" t="s">
        <v>111</v>
      </c>
      <c r="C33" s="42">
        <f>PavingHGS!B$74</f>
        <v>47.72576888888889</v>
      </c>
      <c r="D33" s="42">
        <f>PavingHGS!C$74</f>
        <v>9.670684329169621</v>
      </c>
      <c r="E33" s="42">
        <f>PavingHGS!D$74</f>
        <v>68.83219238095238</v>
      </c>
      <c r="F33" s="42">
        <f>PavingHGS!E$74</f>
        <v>5.76544</v>
      </c>
      <c r="G33" s="42">
        <f>PavingHGS!F$74</f>
        <v>3.9127698765432095</v>
      </c>
      <c r="H33" s="42">
        <f>PavingHGS!G$74</f>
        <v>5.156307070129659</v>
      </c>
      <c r="I33" s="42">
        <f>PavingHGS!H$74</f>
        <v>9.069076946672869</v>
      </c>
      <c r="J33" s="14">
        <v>21</v>
      </c>
      <c r="K33" s="76">
        <v>28</v>
      </c>
      <c r="L33" s="82"/>
      <c r="M33" s="79"/>
      <c r="N33" s="79"/>
      <c r="O33" s="80"/>
      <c r="P33" s="80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2.75">
      <c r="A34" s="56"/>
      <c r="B34" s="74" t="s">
        <v>112</v>
      </c>
      <c r="C34" s="42">
        <f>PavingHGS!B$77</f>
        <v>21.385185185185186</v>
      </c>
      <c r="D34" s="42">
        <f>PavingHGS!C$77</f>
        <v>3.175925925925926</v>
      </c>
      <c r="E34" s="42">
        <f>PavingHGS!D$77</f>
        <v>17.5494708994709</v>
      </c>
      <c r="F34" s="42">
        <f>PavingHGS!E$77</f>
        <v>0</v>
      </c>
      <c r="G34" s="42">
        <f>PavingHGS!F$77</f>
        <v>1.0925925925925926</v>
      </c>
      <c r="H34" s="42">
        <f>PavingHGS!G$77</f>
        <v>49.308282218911025</v>
      </c>
      <c r="I34" s="42">
        <f>PavingHGS!H$77</f>
        <v>50.40087481150362</v>
      </c>
      <c r="J34" s="14">
        <v>21</v>
      </c>
      <c r="K34" s="76">
        <v>28</v>
      </c>
      <c r="L34" s="82"/>
      <c r="M34" s="79"/>
      <c r="N34" s="79"/>
      <c r="O34" s="80"/>
      <c r="P34" s="80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5" t="str">
        <f>+'Equipment InstallationHGS'!A$1</f>
        <v>HGS Equipment Installation</v>
      </c>
      <c r="B35" s="74" t="s">
        <v>111</v>
      </c>
      <c r="C35" s="42">
        <f>'Equipment InstallationHGS'!B$74</f>
        <v>179.9849588712522</v>
      </c>
      <c r="D35" s="42">
        <f>'Equipment InstallationHGS'!C$74</f>
        <v>75.95464649029982</v>
      </c>
      <c r="E35" s="42">
        <f>'Equipment InstallationHGS'!D$74</f>
        <v>341.5365085008818</v>
      </c>
      <c r="F35" s="42">
        <f>'Equipment InstallationHGS'!E$74</f>
        <v>27.257599999999996</v>
      </c>
      <c r="G35" s="42">
        <f>'Equipment InstallationHGS'!F$74</f>
        <v>19.54908705467372</v>
      </c>
      <c r="H35" s="42">
        <f>'Equipment InstallationHGS'!G$74</f>
        <v>18.755146205152037</v>
      </c>
      <c r="I35" s="42">
        <f>'Equipment InstallationHGS'!H$74</f>
        <v>38.30423325982576</v>
      </c>
      <c r="J35" s="14">
        <v>29</v>
      </c>
      <c r="K35" s="76">
        <v>150</v>
      </c>
      <c r="L35" s="82"/>
      <c r="M35" s="79"/>
      <c r="N35" s="79"/>
      <c r="O35" s="80"/>
      <c r="P35" s="80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2.75">
      <c r="A36" s="56"/>
      <c r="B36" s="74" t="s">
        <v>112</v>
      </c>
      <c r="C36" s="42">
        <f>'Equipment InstallationHGS'!B$77</f>
        <v>202.38095238095235</v>
      </c>
      <c r="D36" s="42">
        <f>'Equipment InstallationHGS'!C$77</f>
        <v>26.64021164021164</v>
      </c>
      <c r="E36" s="42">
        <f>'Equipment InstallationHGS'!D$77</f>
        <v>36.14638447971781</v>
      </c>
      <c r="F36" s="42">
        <f>'Equipment InstallationHGS'!E$77</f>
        <v>0</v>
      </c>
      <c r="G36" s="42">
        <f>'Equipment InstallationHGS'!F$77</f>
        <v>0.5202821869488536</v>
      </c>
      <c r="H36" s="42">
        <f>'Equipment InstallationHGS'!G$77</f>
        <v>43.182083156933274</v>
      </c>
      <c r="I36" s="42">
        <f>'Equipment InstallationHGS'!H$77</f>
        <v>43.70236534388213</v>
      </c>
      <c r="J36" s="14">
        <v>29</v>
      </c>
      <c r="K36" s="76">
        <v>150</v>
      </c>
      <c r="L36" s="82"/>
      <c r="M36" s="79"/>
      <c r="N36" s="79"/>
      <c r="O36" s="80"/>
      <c r="P36" s="80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2.75">
      <c r="A37" s="5" t="str">
        <f>SlabDemolitionSGS!A$1</f>
        <v>SGS Slab Demolition</v>
      </c>
      <c r="B37" s="74" t="s">
        <v>111</v>
      </c>
      <c r="C37" s="42">
        <f>SlabDemolitionSGS!B$74</f>
        <v>40.55226793650794</v>
      </c>
      <c r="D37" s="42">
        <f>SlabDemolitionSGS!C$74</f>
        <v>7.384035361552028</v>
      </c>
      <c r="E37" s="42">
        <f>SlabDemolitionSGS!D$74</f>
        <v>54.87344158730159</v>
      </c>
      <c r="F37" s="42">
        <f>SlabDemolitionSGS!E$74</f>
        <v>4.94304</v>
      </c>
      <c r="G37" s="42">
        <f>SlabDemolitionSGS!F$74</f>
        <v>2.745291287477954</v>
      </c>
      <c r="H37" s="42">
        <f>SlabDemolitionSGS!G$74</f>
        <v>5.767812861078884</v>
      </c>
      <c r="I37" s="42">
        <f>SlabDemolitionSGS!H$74</f>
        <v>8.513104148556838</v>
      </c>
      <c r="J37" s="14">
        <v>1</v>
      </c>
      <c r="K37" s="76">
        <v>10</v>
      </c>
      <c r="L37" s="82"/>
      <c r="M37" s="79"/>
      <c r="N37" s="79"/>
      <c r="O37" s="80"/>
      <c r="P37" s="80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2.75">
      <c r="A38" s="56"/>
      <c r="B38" s="74" t="s">
        <v>112</v>
      </c>
      <c r="C38" s="42">
        <f>SlabDemolitionSGS!B$77</f>
        <v>16.500881834215168</v>
      </c>
      <c r="D38" s="42">
        <f>SlabDemolitionSGS!C$77</f>
        <v>2.446869488536155</v>
      </c>
      <c r="E38" s="42">
        <f>SlabDemolitionSGS!D$77</f>
        <v>13.401014109347441</v>
      </c>
      <c r="F38" s="42">
        <f>SlabDemolitionSGS!E$77</f>
        <v>0</v>
      </c>
      <c r="G38" s="42">
        <f>SlabDemolitionSGS!F$77</f>
        <v>0.8324514991181656</v>
      </c>
      <c r="H38" s="42">
        <f>SlabDemolitionSGS!G$77</f>
        <v>63.2322395409367</v>
      </c>
      <c r="I38" s="42">
        <f>SlabDemolitionSGS!H$77</f>
        <v>64.06469104005487</v>
      </c>
      <c r="J38" s="14">
        <v>1</v>
      </c>
      <c r="K38" s="76">
        <v>10</v>
      </c>
      <c r="L38" s="82"/>
      <c r="M38" s="79"/>
      <c r="N38" s="79"/>
      <c r="O38" s="80"/>
      <c r="P38" s="80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2.75">
      <c r="A39" s="5" t="str">
        <f>GradingSGS!A$1</f>
        <v>SGS Grading</v>
      </c>
      <c r="B39" s="74" t="s">
        <v>111</v>
      </c>
      <c r="C39" s="42">
        <f>GradingSGS!B$74</f>
        <v>22.042837248677248</v>
      </c>
      <c r="D39" s="42">
        <f>GradingSGS!C$74</f>
        <v>5.905019206349206</v>
      </c>
      <c r="E39" s="42">
        <f>GradingSGS!D$74</f>
        <v>42.44424585537919</v>
      </c>
      <c r="F39" s="42">
        <f>GradingSGS!E$74</f>
        <v>3.89328</v>
      </c>
      <c r="G39" s="42">
        <f>GradingSGS!F$74</f>
        <v>2.200503880070547</v>
      </c>
      <c r="H39" s="42">
        <f>GradingSGS!G$74</f>
        <v>3.650305930902733</v>
      </c>
      <c r="I39" s="42">
        <f>GradingSGS!H$74</f>
        <v>5.85080981097328</v>
      </c>
      <c r="J39" s="14">
        <v>18</v>
      </c>
      <c r="K39" s="76">
        <v>20</v>
      </c>
      <c r="L39" s="82"/>
      <c r="M39" s="79"/>
      <c r="N39" s="79"/>
      <c r="O39" s="80"/>
      <c r="P39" s="80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2.75">
      <c r="A40" s="56"/>
      <c r="B40" s="74" t="s">
        <v>112</v>
      </c>
      <c r="C40" s="42">
        <f>GradingSGS!B$77</f>
        <v>1.4518518518518517</v>
      </c>
      <c r="D40" s="42">
        <f>GradingSGS!C$77</f>
        <v>0.1898148148148148</v>
      </c>
      <c r="E40" s="42">
        <f>GradingSGS!D$77</f>
        <v>0.20992063492063495</v>
      </c>
      <c r="F40" s="42">
        <f>GradingSGS!E$77</f>
        <v>0</v>
      </c>
      <c r="G40" s="42">
        <f>GradingSGS!F$77</f>
        <v>0</v>
      </c>
      <c r="H40" s="42">
        <f>GradingSGS!G$77</f>
        <v>0.14882767054190232</v>
      </c>
      <c r="I40" s="42">
        <f>GradingSGS!H$77</f>
        <v>0.14882767054190232</v>
      </c>
      <c r="J40" s="14">
        <v>18</v>
      </c>
      <c r="K40" s="76">
        <v>20</v>
      </c>
      <c r="L40" s="82"/>
      <c r="M40" s="79"/>
      <c r="N40" s="79"/>
      <c r="O40" s="80"/>
      <c r="P40" s="8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2.75">
      <c r="A41" s="5" t="str">
        <f>FoundationsSGS!A$1</f>
        <v>SGS Foundations </v>
      </c>
      <c r="B41" s="74" t="s">
        <v>111</v>
      </c>
      <c r="C41" s="42">
        <f>FoundationsSGS!B$73</f>
        <v>31.603055026455028</v>
      </c>
      <c r="D41" s="42">
        <f>FoundationsSGS!C$73</f>
        <v>3.2240066666666665</v>
      </c>
      <c r="E41" s="42">
        <f>FoundationsSGS!D$73</f>
        <v>20.58567343915344</v>
      </c>
      <c r="F41" s="42">
        <f>FoundationsSGS!E$73</f>
        <v>1.67896</v>
      </c>
      <c r="G41" s="42">
        <f>FoundationsSGS!F$73</f>
        <v>1.261565643738977</v>
      </c>
      <c r="H41" s="42">
        <f>FoundationsSGS!G$73</f>
        <v>5.428471079891953</v>
      </c>
      <c r="I41" s="42">
        <f>FoundationsSGS!H$73</f>
        <v>6.6900367236309295</v>
      </c>
      <c r="J41" s="14">
        <v>21</v>
      </c>
      <c r="K41" s="76">
        <v>28</v>
      </c>
      <c r="L41" s="82"/>
      <c r="M41" s="79"/>
      <c r="N41" s="79"/>
      <c r="O41" s="80"/>
      <c r="P41" s="80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2.75">
      <c r="A42" s="56"/>
      <c r="B42" s="74" t="s">
        <v>112</v>
      </c>
      <c r="C42" s="42">
        <f>FoundationsSGS!B$76</f>
        <v>13.331922398589064</v>
      </c>
      <c r="D42" s="42">
        <f>FoundationsSGS!C$76</f>
        <v>1.8877865961199294</v>
      </c>
      <c r="E42" s="42">
        <f>FoundationsSGS!D$76</f>
        <v>7.435229276895943</v>
      </c>
      <c r="F42" s="42">
        <f>FoundationsSGS!E$76</f>
        <v>0</v>
      </c>
      <c r="G42" s="42">
        <f>FoundationsSGS!F$76</f>
        <v>0.4162257495590828</v>
      </c>
      <c r="H42" s="42">
        <f>FoundationsSGS!G$76</f>
        <v>19.315634906758614</v>
      </c>
      <c r="I42" s="42">
        <f>FoundationsSGS!H$76</f>
        <v>19.731860656317696</v>
      </c>
      <c r="J42" s="14">
        <v>21</v>
      </c>
      <c r="K42" s="76">
        <v>28</v>
      </c>
      <c r="L42" s="82"/>
      <c r="M42" s="79"/>
      <c r="N42" s="79"/>
      <c r="O42" s="80"/>
      <c r="P42" s="8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2.75">
      <c r="A43" s="5" t="str">
        <f>PavingSGS!A$1</f>
        <v>SGS Paving</v>
      </c>
      <c r="B43" s="74" t="s">
        <v>111</v>
      </c>
      <c r="C43" s="42">
        <f>PavingSGS!B$74</f>
        <v>16.777976296296295</v>
      </c>
      <c r="D43" s="42">
        <f>PavingSGS!C$74</f>
        <v>2.5303883834251533</v>
      </c>
      <c r="E43" s="42">
        <f>PavingSGS!D$74</f>
        <v>32.1276455026455</v>
      </c>
      <c r="F43" s="42">
        <f>PavingSGS!E$74</f>
        <v>2.72992</v>
      </c>
      <c r="G43" s="42">
        <f>PavingSGS!F$74</f>
        <v>1.6257242328042325</v>
      </c>
      <c r="H43" s="42">
        <f>PavingSGS!G$74</f>
        <v>2.726090440785618</v>
      </c>
      <c r="I43" s="42">
        <f>PavingSGS!H$74</f>
        <v>4.351814673589851</v>
      </c>
      <c r="J43" s="14">
        <v>21</v>
      </c>
      <c r="K43" s="76">
        <v>28</v>
      </c>
      <c r="L43" s="82"/>
      <c r="M43" s="79"/>
      <c r="N43" s="79"/>
      <c r="O43" s="80"/>
      <c r="P43" s="80"/>
      <c r="Q43" s="67"/>
      <c r="R43" s="67"/>
      <c r="S43" s="67"/>
      <c r="T43" s="67"/>
      <c r="U43" s="67"/>
      <c r="V43" s="67"/>
      <c r="W43" s="67"/>
      <c r="X43" s="80"/>
      <c r="Y43" s="80"/>
      <c r="Z43" s="57"/>
      <c r="AA43" s="57"/>
      <c r="AB43" s="79"/>
      <c r="AC43" s="79"/>
      <c r="AD43" s="29"/>
      <c r="AE43" s="29"/>
      <c r="AF43" s="29"/>
    </row>
    <row r="44" spans="1:32" ht="12.75">
      <c r="A44" s="56"/>
      <c r="B44" s="74" t="s">
        <v>112</v>
      </c>
      <c r="C44" s="42">
        <f>PavingSGS!B$77</f>
        <v>6.732275132275133</v>
      </c>
      <c r="D44" s="42">
        <f>PavingSGS!C$77</f>
        <v>0.9887566137566136</v>
      </c>
      <c r="E44" s="42">
        <f>PavingSGS!D$77</f>
        <v>5.104100529100529</v>
      </c>
      <c r="F44" s="42">
        <f>PavingSGS!E$77</f>
        <v>0</v>
      </c>
      <c r="G44" s="42">
        <f>PavingSGS!F$77</f>
        <v>0.31216931216931215</v>
      </c>
      <c r="H44" s="42">
        <f>PavingSGS!G$77</f>
        <v>14.151863921349678</v>
      </c>
      <c r="I44" s="42">
        <f>PavingSGS!H$77</f>
        <v>14.46403323351899</v>
      </c>
      <c r="J44" s="14">
        <v>21</v>
      </c>
      <c r="K44" s="76">
        <v>28</v>
      </c>
      <c r="L44" s="82"/>
      <c r="M44" s="79"/>
      <c r="N44" s="79"/>
      <c r="O44" s="80"/>
      <c r="P44" s="80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>
      <c r="A45" s="5" t="str">
        <f>'Equipment InstallationSGS'!A$1</f>
        <v>SGS Equipment Installation</v>
      </c>
      <c r="B45" s="74" t="s">
        <v>111</v>
      </c>
      <c r="C45" s="42">
        <f>'Equipment InstallationSGS'!B$74</f>
        <v>64.06863915343915</v>
      </c>
      <c r="D45" s="42">
        <f>'Equipment InstallationSGS'!C$74</f>
        <v>48.85808971781305</v>
      </c>
      <c r="E45" s="42">
        <f>'Equipment InstallationSGS'!D$74</f>
        <v>119.92384391534392</v>
      </c>
      <c r="F45" s="42">
        <f>'Equipment InstallationSGS'!E$74</f>
        <v>10.365120000000001</v>
      </c>
      <c r="G45" s="42">
        <f>'Equipment InstallationSGS'!F$74</f>
        <v>6.747987760141093</v>
      </c>
      <c r="H45" s="42">
        <f>'Equipment InstallationSGS'!G$74</f>
        <v>7.270891719966053</v>
      </c>
      <c r="I45" s="42">
        <f>'Equipment InstallationSGS'!H$74</f>
        <v>14.018879480107145</v>
      </c>
      <c r="J45" s="14">
        <v>29</v>
      </c>
      <c r="K45" s="76">
        <v>150</v>
      </c>
      <c r="L45" s="82"/>
      <c r="M45" s="79"/>
      <c r="N45" s="79"/>
      <c r="O45" s="80"/>
      <c r="P45" s="80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56"/>
      <c r="B46" s="74" t="s">
        <v>112</v>
      </c>
      <c r="C46" s="42">
        <f>'Equipment InstallationSGS'!B$77</f>
        <v>58.075837742504405</v>
      </c>
      <c r="D46" s="42">
        <f>'Equipment InstallationSGS'!C$77</f>
        <v>7.791887125220459</v>
      </c>
      <c r="E46" s="42">
        <f>'Equipment InstallationSGS'!D$77</f>
        <v>15.970017636684302</v>
      </c>
      <c r="F46" s="42">
        <f>'Equipment InstallationSGS'!E$77</f>
        <v>0</v>
      </c>
      <c r="G46" s="42">
        <f>'Equipment InstallationSGS'!F$77</f>
        <v>0.572310405643739</v>
      </c>
      <c r="H46" s="42">
        <f>'Equipment InstallationSGS'!G$77</f>
        <v>31.133155477877672</v>
      </c>
      <c r="I46" s="42">
        <f>'Equipment InstallationSGS'!H$77</f>
        <v>31.705465883521413</v>
      </c>
      <c r="J46" s="14">
        <v>29</v>
      </c>
      <c r="K46" s="76">
        <v>150</v>
      </c>
      <c r="L46" s="82"/>
      <c r="M46" s="79"/>
      <c r="N46" s="79"/>
      <c r="O46" s="80"/>
      <c r="P46" s="80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75">
      <c r="A47" s="5" t="str">
        <f>DemolitionVGS!A$1</f>
        <v>VGS Demolition</v>
      </c>
      <c r="B47" s="74" t="s">
        <v>111</v>
      </c>
      <c r="C47" s="42">
        <f>DemolitionVGSAltC!B$85</f>
        <v>55.592654024691356</v>
      </c>
      <c r="D47" s="42">
        <f>DemolitionVGSAltC!C$85</f>
        <v>8.74965968606702</v>
      </c>
      <c r="E47" s="42">
        <f>DemolitionVGSAltC!D$85</f>
        <v>88.48096505820104</v>
      </c>
      <c r="F47" s="42">
        <f>DemolitionVGSAltC!E$85</f>
        <v>7.758591999999999</v>
      </c>
      <c r="G47" s="42">
        <f>DemolitionVGSAltC!F$85</f>
        <v>4.851752465608465</v>
      </c>
      <c r="H47" s="42">
        <f>DemolitionVGSAltC!G$85</f>
        <v>4.552704546406865</v>
      </c>
      <c r="I47" s="42">
        <f>DemolitionVGSAltC!H$85</f>
        <v>9.40445701201533</v>
      </c>
      <c r="J47" s="14">
        <v>1</v>
      </c>
      <c r="K47" s="76">
        <v>10</v>
      </c>
      <c r="L47" s="82"/>
      <c r="M47" s="79"/>
      <c r="N47" s="79"/>
      <c r="O47" s="80"/>
      <c r="P47" s="80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2.75">
      <c r="A48" s="56"/>
      <c r="B48" s="74" t="s">
        <v>112</v>
      </c>
      <c r="C48" s="42">
        <f>DemolitionVGSAltC!B$88</f>
        <v>15.57601410934744</v>
      </c>
      <c r="D48" s="42">
        <f>DemolitionVGSAltC!C$88</f>
        <v>2.2173721340388006</v>
      </c>
      <c r="E48" s="42">
        <f>DemolitionVGSAltC!D$88</f>
        <v>9.136596119929452</v>
      </c>
      <c r="F48" s="42">
        <f>DemolitionVGSAltC!E$88</f>
        <v>0</v>
      </c>
      <c r="G48" s="42">
        <f>DemolitionVGSAltC!F$88</f>
        <v>0.5202821869488536</v>
      </c>
      <c r="H48" s="42">
        <f>DemolitionVGSAltC!G$88</f>
        <v>40.05965001879984</v>
      </c>
      <c r="I48" s="42">
        <f>DemolitionVGSAltC!H$88</f>
        <v>40.5799322057487</v>
      </c>
      <c r="J48" s="14">
        <v>1</v>
      </c>
      <c r="K48" s="76">
        <v>10</v>
      </c>
      <c r="L48" s="82"/>
      <c r="M48" s="79"/>
      <c r="N48" s="79"/>
      <c r="O48" s="80"/>
      <c r="P48" s="80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2.75">
      <c r="A49" s="5" t="str">
        <f>GradingVGS!A$1</f>
        <v>VGS Grading</v>
      </c>
      <c r="B49" s="74" t="s">
        <v>111</v>
      </c>
      <c r="C49" s="42">
        <f>GradingVGS!B$74</f>
        <v>21.67511238095238</v>
      </c>
      <c r="D49" s="42">
        <f>GradingVGS!C$74</f>
        <v>5.843800070546737</v>
      </c>
      <c r="E49" s="42">
        <f>GradingVGS!D$74</f>
        <v>42.4152114638448</v>
      </c>
      <c r="F49" s="42">
        <f>GradingVGS!E$74</f>
        <v>3.89328</v>
      </c>
      <c r="G49" s="42">
        <f>GradingVGS!F$74</f>
        <v>2.200503880070547</v>
      </c>
      <c r="H49" s="42">
        <f>GradingVGS!G$74</f>
        <v>2.720367481859088</v>
      </c>
      <c r="I49" s="42">
        <f>GradingVGS!H$74</f>
        <v>4.920871361929635</v>
      </c>
      <c r="J49" s="14">
        <v>11</v>
      </c>
      <c r="K49" s="76">
        <v>15</v>
      </c>
      <c r="L49" s="82"/>
      <c r="M49" s="79"/>
      <c r="N49" s="79"/>
      <c r="O49" s="80"/>
      <c r="P49" s="80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2.75">
      <c r="A50" s="56"/>
      <c r="B50" s="74" t="s">
        <v>112</v>
      </c>
      <c r="C50" s="42">
        <f>GradingVGS!B$77</f>
        <v>1.4518518518518517</v>
      </c>
      <c r="D50" s="42">
        <f>GradingVGS!C$77</f>
        <v>0.1898148148148148</v>
      </c>
      <c r="E50" s="42">
        <f>GradingVGS!D$77</f>
        <v>0.20992063492063495</v>
      </c>
      <c r="F50" s="42">
        <f>GradingVGS!E$77</f>
        <v>0</v>
      </c>
      <c r="G50" s="42">
        <f>GradingVGS!F$77</f>
        <v>0</v>
      </c>
      <c r="H50" s="42">
        <f>GradingVGS!G$77</f>
        <v>0.14882767054190232</v>
      </c>
      <c r="I50" s="42">
        <f>GradingVGS!H$77</f>
        <v>0.14882767054190232</v>
      </c>
      <c r="J50" s="14">
        <v>11</v>
      </c>
      <c r="K50" s="76">
        <v>15</v>
      </c>
      <c r="L50" s="82"/>
      <c r="M50" s="79"/>
      <c r="N50" s="79"/>
      <c r="O50" s="80"/>
      <c r="P50" s="80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2.75">
      <c r="A51" s="5" t="str">
        <f>FoundationsVGS!A$1</f>
        <v>VGS Foundations </v>
      </c>
      <c r="B51" s="74" t="s">
        <v>111</v>
      </c>
      <c r="C51" s="42">
        <f>FoundationsVGS!B$73</f>
        <v>54.120073368606704</v>
      </c>
      <c r="D51" s="42">
        <f>FoundationsVGS!C$73</f>
        <v>5.0438423985890655</v>
      </c>
      <c r="E51" s="42">
        <f>FoundationsVGS!D$73</f>
        <v>29.340466172839506</v>
      </c>
      <c r="F51" s="42">
        <f>FoundationsVGS!E$73</f>
        <v>2.34608</v>
      </c>
      <c r="G51" s="42">
        <f>FoundationsVGS!F$73</f>
        <v>1.7759576366843035</v>
      </c>
      <c r="H51" s="42">
        <f>FoundationsVGS!G$73</f>
        <v>9.393379637028875</v>
      </c>
      <c r="I51" s="42">
        <f>FoundationsVGS!H$73</f>
        <v>11.169337273713179</v>
      </c>
      <c r="J51" s="14">
        <v>16</v>
      </c>
      <c r="K51" s="76">
        <v>22</v>
      </c>
      <c r="L51" s="82"/>
      <c r="M51" s="79"/>
      <c r="N51" s="79"/>
      <c r="O51" s="80"/>
      <c r="P51" s="80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2.75">
      <c r="A52" s="56"/>
      <c r="B52" s="74" t="s">
        <v>112</v>
      </c>
      <c r="C52" s="42">
        <f>FoundationsVGS!B$76</f>
        <v>46.19929453262786</v>
      </c>
      <c r="D52" s="42">
        <f>FoundationsVGS!C$76</f>
        <v>6.492504409171076</v>
      </c>
      <c r="E52" s="42">
        <f>FoundationsVGS!D$76</f>
        <v>23.891093474426803</v>
      </c>
      <c r="F52" s="42">
        <f>FoundationsVGS!E$76</f>
        <v>0</v>
      </c>
      <c r="G52" s="42">
        <f>FoundationsVGS!F$76</f>
        <v>1.3007054673721339</v>
      </c>
      <c r="H52" s="42">
        <f>FoundationsVGS!G$76</f>
        <v>60.82644555406411</v>
      </c>
      <c r="I52" s="42">
        <f>FoundationsVGS!H$76</f>
        <v>62.12715102143624</v>
      </c>
      <c r="J52" s="14">
        <v>16</v>
      </c>
      <c r="K52" s="76">
        <v>22</v>
      </c>
      <c r="L52" s="82"/>
      <c r="M52" s="79"/>
      <c r="N52" s="79"/>
      <c r="O52" s="80"/>
      <c r="P52" s="80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2.75">
      <c r="A53" s="5" t="str">
        <f>PavingVGS!A$1</f>
        <v>VGS Paving</v>
      </c>
      <c r="B53" s="74" t="s">
        <v>111</v>
      </c>
      <c r="C53" s="42">
        <f>PavingVGS!B$74</f>
        <v>17.10399040564374</v>
      </c>
      <c r="D53" s="42">
        <f>PavingVGS!C$74</f>
        <v>3.01995261186567</v>
      </c>
      <c r="E53" s="42">
        <f>PavingVGS!D$74</f>
        <v>32.2102733686067</v>
      </c>
      <c r="F53" s="42">
        <f>PavingVGS!E$74</f>
        <v>2.72992</v>
      </c>
      <c r="G53" s="42">
        <f>PavingVGS!F$74</f>
        <v>1.6283256437389768</v>
      </c>
      <c r="H53" s="42">
        <f>PavingVGS!G$74</f>
        <v>3.3336445981216283</v>
      </c>
      <c r="I53" s="42">
        <f>PavingVGS!H$74</f>
        <v>4.961970241860605</v>
      </c>
      <c r="J53" s="14">
        <v>21</v>
      </c>
      <c r="K53" s="76">
        <v>25</v>
      </c>
      <c r="L53" s="82"/>
      <c r="M53" s="79"/>
      <c r="N53" s="79"/>
      <c r="O53" s="80"/>
      <c r="P53" s="80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>
      <c r="A54" s="56"/>
      <c r="B54" s="74" t="s">
        <v>112</v>
      </c>
      <c r="C54" s="42">
        <f>PavingVGS!B$77</f>
        <v>8.492416225749558</v>
      </c>
      <c r="D54" s="42">
        <f>PavingVGS!C$77</f>
        <v>1.2550705467372134</v>
      </c>
      <c r="E54" s="42">
        <f>PavingVGS!D$77</f>
        <v>6.735493827160493</v>
      </c>
      <c r="F54" s="42">
        <f>PavingVGS!E$77</f>
        <v>0</v>
      </c>
      <c r="G54" s="42">
        <f>PavingVGS!F$77</f>
        <v>0.4162257495590828</v>
      </c>
      <c r="H54" s="42">
        <f>PavingVGS!G$77</f>
        <v>18.81954267161894</v>
      </c>
      <c r="I54" s="42">
        <f>PavingVGS!H$77</f>
        <v>19.235768421178022</v>
      </c>
      <c r="J54" s="14">
        <v>21</v>
      </c>
      <c r="K54" s="76">
        <v>25</v>
      </c>
      <c r="L54" s="82"/>
      <c r="M54" s="79"/>
      <c r="N54" s="79"/>
      <c r="O54" s="80"/>
      <c r="P54" s="80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2.75">
      <c r="A55" s="5" t="str">
        <f>'Equipment InstallationVGS'!A$1</f>
        <v>VGS Equipment Installation</v>
      </c>
      <c r="B55" s="74" t="s">
        <v>111</v>
      </c>
      <c r="C55" s="42">
        <f>'Equipment InstallationVGS'!B$74</f>
        <v>74.48057636684304</v>
      </c>
      <c r="D55" s="42">
        <f>'Equipment InstallationVGS'!C$74</f>
        <v>22.55998532627866</v>
      </c>
      <c r="E55" s="42">
        <f>'Equipment InstallationVGS'!D$74</f>
        <v>130.68093657848323</v>
      </c>
      <c r="F55" s="42">
        <f>'Equipment InstallationVGS'!E$74</f>
        <v>10.99984</v>
      </c>
      <c r="G55" s="42">
        <f>'Equipment InstallationVGS'!F$74</f>
        <v>7.3976470546737225</v>
      </c>
      <c r="H55" s="42">
        <f>'Equipment InstallationVGS'!G$74</f>
        <v>7.882397510915277</v>
      </c>
      <c r="I55" s="42">
        <f>'Equipment InstallationVGS'!H$74</f>
        <v>15.280044565589</v>
      </c>
      <c r="J55" s="14">
        <v>29</v>
      </c>
      <c r="K55" s="14">
        <v>150</v>
      </c>
      <c r="L55" s="82"/>
      <c r="M55" s="79"/>
      <c r="N55" s="79"/>
      <c r="O55" s="80"/>
      <c r="P55" s="80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2.75">
      <c r="A56" s="56"/>
      <c r="B56" s="74" t="s">
        <v>112</v>
      </c>
      <c r="C56" s="42">
        <f>'Equipment InstallationVGS'!B$77</f>
        <v>59.61552028218694</v>
      </c>
      <c r="D56" s="42">
        <f>'Equipment InstallationVGS'!C$77</f>
        <v>7.975088183421517</v>
      </c>
      <c r="E56" s="42">
        <f>'Equipment InstallationVGS'!D$77</f>
        <v>15.504188712522044</v>
      </c>
      <c r="F56" s="42">
        <f>'Equipment InstallationVGS'!E$77</f>
        <v>0</v>
      </c>
      <c r="G56" s="42">
        <f>'Equipment InstallationVGS'!F$77</f>
        <v>0.5202821869488536</v>
      </c>
      <c r="H56" s="42">
        <f>'Equipment InstallationVGS'!G$77</f>
        <v>28.54736222031288</v>
      </c>
      <c r="I56" s="42">
        <f>'Equipment InstallationVGS'!H$77</f>
        <v>29.067644407261735</v>
      </c>
      <c r="J56" s="14">
        <v>29</v>
      </c>
      <c r="K56" s="14">
        <v>150</v>
      </c>
      <c r="L56" s="82"/>
      <c r="M56" s="79"/>
      <c r="N56" s="79"/>
      <c r="O56" s="80"/>
      <c r="P56" s="80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11" ht="12.75">
      <c r="A57" s="29"/>
      <c r="B57" s="23"/>
      <c r="C57" s="67"/>
      <c r="D57" s="67"/>
      <c r="E57" s="67"/>
      <c r="F57" s="67"/>
      <c r="G57" s="67"/>
      <c r="H57" s="67"/>
      <c r="I57" s="67"/>
      <c r="J57" s="57"/>
      <c r="K57" s="57"/>
    </row>
    <row r="58" spans="1:11" ht="12.75">
      <c r="A58" s="29"/>
      <c r="B58" s="23"/>
      <c r="C58" s="67"/>
      <c r="D58" s="67"/>
      <c r="E58" s="67"/>
      <c r="F58" s="67"/>
      <c r="G58" s="67"/>
      <c r="H58" s="67"/>
      <c r="I58" s="67"/>
      <c r="J58" s="57"/>
      <c r="K58" s="57"/>
    </row>
    <row r="59" spans="1:14" ht="12.75">
      <c r="A59" s="86" t="s">
        <v>335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2.75">
      <c r="A60" s="85" t="s">
        <v>349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1:14" ht="12.75">
      <c r="A61" s="37" t="s">
        <v>87</v>
      </c>
      <c r="B61" s="69">
        <v>1</v>
      </c>
      <c r="C61" s="69">
        <v>10</v>
      </c>
      <c r="D61" s="69">
        <v>11</v>
      </c>
      <c r="E61" s="69">
        <v>15</v>
      </c>
      <c r="F61" s="69">
        <v>16</v>
      </c>
      <c r="G61" s="69">
        <v>18</v>
      </c>
      <c r="H61" s="69">
        <v>20</v>
      </c>
      <c r="I61" s="69">
        <v>21</v>
      </c>
      <c r="J61" s="69">
        <v>22</v>
      </c>
      <c r="K61" s="69">
        <v>25</v>
      </c>
      <c r="L61" s="69">
        <v>28</v>
      </c>
      <c r="M61" s="69">
        <v>29</v>
      </c>
      <c r="N61" s="69">
        <v>150</v>
      </c>
    </row>
    <row r="62" spans="1:14" ht="12.75">
      <c r="A62" s="4" t="str">
        <f>A25</f>
        <v>HGS Tank Demolition</v>
      </c>
      <c r="B62" s="43">
        <f aca="true" t="shared" si="3" ref="B62:N62">IF(AND(B$61&gt;=$J25,B$61&lt;=$K25),$C25+$C26,0)</f>
        <v>162.46098931922396</v>
      </c>
      <c r="C62" s="43">
        <f t="shared" si="3"/>
        <v>162.46098931922396</v>
      </c>
      <c r="D62" s="43">
        <f t="shared" si="3"/>
        <v>0</v>
      </c>
      <c r="E62" s="43">
        <f t="shared" si="3"/>
        <v>0</v>
      </c>
      <c r="F62" s="43">
        <f t="shared" si="3"/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3">
        <f t="shared" si="3"/>
        <v>0</v>
      </c>
      <c r="N62" s="43">
        <f t="shared" si="3"/>
        <v>0</v>
      </c>
    </row>
    <row r="63" spans="1:14" ht="12.75">
      <c r="A63" s="4" t="str">
        <f>A27</f>
        <v>HGS Backfill</v>
      </c>
      <c r="B63" s="43">
        <f aca="true" t="shared" si="4" ref="B63:N63">IF(AND(B$61&gt;=$J27,B$61&lt;=$K27),$C27+$C28,0)</f>
        <v>0</v>
      </c>
      <c r="C63" s="43">
        <f t="shared" si="4"/>
        <v>0</v>
      </c>
      <c r="D63" s="43">
        <f t="shared" si="4"/>
        <v>200.7701048324515</v>
      </c>
      <c r="E63" s="43">
        <f t="shared" si="4"/>
        <v>200.7701048324515</v>
      </c>
      <c r="F63" s="43">
        <f t="shared" si="4"/>
        <v>200.7701048324515</v>
      </c>
      <c r="G63" s="43">
        <f t="shared" si="4"/>
        <v>200.7701048324515</v>
      </c>
      <c r="H63" s="43">
        <f t="shared" si="4"/>
        <v>200.7701048324515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3">
        <f t="shared" si="4"/>
        <v>0</v>
      </c>
      <c r="N63" s="43">
        <f t="shared" si="4"/>
        <v>0</v>
      </c>
    </row>
    <row r="64" spans="1:14" ht="12.75">
      <c r="A64" s="4" t="str">
        <f>A29</f>
        <v>HGS Grading</v>
      </c>
      <c r="B64" s="43">
        <f aca="true" t="shared" si="5" ref="B64:N64">IF(AND(B$61&gt;=$J29,B$61&lt;=$K29),$C29+$C30,0)</f>
        <v>0</v>
      </c>
      <c r="C64" s="43">
        <f t="shared" si="5"/>
        <v>0</v>
      </c>
      <c r="D64" s="43">
        <f t="shared" si="5"/>
        <v>0</v>
      </c>
      <c r="E64" s="43">
        <f t="shared" si="5"/>
        <v>0</v>
      </c>
      <c r="F64" s="43">
        <f t="shared" si="5"/>
        <v>0</v>
      </c>
      <c r="G64" s="43">
        <f t="shared" si="5"/>
        <v>53.48216423280422</v>
      </c>
      <c r="H64" s="43">
        <f t="shared" si="5"/>
        <v>53.48216423280422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3">
        <f t="shared" si="5"/>
        <v>0</v>
      </c>
      <c r="N64" s="43">
        <f t="shared" si="5"/>
        <v>0</v>
      </c>
    </row>
    <row r="65" spans="1:14" ht="12.75">
      <c r="A65" s="4" t="str">
        <f>A31</f>
        <v>HGS Foundations </v>
      </c>
      <c r="B65" s="43">
        <f aca="true" t="shared" si="6" ref="B65:N65">IF(AND(B$61&gt;=$J31,B$61&lt;=$K31),$C31+$C32,0)</f>
        <v>0</v>
      </c>
      <c r="C65" s="43">
        <f t="shared" si="6"/>
        <v>0</v>
      </c>
      <c r="D65" s="43">
        <f t="shared" si="6"/>
        <v>0</v>
      </c>
      <c r="E65" s="43">
        <f t="shared" si="6"/>
        <v>0</v>
      </c>
      <c r="F65" s="43">
        <f t="shared" si="6"/>
        <v>0</v>
      </c>
      <c r="G65" s="43">
        <f t="shared" si="6"/>
        <v>0</v>
      </c>
      <c r="H65" s="43">
        <f t="shared" si="6"/>
        <v>0</v>
      </c>
      <c r="I65" s="43">
        <f t="shared" si="6"/>
        <v>404.5366405643739</v>
      </c>
      <c r="J65" s="43">
        <f t="shared" si="6"/>
        <v>404.5366405643739</v>
      </c>
      <c r="K65" s="43">
        <f t="shared" si="6"/>
        <v>404.5366405643739</v>
      </c>
      <c r="L65" s="43">
        <f t="shared" si="6"/>
        <v>404.5366405643739</v>
      </c>
      <c r="M65" s="43">
        <f t="shared" si="6"/>
        <v>0</v>
      </c>
      <c r="N65" s="43">
        <f t="shared" si="6"/>
        <v>0</v>
      </c>
    </row>
    <row r="66" spans="1:14" ht="12.75">
      <c r="A66" s="4" t="str">
        <f>A33</f>
        <v>HGS Paving</v>
      </c>
      <c r="B66" s="43">
        <f aca="true" t="shared" si="7" ref="B66:N66">IF(AND(B$61&gt;=$J33,B$61&lt;=$K33),$C33+$C34,0)</f>
        <v>0</v>
      </c>
      <c r="C66" s="43">
        <f t="shared" si="7"/>
        <v>0</v>
      </c>
      <c r="D66" s="43">
        <f t="shared" si="7"/>
        <v>0</v>
      </c>
      <c r="E66" s="43">
        <f t="shared" si="7"/>
        <v>0</v>
      </c>
      <c r="F66" s="43">
        <f t="shared" si="7"/>
        <v>0</v>
      </c>
      <c r="G66" s="43">
        <f t="shared" si="7"/>
        <v>0</v>
      </c>
      <c r="H66" s="43">
        <f t="shared" si="7"/>
        <v>0</v>
      </c>
      <c r="I66" s="43">
        <f t="shared" si="7"/>
        <v>69.11095407407407</v>
      </c>
      <c r="J66" s="43">
        <f t="shared" si="7"/>
        <v>69.11095407407407</v>
      </c>
      <c r="K66" s="43">
        <f t="shared" si="7"/>
        <v>69.11095407407407</v>
      </c>
      <c r="L66" s="43">
        <f t="shared" si="7"/>
        <v>69.11095407407407</v>
      </c>
      <c r="M66" s="43">
        <f t="shared" si="7"/>
        <v>0</v>
      </c>
      <c r="N66" s="43">
        <f t="shared" si="7"/>
        <v>0</v>
      </c>
    </row>
    <row r="67" spans="1:14" ht="12.75">
      <c r="A67" s="4" t="str">
        <f>A35</f>
        <v>HGS Equipment Installation</v>
      </c>
      <c r="B67" s="43">
        <f aca="true" t="shared" si="8" ref="B67:N67">IF(AND(B$61&gt;=$J35,B$61&lt;=$K35),$C35+$C36,0)</f>
        <v>0</v>
      </c>
      <c r="C67" s="43">
        <f t="shared" si="8"/>
        <v>0</v>
      </c>
      <c r="D67" s="43">
        <f t="shared" si="8"/>
        <v>0</v>
      </c>
      <c r="E67" s="43">
        <f t="shared" si="8"/>
        <v>0</v>
      </c>
      <c r="F67" s="43">
        <f t="shared" si="8"/>
        <v>0</v>
      </c>
      <c r="G67" s="43">
        <f t="shared" si="8"/>
        <v>0</v>
      </c>
      <c r="H67" s="43">
        <f t="shared" si="8"/>
        <v>0</v>
      </c>
      <c r="I67" s="43">
        <f t="shared" si="8"/>
        <v>0</v>
      </c>
      <c r="J67" s="43">
        <f t="shared" si="8"/>
        <v>0</v>
      </c>
      <c r="K67" s="43">
        <f t="shared" si="8"/>
        <v>0</v>
      </c>
      <c r="L67" s="43">
        <f t="shared" si="8"/>
        <v>0</v>
      </c>
      <c r="M67" s="43">
        <f t="shared" si="8"/>
        <v>382.36591125220457</v>
      </c>
      <c r="N67" s="43">
        <f t="shared" si="8"/>
        <v>382.36591125220457</v>
      </c>
    </row>
    <row r="68" spans="1:14" ht="12.75">
      <c r="A68" s="4" t="str">
        <f>A37</f>
        <v>SGS Slab Demolition</v>
      </c>
      <c r="B68" s="43">
        <f aca="true" t="shared" si="9" ref="B68:N68">IF(AND(B$61&gt;=$J37,B$61&lt;=$K37),$C37+$C38,0)</f>
        <v>57.05314977072311</v>
      </c>
      <c r="C68" s="43">
        <f t="shared" si="9"/>
        <v>57.05314977072311</v>
      </c>
      <c r="D68" s="43">
        <f t="shared" si="9"/>
        <v>0</v>
      </c>
      <c r="E68" s="43">
        <f t="shared" si="9"/>
        <v>0</v>
      </c>
      <c r="F68" s="43">
        <f t="shared" si="9"/>
        <v>0</v>
      </c>
      <c r="G68" s="43">
        <f t="shared" si="9"/>
        <v>0</v>
      </c>
      <c r="H68" s="43">
        <f t="shared" si="9"/>
        <v>0</v>
      </c>
      <c r="I68" s="43">
        <f t="shared" si="9"/>
        <v>0</v>
      </c>
      <c r="J68" s="43">
        <f t="shared" si="9"/>
        <v>0</v>
      </c>
      <c r="K68" s="43">
        <f t="shared" si="9"/>
        <v>0</v>
      </c>
      <c r="L68" s="43">
        <f t="shared" si="9"/>
        <v>0</v>
      </c>
      <c r="M68" s="43">
        <f t="shared" si="9"/>
        <v>0</v>
      </c>
      <c r="N68" s="43">
        <f t="shared" si="9"/>
        <v>0</v>
      </c>
    </row>
    <row r="69" spans="1:14" ht="12.75">
      <c r="A69" s="4" t="str">
        <f>A39</f>
        <v>SGS Grading</v>
      </c>
      <c r="B69" s="43">
        <f aca="true" t="shared" si="10" ref="B69:N69">IF(AND(B$61&gt;=$J39,B$61&lt;=$K39),$C39+$C40,0)</f>
        <v>0</v>
      </c>
      <c r="C69" s="43">
        <f t="shared" si="10"/>
        <v>0</v>
      </c>
      <c r="D69" s="43">
        <f t="shared" si="10"/>
        <v>0</v>
      </c>
      <c r="E69" s="43">
        <f t="shared" si="10"/>
        <v>0</v>
      </c>
      <c r="F69" s="43">
        <f t="shared" si="10"/>
        <v>0</v>
      </c>
      <c r="G69" s="43">
        <f t="shared" si="10"/>
        <v>23.4946891005291</v>
      </c>
      <c r="H69" s="43">
        <f t="shared" si="10"/>
        <v>23.4946891005291</v>
      </c>
      <c r="I69" s="43">
        <f t="shared" si="10"/>
        <v>0</v>
      </c>
      <c r="J69" s="43">
        <f t="shared" si="10"/>
        <v>0</v>
      </c>
      <c r="K69" s="43">
        <f t="shared" si="10"/>
        <v>0</v>
      </c>
      <c r="L69" s="43">
        <f t="shared" si="10"/>
        <v>0</v>
      </c>
      <c r="M69" s="43">
        <f t="shared" si="10"/>
        <v>0</v>
      </c>
      <c r="N69" s="43">
        <f t="shared" si="10"/>
        <v>0</v>
      </c>
    </row>
    <row r="70" spans="1:14" ht="12.75">
      <c r="A70" s="4" t="str">
        <f>A41</f>
        <v>SGS Foundations </v>
      </c>
      <c r="B70" s="43">
        <f aca="true" t="shared" si="11" ref="B70:N70">IF(AND(B$61&gt;=$J41,B$61&lt;=$K41),$C41+$C42,0)</f>
        <v>0</v>
      </c>
      <c r="C70" s="43">
        <f t="shared" si="11"/>
        <v>0</v>
      </c>
      <c r="D70" s="43">
        <f t="shared" si="11"/>
        <v>0</v>
      </c>
      <c r="E70" s="43">
        <f t="shared" si="11"/>
        <v>0</v>
      </c>
      <c r="F70" s="43">
        <f t="shared" si="11"/>
        <v>0</v>
      </c>
      <c r="G70" s="43">
        <f t="shared" si="11"/>
        <v>0</v>
      </c>
      <c r="H70" s="43">
        <f t="shared" si="11"/>
        <v>0</v>
      </c>
      <c r="I70" s="43">
        <f t="shared" si="11"/>
        <v>44.934977425044096</v>
      </c>
      <c r="J70" s="43">
        <f t="shared" si="11"/>
        <v>44.934977425044096</v>
      </c>
      <c r="K70" s="43">
        <f t="shared" si="11"/>
        <v>44.934977425044096</v>
      </c>
      <c r="L70" s="43">
        <f t="shared" si="11"/>
        <v>44.934977425044096</v>
      </c>
      <c r="M70" s="43">
        <f t="shared" si="11"/>
        <v>0</v>
      </c>
      <c r="N70" s="43">
        <f t="shared" si="11"/>
        <v>0</v>
      </c>
    </row>
    <row r="71" spans="1:14" ht="12.75">
      <c r="A71" s="4" t="str">
        <f>A43</f>
        <v>SGS Paving</v>
      </c>
      <c r="B71" s="43">
        <f aca="true" t="shared" si="12" ref="B71:N71">IF(AND(B$61&gt;=$J43,B$61&lt;=$K43),$C43+$C44,0)</f>
        <v>0</v>
      </c>
      <c r="C71" s="43">
        <f t="shared" si="12"/>
        <v>0</v>
      </c>
      <c r="D71" s="43">
        <f t="shared" si="12"/>
        <v>0</v>
      </c>
      <c r="E71" s="43">
        <f t="shared" si="12"/>
        <v>0</v>
      </c>
      <c r="F71" s="43">
        <f t="shared" si="12"/>
        <v>0</v>
      </c>
      <c r="G71" s="43">
        <f t="shared" si="12"/>
        <v>0</v>
      </c>
      <c r="H71" s="43">
        <f t="shared" si="12"/>
        <v>0</v>
      </c>
      <c r="I71" s="43">
        <f t="shared" si="12"/>
        <v>23.51025142857143</v>
      </c>
      <c r="J71" s="43">
        <f t="shared" si="12"/>
        <v>23.51025142857143</v>
      </c>
      <c r="K71" s="43">
        <f t="shared" si="12"/>
        <v>23.51025142857143</v>
      </c>
      <c r="L71" s="43">
        <f t="shared" si="12"/>
        <v>23.51025142857143</v>
      </c>
      <c r="M71" s="43">
        <f t="shared" si="12"/>
        <v>0</v>
      </c>
      <c r="N71" s="43">
        <f t="shared" si="12"/>
        <v>0</v>
      </c>
    </row>
    <row r="72" spans="1:14" ht="12.75">
      <c r="A72" s="4" t="str">
        <f>A45</f>
        <v>SGS Equipment Installation</v>
      </c>
      <c r="B72" s="43">
        <f aca="true" t="shared" si="13" ref="B72:N72">IF(AND(B$61&gt;=$J45,B$61&lt;=$K45),$C45+$C46,0)</f>
        <v>0</v>
      </c>
      <c r="C72" s="43">
        <f t="shared" si="13"/>
        <v>0</v>
      </c>
      <c r="D72" s="43">
        <f t="shared" si="13"/>
        <v>0</v>
      </c>
      <c r="E72" s="43">
        <f t="shared" si="13"/>
        <v>0</v>
      </c>
      <c r="F72" s="43">
        <f t="shared" si="13"/>
        <v>0</v>
      </c>
      <c r="G72" s="43">
        <f t="shared" si="13"/>
        <v>0</v>
      </c>
      <c r="H72" s="43">
        <f t="shared" si="13"/>
        <v>0</v>
      </c>
      <c r="I72" s="43">
        <f t="shared" si="13"/>
        <v>0</v>
      </c>
      <c r="J72" s="43">
        <f t="shared" si="13"/>
        <v>0</v>
      </c>
      <c r="K72" s="43">
        <f t="shared" si="13"/>
        <v>0</v>
      </c>
      <c r="L72" s="43">
        <f t="shared" si="13"/>
        <v>0</v>
      </c>
      <c r="M72" s="43">
        <f t="shared" si="13"/>
        <v>122.14447689594355</v>
      </c>
      <c r="N72" s="43">
        <f t="shared" si="13"/>
        <v>122.14447689594355</v>
      </c>
    </row>
    <row r="73" spans="1:14" ht="12.75">
      <c r="A73" s="4" t="str">
        <f>A47</f>
        <v>VGS Demolition</v>
      </c>
      <c r="B73" s="43">
        <f aca="true" t="shared" si="14" ref="B73:N73">IF(AND(B$61&gt;=$J47,B$61&lt;=$K47),$C47+$C48,0)</f>
        <v>71.1686681340388</v>
      </c>
      <c r="C73" s="43">
        <f t="shared" si="14"/>
        <v>71.1686681340388</v>
      </c>
      <c r="D73" s="43">
        <f t="shared" si="14"/>
        <v>0</v>
      </c>
      <c r="E73" s="43">
        <f t="shared" si="14"/>
        <v>0</v>
      </c>
      <c r="F73" s="43">
        <f t="shared" si="14"/>
        <v>0</v>
      </c>
      <c r="G73" s="43">
        <f t="shared" si="14"/>
        <v>0</v>
      </c>
      <c r="H73" s="43">
        <f t="shared" si="14"/>
        <v>0</v>
      </c>
      <c r="I73" s="43">
        <f t="shared" si="14"/>
        <v>0</v>
      </c>
      <c r="J73" s="43">
        <f t="shared" si="14"/>
        <v>0</v>
      </c>
      <c r="K73" s="43">
        <f t="shared" si="14"/>
        <v>0</v>
      </c>
      <c r="L73" s="43">
        <f t="shared" si="14"/>
        <v>0</v>
      </c>
      <c r="M73" s="43">
        <f t="shared" si="14"/>
        <v>0</v>
      </c>
      <c r="N73" s="43">
        <f t="shared" si="14"/>
        <v>0</v>
      </c>
    </row>
    <row r="74" spans="1:14" ht="12.75">
      <c r="A74" s="4" t="str">
        <f>A49</f>
        <v>VGS Grading</v>
      </c>
      <c r="B74" s="43">
        <f aca="true" t="shared" si="15" ref="B74:N74">IF(AND(B$61&gt;=$J49,B$61&lt;=$K49),$C49+$C50,0)</f>
        <v>0</v>
      </c>
      <c r="C74" s="43">
        <f t="shared" si="15"/>
        <v>0</v>
      </c>
      <c r="D74" s="43">
        <f t="shared" si="15"/>
        <v>23.126964232804234</v>
      </c>
      <c r="E74" s="43">
        <f t="shared" si="15"/>
        <v>23.126964232804234</v>
      </c>
      <c r="F74" s="43">
        <f t="shared" si="15"/>
        <v>0</v>
      </c>
      <c r="G74" s="43">
        <f t="shared" si="15"/>
        <v>0</v>
      </c>
      <c r="H74" s="43">
        <f t="shared" si="15"/>
        <v>0</v>
      </c>
      <c r="I74" s="43">
        <f t="shared" si="15"/>
        <v>0</v>
      </c>
      <c r="J74" s="43">
        <f t="shared" si="15"/>
        <v>0</v>
      </c>
      <c r="K74" s="43">
        <f t="shared" si="15"/>
        <v>0</v>
      </c>
      <c r="L74" s="43">
        <f t="shared" si="15"/>
        <v>0</v>
      </c>
      <c r="M74" s="43">
        <f t="shared" si="15"/>
        <v>0</v>
      </c>
      <c r="N74" s="43">
        <f t="shared" si="15"/>
        <v>0</v>
      </c>
    </row>
    <row r="75" spans="1:14" ht="12.75">
      <c r="A75" s="4" t="str">
        <f>A51</f>
        <v>VGS Foundations </v>
      </c>
      <c r="B75" s="43">
        <f aca="true" t="shared" si="16" ref="B75:N75">IF(AND(B$61&gt;=$J51,B$61&lt;=$K51),$C51+$C52,0)</f>
        <v>0</v>
      </c>
      <c r="C75" s="43">
        <f t="shared" si="16"/>
        <v>0</v>
      </c>
      <c r="D75" s="43">
        <f t="shared" si="16"/>
        <v>0</v>
      </c>
      <c r="E75" s="43">
        <f t="shared" si="16"/>
        <v>0</v>
      </c>
      <c r="F75" s="43">
        <f t="shared" si="16"/>
        <v>100.31936790123456</v>
      </c>
      <c r="G75" s="43">
        <f t="shared" si="16"/>
        <v>100.31936790123456</v>
      </c>
      <c r="H75" s="43">
        <f t="shared" si="16"/>
        <v>100.31936790123456</v>
      </c>
      <c r="I75" s="43">
        <f t="shared" si="16"/>
        <v>100.31936790123456</v>
      </c>
      <c r="J75" s="43">
        <f t="shared" si="16"/>
        <v>100.31936790123456</v>
      </c>
      <c r="K75" s="43">
        <f t="shared" si="16"/>
        <v>0</v>
      </c>
      <c r="L75" s="43">
        <f t="shared" si="16"/>
        <v>0</v>
      </c>
      <c r="M75" s="43">
        <f t="shared" si="16"/>
        <v>0</v>
      </c>
      <c r="N75" s="43">
        <f t="shared" si="16"/>
        <v>0</v>
      </c>
    </row>
    <row r="76" spans="1:14" ht="12.75">
      <c r="A76" s="4" t="str">
        <f>A53</f>
        <v>VGS Paving</v>
      </c>
      <c r="B76" s="43">
        <f aca="true" t="shared" si="17" ref="B76:N76">IF(AND(B$61&gt;=$J53,B$61&lt;=$K53),$C53+$C54,0)</f>
        <v>0</v>
      </c>
      <c r="C76" s="43">
        <f t="shared" si="17"/>
        <v>0</v>
      </c>
      <c r="D76" s="43">
        <f t="shared" si="17"/>
        <v>0</v>
      </c>
      <c r="E76" s="43">
        <f t="shared" si="17"/>
        <v>0</v>
      </c>
      <c r="F76" s="43">
        <f t="shared" si="17"/>
        <v>0</v>
      </c>
      <c r="G76" s="43">
        <f t="shared" si="17"/>
        <v>0</v>
      </c>
      <c r="H76" s="43">
        <f t="shared" si="17"/>
        <v>0</v>
      </c>
      <c r="I76" s="43">
        <f t="shared" si="17"/>
        <v>25.596406631393297</v>
      </c>
      <c r="J76" s="43">
        <f t="shared" si="17"/>
        <v>25.596406631393297</v>
      </c>
      <c r="K76" s="43">
        <f t="shared" si="17"/>
        <v>25.596406631393297</v>
      </c>
      <c r="L76" s="43">
        <f t="shared" si="17"/>
        <v>0</v>
      </c>
      <c r="M76" s="43">
        <f t="shared" si="17"/>
        <v>0</v>
      </c>
      <c r="N76" s="43">
        <f t="shared" si="17"/>
        <v>0</v>
      </c>
    </row>
    <row r="77" spans="1:14" ht="12.75">
      <c r="A77" s="4" t="str">
        <f>A55</f>
        <v>VGS Equipment Installation</v>
      </c>
      <c r="B77" s="43">
        <f aca="true" t="shared" si="18" ref="B77:N77">IF(AND(B$61&gt;=$J55,B$61&lt;=$K55),$C55+$C56,0)</f>
        <v>0</v>
      </c>
      <c r="C77" s="43">
        <f t="shared" si="18"/>
        <v>0</v>
      </c>
      <c r="D77" s="43">
        <f t="shared" si="18"/>
        <v>0</v>
      </c>
      <c r="E77" s="43">
        <f t="shared" si="18"/>
        <v>0</v>
      </c>
      <c r="F77" s="43">
        <f t="shared" si="18"/>
        <v>0</v>
      </c>
      <c r="G77" s="43">
        <f t="shared" si="18"/>
        <v>0</v>
      </c>
      <c r="H77" s="43">
        <f t="shared" si="18"/>
        <v>0</v>
      </c>
      <c r="I77" s="43">
        <f t="shared" si="18"/>
        <v>0</v>
      </c>
      <c r="J77" s="43">
        <f t="shared" si="18"/>
        <v>0</v>
      </c>
      <c r="K77" s="43">
        <f t="shared" si="18"/>
        <v>0</v>
      </c>
      <c r="L77" s="43">
        <f t="shared" si="18"/>
        <v>0</v>
      </c>
      <c r="M77" s="43">
        <f t="shared" si="18"/>
        <v>134.09609664903</v>
      </c>
      <c r="N77" s="43">
        <f t="shared" si="18"/>
        <v>134.09609664903</v>
      </c>
    </row>
    <row r="78" spans="1:14" ht="12.75">
      <c r="A78" s="15" t="s">
        <v>24</v>
      </c>
      <c r="B78" s="44">
        <f aca="true" t="shared" si="19" ref="B78:N78">SUM(B62:B77)</f>
        <v>290.68280722398583</v>
      </c>
      <c r="C78" s="44">
        <f t="shared" si="19"/>
        <v>290.68280722398583</v>
      </c>
      <c r="D78" s="44">
        <f t="shared" si="19"/>
        <v>223.89706906525572</v>
      </c>
      <c r="E78" s="44">
        <f t="shared" si="19"/>
        <v>223.89706906525572</v>
      </c>
      <c r="F78" s="44">
        <f t="shared" si="19"/>
        <v>301.0894727336861</v>
      </c>
      <c r="G78" s="44">
        <f t="shared" si="19"/>
        <v>378.06632606701936</v>
      </c>
      <c r="H78" s="44">
        <f t="shared" si="19"/>
        <v>378.06632606701936</v>
      </c>
      <c r="I78" s="44">
        <f t="shared" si="19"/>
        <v>668.0085980246914</v>
      </c>
      <c r="J78" s="44">
        <f t="shared" si="19"/>
        <v>668.0085980246914</v>
      </c>
      <c r="K78" s="44">
        <f t="shared" si="19"/>
        <v>567.6892301234568</v>
      </c>
      <c r="L78" s="44">
        <f t="shared" si="19"/>
        <v>542.0928234920635</v>
      </c>
      <c r="M78" s="44">
        <f t="shared" si="19"/>
        <v>638.6064847971782</v>
      </c>
      <c r="N78" s="44">
        <f t="shared" si="19"/>
        <v>638.6064847971782</v>
      </c>
    </row>
    <row r="79" spans="1:14" ht="12.75">
      <c r="A79" s="39" t="s">
        <v>132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7"/>
      <c r="M79" s="47"/>
      <c r="N79" s="47"/>
    </row>
    <row r="80" spans="1:14" ht="12.75">
      <c r="A80" s="62" t="s">
        <v>276</v>
      </c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7"/>
      <c r="M80" s="47"/>
      <c r="N80" s="47"/>
    </row>
    <row r="81" spans="1:11" ht="12.75">
      <c r="A81" s="29"/>
      <c r="B81" s="48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29"/>
      <c r="B82" s="48"/>
      <c r="C82" s="49"/>
      <c r="D82" s="49"/>
      <c r="E82" s="49"/>
      <c r="F82" s="49"/>
      <c r="G82" s="49"/>
      <c r="H82" s="49"/>
      <c r="I82" s="49"/>
      <c r="J82" s="49"/>
      <c r="K82" s="49"/>
    </row>
    <row r="83" spans="1:14" ht="12.75">
      <c r="A83" s="86" t="s">
        <v>336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2.75">
      <c r="A84" s="85" t="s">
        <v>350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1:14" ht="12.75">
      <c r="A85" s="37" t="s">
        <v>87</v>
      </c>
      <c r="B85" s="69">
        <v>1</v>
      </c>
      <c r="C85" s="69">
        <v>10</v>
      </c>
      <c r="D85" s="69">
        <v>11</v>
      </c>
      <c r="E85" s="69">
        <v>15</v>
      </c>
      <c r="F85" s="69">
        <v>16</v>
      </c>
      <c r="G85" s="69">
        <v>18</v>
      </c>
      <c r="H85" s="69">
        <v>20</v>
      </c>
      <c r="I85" s="69">
        <v>21</v>
      </c>
      <c r="J85" s="69">
        <v>22</v>
      </c>
      <c r="K85" s="69">
        <v>25</v>
      </c>
      <c r="L85" s="69">
        <v>28</v>
      </c>
      <c r="M85" s="69">
        <v>29</v>
      </c>
      <c r="N85" s="69">
        <v>150</v>
      </c>
    </row>
    <row r="86" spans="1:14" ht="12.75">
      <c r="A86" s="4" t="str">
        <f>A25</f>
        <v>HGS Tank Demolition</v>
      </c>
      <c r="B86" s="43">
        <f aca="true" t="shared" si="20" ref="B86:N86">IF(AND(B$85&gt;=$J25,B$85&lt;=$K25),$D25+$D26,0)</f>
        <v>297.40631560447486</v>
      </c>
      <c r="C86" s="43">
        <f t="shared" si="20"/>
        <v>297.40631560447486</v>
      </c>
      <c r="D86" s="43">
        <f t="shared" si="20"/>
        <v>0</v>
      </c>
      <c r="E86" s="43">
        <f t="shared" si="20"/>
        <v>0</v>
      </c>
      <c r="F86" s="43">
        <f t="shared" si="20"/>
        <v>0</v>
      </c>
      <c r="G86" s="43">
        <f t="shared" si="20"/>
        <v>0</v>
      </c>
      <c r="H86" s="43">
        <f t="shared" si="20"/>
        <v>0</v>
      </c>
      <c r="I86" s="43">
        <f t="shared" si="20"/>
        <v>0</v>
      </c>
      <c r="J86" s="43">
        <f t="shared" si="20"/>
        <v>0</v>
      </c>
      <c r="K86" s="43">
        <f t="shared" si="20"/>
        <v>0</v>
      </c>
      <c r="L86" s="43">
        <f t="shared" si="20"/>
        <v>0</v>
      </c>
      <c r="M86" s="43">
        <f t="shared" si="20"/>
        <v>0</v>
      </c>
      <c r="N86" s="43">
        <f t="shared" si="20"/>
        <v>0</v>
      </c>
    </row>
    <row r="87" spans="1:14" ht="12.75">
      <c r="A87" s="4" t="str">
        <f>A27</f>
        <v>HGS Backfill</v>
      </c>
      <c r="B87" s="43">
        <f aca="true" t="shared" si="21" ref="B87:N87">IF(AND(B$85&gt;=$J27,B$85&lt;=$K27),$D27+$D28,0)</f>
        <v>0</v>
      </c>
      <c r="C87" s="43">
        <f t="shared" si="21"/>
        <v>0</v>
      </c>
      <c r="D87" s="43">
        <f t="shared" si="21"/>
        <v>39.909825961199296</v>
      </c>
      <c r="E87" s="43">
        <f t="shared" si="21"/>
        <v>39.909825961199296</v>
      </c>
      <c r="F87" s="43">
        <f t="shared" si="21"/>
        <v>39.909825961199296</v>
      </c>
      <c r="G87" s="43">
        <f t="shared" si="21"/>
        <v>39.909825961199296</v>
      </c>
      <c r="H87" s="43">
        <f t="shared" si="21"/>
        <v>39.909825961199296</v>
      </c>
      <c r="I87" s="43">
        <f t="shared" si="21"/>
        <v>0</v>
      </c>
      <c r="J87" s="43">
        <f t="shared" si="21"/>
        <v>0</v>
      </c>
      <c r="K87" s="43">
        <f t="shared" si="21"/>
        <v>0</v>
      </c>
      <c r="L87" s="43">
        <f t="shared" si="21"/>
        <v>0</v>
      </c>
      <c r="M87" s="43">
        <f t="shared" si="21"/>
        <v>0</v>
      </c>
      <c r="N87" s="43">
        <f t="shared" si="21"/>
        <v>0</v>
      </c>
    </row>
    <row r="88" spans="1:14" ht="12.75">
      <c r="A88" s="4" t="str">
        <f>A29</f>
        <v>HGS Grading</v>
      </c>
      <c r="B88" s="43">
        <f aca="true" t="shared" si="22" ref="B88:N88">IF(AND(B$85&gt;=$J29,B$85&lt;=$K29),$D29+$D30,0)</f>
        <v>0</v>
      </c>
      <c r="C88" s="43">
        <f t="shared" si="22"/>
        <v>0</v>
      </c>
      <c r="D88" s="43">
        <f t="shared" si="22"/>
        <v>0</v>
      </c>
      <c r="E88" s="43">
        <f t="shared" si="22"/>
        <v>0</v>
      </c>
      <c r="F88" s="43">
        <f t="shared" si="22"/>
        <v>0</v>
      </c>
      <c r="G88" s="43">
        <f t="shared" si="22"/>
        <v>10.586894885361552</v>
      </c>
      <c r="H88" s="43">
        <f t="shared" si="22"/>
        <v>10.586894885361552</v>
      </c>
      <c r="I88" s="43">
        <f t="shared" si="22"/>
        <v>0</v>
      </c>
      <c r="J88" s="43">
        <f t="shared" si="22"/>
        <v>0</v>
      </c>
      <c r="K88" s="43">
        <f t="shared" si="22"/>
        <v>0</v>
      </c>
      <c r="L88" s="43">
        <f t="shared" si="22"/>
        <v>0</v>
      </c>
      <c r="M88" s="43">
        <f t="shared" si="22"/>
        <v>0</v>
      </c>
      <c r="N88" s="43">
        <f t="shared" si="22"/>
        <v>0</v>
      </c>
    </row>
    <row r="89" spans="1:14" ht="12.75">
      <c r="A89" s="4" t="str">
        <f>A31</f>
        <v>HGS Foundations </v>
      </c>
      <c r="B89" s="43">
        <f aca="true" t="shared" si="23" ref="B89:N89">IF(AND(B$85&gt;=$J31,B$85&lt;=$K31),$D31+$D32,0)</f>
        <v>0</v>
      </c>
      <c r="C89" s="43">
        <f t="shared" si="23"/>
        <v>0</v>
      </c>
      <c r="D89" s="43">
        <f t="shared" si="23"/>
        <v>0</v>
      </c>
      <c r="E89" s="43">
        <f t="shared" si="23"/>
        <v>0</v>
      </c>
      <c r="F89" s="43">
        <f t="shared" si="23"/>
        <v>0</v>
      </c>
      <c r="G89" s="43">
        <f t="shared" si="23"/>
        <v>0</v>
      </c>
      <c r="H89" s="43">
        <f t="shared" si="23"/>
        <v>0</v>
      </c>
      <c r="I89" s="43">
        <f t="shared" si="23"/>
        <v>43.330530476190475</v>
      </c>
      <c r="J89" s="43">
        <f t="shared" si="23"/>
        <v>43.330530476190475</v>
      </c>
      <c r="K89" s="43">
        <f t="shared" si="23"/>
        <v>43.330530476190475</v>
      </c>
      <c r="L89" s="43">
        <f t="shared" si="23"/>
        <v>43.330530476190475</v>
      </c>
      <c r="M89" s="43">
        <f t="shared" si="23"/>
        <v>0</v>
      </c>
      <c r="N89" s="43">
        <f t="shared" si="23"/>
        <v>0</v>
      </c>
    </row>
    <row r="90" spans="1:14" ht="12.75">
      <c r="A90" s="4" t="str">
        <f>A33</f>
        <v>HGS Paving</v>
      </c>
      <c r="B90" s="43">
        <f aca="true" t="shared" si="24" ref="B90:N90">IF(AND(B$85&gt;=$J33,B$85&lt;=$K33),$D33+$D34,0)</f>
        <v>0</v>
      </c>
      <c r="C90" s="43">
        <f t="shared" si="24"/>
        <v>0</v>
      </c>
      <c r="D90" s="43">
        <f t="shared" si="24"/>
        <v>0</v>
      </c>
      <c r="E90" s="43">
        <f t="shared" si="24"/>
        <v>0</v>
      </c>
      <c r="F90" s="43">
        <f t="shared" si="24"/>
        <v>0</v>
      </c>
      <c r="G90" s="43">
        <f t="shared" si="24"/>
        <v>0</v>
      </c>
      <c r="H90" s="43">
        <f t="shared" si="24"/>
        <v>0</v>
      </c>
      <c r="I90" s="43">
        <f t="shared" si="24"/>
        <v>12.846610255095547</v>
      </c>
      <c r="J90" s="43">
        <f t="shared" si="24"/>
        <v>12.846610255095547</v>
      </c>
      <c r="K90" s="43">
        <f t="shared" si="24"/>
        <v>12.846610255095547</v>
      </c>
      <c r="L90" s="43">
        <f t="shared" si="24"/>
        <v>12.846610255095547</v>
      </c>
      <c r="M90" s="43">
        <f t="shared" si="24"/>
        <v>0</v>
      </c>
      <c r="N90" s="43">
        <f t="shared" si="24"/>
        <v>0</v>
      </c>
    </row>
    <row r="91" spans="1:14" ht="12.75">
      <c r="A91" s="4" t="str">
        <f>A35</f>
        <v>HGS Equipment Installation</v>
      </c>
      <c r="B91" s="43">
        <f aca="true" t="shared" si="25" ref="B91:N91">IF(AND(B$85&gt;=$J35,B$85&lt;=$K35),$D35+$D36,0)</f>
        <v>0</v>
      </c>
      <c r="C91" s="43">
        <f t="shared" si="25"/>
        <v>0</v>
      </c>
      <c r="D91" s="43">
        <f t="shared" si="25"/>
        <v>0</v>
      </c>
      <c r="E91" s="43">
        <f t="shared" si="25"/>
        <v>0</v>
      </c>
      <c r="F91" s="43">
        <f t="shared" si="25"/>
        <v>0</v>
      </c>
      <c r="G91" s="43">
        <f t="shared" si="25"/>
        <v>0</v>
      </c>
      <c r="H91" s="43">
        <f t="shared" si="25"/>
        <v>0</v>
      </c>
      <c r="I91" s="43">
        <f t="shared" si="25"/>
        <v>0</v>
      </c>
      <c r="J91" s="43">
        <f t="shared" si="25"/>
        <v>0</v>
      </c>
      <c r="K91" s="43">
        <f t="shared" si="25"/>
        <v>0</v>
      </c>
      <c r="L91" s="43">
        <f t="shared" si="25"/>
        <v>0</v>
      </c>
      <c r="M91" s="43">
        <f t="shared" si="25"/>
        <v>102.59485813051145</v>
      </c>
      <c r="N91" s="43">
        <f t="shared" si="25"/>
        <v>102.59485813051145</v>
      </c>
    </row>
    <row r="92" spans="1:14" ht="12.75">
      <c r="A92" s="4" t="str">
        <f>A37</f>
        <v>SGS Slab Demolition</v>
      </c>
      <c r="B92" s="43">
        <f aca="true" t="shared" si="26" ref="B92:N92">IF(AND(B$85&gt;=$J37,B$85&lt;=$K37),$D37+$D38,0)</f>
        <v>9.830904850088183</v>
      </c>
      <c r="C92" s="43">
        <f t="shared" si="26"/>
        <v>9.830904850088183</v>
      </c>
      <c r="D92" s="43">
        <f t="shared" si="26"/>
        <v>0</v>
      </c>
      <c r="E92" s="43">
        <f t="shared" si="26"/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0</v>
      </c>
      <c r="K92" s="43">
        <f t="shared" si="26"/>
        <v>0</v>
      </c>
      <c r="L92" s="43">
        <f t="shared" si="26"/>
        <v>0</v>
      </c>
      <c r="M92" s="43">
        <f t="shared" si="26"/>
        <v>0</v>
      </c>
      <c r="N92" s="43">
        <f t="shared" si="26"/>
        <v>0</v>
      </c>
    </row>
    <row r="93" spans="1:14" ht="12.75">
      <c r="A93" s="4" t="str">
        <f>A39</f>
        <v>SGS Grading</v>
      </c>
      <c r="B93" s="43">
        <f aca="true" t="shared" si="27" ref="B93:N93">IF(AND(B$85&gt;=$J39,B$85&lt;=$K39),$D39+$D40,0)</f>
        <v>0</v>
      </c>
      <c r="C93" s="43">
        <f t="shared" si="27"/>
        <v>0</v>
      </c>
      <c r="D93" s="43">
        <f t="shared" si="27"/>
        <v>0</v>
      </c>
      <c r="E93" s="43">
        <f t="shared" si="27"/>
        <v>0</v>
      </c>
      <c r="F93" s="43">
        <f t="shared" si="27"/>
        <v>0</v>
      </c>
      <c r="G93" s="43">
        <f t="shared" si="27"/>
        <v>6.094834021164021</v>
      </c>
      <c r="H93" s="43">
        <f t="shared" si="27"/>
        <v>6.094834021164021</v>
      </c>
      <c r="I93" s="43">
        <f t="shared" si="27"/>
        <v>0</v>
      </c>
      <c r="J93" s="43">
        <f t="shared" si="27"/>
        <v>0</v>
      </c>
      <c r="K93" s="43">
        <f t="shared" si="27"/>
        <v>0</v>
      </c>
      <c r="L93" s="43">
        <f t="shared" si="27"/>
        <v>0</v>
      </c>
      <c r="M93" s="43">
        <f t="shared" si="27"/>
        <v>0</v>
      </c>
      <c r="N93" s="43">
        <f t="shared" si="27"/>
        <v>0</v>
      </c>
    </row>
    <row r="94" spans="1:14" ht="12.75">
      <c r="A94" s="4" t="str">
        <f>A41</f>
        <v>SGS Foundations </v>
      </c>
      <c r="B94" s="43">
        <f aca="true" t="shared" si="28" ref="B94:N94">IF(AND(B$85&gt;=$J41,B$85&lt;=$K41),$D41+$D42,0)</f>
        <v>0</v>
      </c>
      <c r="C94" s="43">
        <f t="shared" si="28"/>
        <v>0</v>
      </c>
      <c r="D94" s="43">
        <f t="shared" si="28"/>
        <v>0</v>
      </c>
      <c r="E94" s="43">
        <f t="shared" si="28"/>
        <v>0</v>
      </c>
      <c r="F94" s="43">
        <f t="shared" si="28"/>
        <v>0</v>
      </c>
      <c r="G94" s="43">
        <f t="shared" si="28"/>
        <v>0</v>
      </c>
      <c r="H94" s="43">
        <f t="shared" si="28"/>
        <v>0</v>
      </c>
      <c r="I94" s="43">
        <f t="shared" si="28"/>
        <v>5.111793262786596</v>
      </c>
      <c r="J94" s="43">
        <f t="shared" si="28"/>
        <v>5.111793262786596</v>
      </c>
      <c r="K94" s="43">
        <f t="shared" si="28"/>
        <v>5.111793262786596</v>
      </c>
      <c r="L94" s="43">
        <f t="shared" si="28"/>
        <v>5.111793262786596</v>
      </c>
      <c r="M94" s="43">
        <f t="shared" si="28"/>
        <v>0</v>
      </c>
      <c r="N94" s="43">
        <f t="shared" si="28"/>
        <v>0</v>
      </c>
    </row>
    <row r="95" spans="1:14" ht="12.75">
      <c r="A95" s="4" t="str">
        <f>A43</f>
        <v>SGS Paving</v>
      </c>
      <c r="B95" s="43">
        <f aca="true" t="shared" si="29" ref="B95:N95">IF(AND(B$85&gt;=$J43,B$85&lt;=$K43),$D43+$D44,0)</f>
        <v>0</v>
      </c>
      <c r="C95" s="43">
        <f t="shared" si="29"/>
        <v>0</v>
      </c>
      <c r="D95" s="43">
        <f t="shared" si="29"/>
        <v>0</v>
      </c>
      <c r="E95" s="43">
        <f t="shared" si="29"/>
        <v>0</v>
      </c>
      <c r="F95" s="43">
        <f t="shared" si="29"/>
        <v>0</v>
      </c>
      <c r="G95" s="43">
        <f t="shared" si="29"/>
        <v>0</v>
      </c>
      <c r="H95" s="43">
        <f t="shared" si="29"/>
        <v>0</v>
      </c>
      <c r="I95" s="43">
        <f t="shared" si="29"/>
        <v>3.5191449971817668</v>
      </c>
      <c r="J95" s="43">
        <f t="shared" si="29"/>
        <v>3.5191449971817668</v>
      </c>
      <c r="K95" s="43">
        <f t="shared" si="29"/>
        <v>3.5191449971817668</v>
      </c>
      <c r="L95" s="43">
        <f t="shared" si="29"/>
        <v>3.5191449971817668</v>
      </c>
      <c r="M95" s="43">
        <f t="shared" si="29"/>
        <v>0</v>
      </c>
      <c r="N95" s="43">
        <f t="shared" si="29"/>
        <v>0</v>
      </c>
    </row>
    <row r="96" spans="1:14" ht="12.75">
      <c r="A96" s="4" t="str">
        <f>A45</f>
        <v>SGS Equipment Installation</v>
      </c>
      <c r="B96" s="43">
        <f aca="true" t="shared" si="30" ref="B96:N96">IF(AND(B$85&gt;=$J45,B$85&lt;=$K45),$D45+$D46,0)</f>
        <v>0</v>
      </c>
      <c r="C96" s="43">
        <f t="shared" si="30"/>
        <v>0</v>
      </c>
      <c r="D96" s="43">
        <f t="shared" si="30"/>
        <v>0</v>
      </c>
      <c r="E96" s="43">
        <f t="shared" si="30"/>
        <v>0</v>
      </c>
      <c r="F96" s="43">
        <f t="shared" si="30"/>
        <v>0</v>
      </c>
      <c r="G96" s="43">
        <f t="shared" si="30"/>
        <v>0</v>
      </c>
      <c r="H96" s="43">
        <f t="shared" si="30"/>
        <v>0</v>
      </c>
      <c r="I96" s="43">
        <f t="shared" si="30"/>
        <v>0</v>
      </c>
      <c r="J96" s="43">
        <f t="shared" si="30"/>
        <v>0</v>
      </c>
      <c r="K96" s="43">
        <f t="shared" si="30"/>
        <v>0</v>
      </c>
      <c r="L96" s="43">
        <f t="shared" si="30"/>
        <v>0</v>
      </c>
      <c r="M96" s="43">
        <f t="shared" si="30"/>
        <v>56.649976843033514</v>
      </c>
      <c r="N96" s="43">
        <f t="shared" si="30"/>
        <v>56.649976843033514</v>
      </c>
    </row>
    <row r="97" spans="1:14" ht="12.75">
      <c r="A97" s="4" t="str">
        <f>A47</f>
        <v>VGS Demolition</v>
      </c>
      <c r="B97" s="43">
        <f aca="true" t="shared" si="31" ref="B97:N97">IF(AND(B$85&gt;=$J47,B$85&lt;=$K47),$D47+$D48,0)</f>
        <v>10.96703182010582</v>
      </c>
      <c r="C97" s="43">
        <f t="shared" si="31"/>
        <v>10.96703182010582</v>
      </c>
      <c r="D97" s="43">
        <f t="shared" si="31"/>
        <v>0</v>
      </c>
      <c r="E97" s="43">
        <f t="shared" si="31"/>
        <v>0</v>
      </c>
      <c r="F97" s="43">
        <f t="shared" si="31"/>
        <v>0</v>
      </c>
      <c r="G97" s="43">
        <f t="shared" si="31"/>
        <v>0</v>
      </c>
      <c r="H97" s="43">
        <f t="shared" si="31"/>
        <v>0</v>
      </c>
      <c r="I97" s="43">
        <f t="shared" si="31"/>
        <v>0</v>
      </c>
      <c r="J97" s="43">
        <f t="shared" si="31"/>
        <v>0</v>
      </c>
      <c r="K97" s="43">
        <f t="shared" si="31"/>
        <v>0</v>
      </c>
      <c r="L97" s="43">
        <f t="shared" si="31"/>
        <v>0</v>
      </c>
      <c r="M97" s="43">
        <f t="shared" si="31"/>
        <v>0</v>
      </c>
      <c r="N97" s="43">
        <f t="shared" si="31"/>
        <v>0</v>
      </c>
    </row>
    <row r="98" spans="1:14" ht="12.75">
      <c r="A98" s="4" t="str">
        <f>A49</f>
        <v>VGS Grading</v>
      </c>
      <c r="B98" s="43">
        <f aca="true" t="shared" si="32" ref="B98:N98">IF(AND(B$85&gt;=$J49,B$85&lt;=$K49),$D49+$D50,0)</f>
        <v>0</v>
      </c>
      <c r="C98" s="43">
        <f t="shared" si="32"/>
        <v>0</v>
      </c>
      <c r="D98" s="43">
        <f t="shared" si="32"/>
        <v>6.033614885361552</v>
      </c>
      <c r="E98" s="43">
        <f t="shared" si="32"/>
        <v>6.033614885361552</v>
      </c>
      <c r="F98" s="43">
        <f t="shared" si="32"/>
        <v>0</v>
      </c>
      <c r="G98" s="43">
        <f t="shared" si="32"/>
        <v>0</v>
      </c>
      <c r="H98" s="43">
        <f t="shared" si="32"/>
        <v>0</v>
      </c>
      <c r="I98" s="43">
        <f t="shared" si="32"/>
        <v>0</v>
      </c>
      <c r="J98" s="43">
        <f t="shared" si="32"/>
        <v>0</v>
      </c>
      <c r="K98" s="43">
        <f t="shared" si="32"/>
        <v>0</v>
      </c>
      <c r="L98" s="43">
        <f t="shared" si="32"/>
        <v>0</v>
      </c>
      <c r="M98" s="43">
        <f t="shared" si="32"/>
        <v>0</v>
      </c>
      <c r="N98" s="43">
        <f t="shared" si="32"/>
        <v>0</v>
      </c>
    </row>
    <row r="99" spans="1:14" ht="12.75">
      <c r="A99" s="4" t="str">
        <f>A51</f>
        <v>VGS Foundations </v>
      </c>
      <c r="B99" s="43">
        <f aca="true" t="shared" si="33" ref="B99:N99">IF(AND(B$85&gt;=$J51,B$85&lt;=$K51),$D51+$D52,0)</f>
        <v>0</v>
      </c>
      <c r="C99" s="43">
        <f t="shared" si="33"/>
        <v>0</v>
      </c>
      <c r="D99" s="43">
        <f t="shared" si="33"/>
        <v>0</v>
      </c>
      <c r="E99" s="43">
        <f t="shared" si="33"/>
        <v>0</v>
      </c>
      <c r="F99" s="43">
        <f t="shared" si="33"/>
        <v>11.536346807760141</v>
      </c>
      <c r="G99" s="43">
        <f t="shared" si="33"/>
        <v>11.536346807760141</v>
      </c>
      <c r="H99" s="43">
        <f t="shared" si="33"/>
        <v>11.536346807760141</v>
      </c>
      <c r="I99" s="43">
        <f t="shared" si="33"/>
        <v>11.536346807760141</v>
      </c>
      <c r="J99" s="43">
        <f t="shared" si="33"/>
        <v>11.536346807760141</v>
      </c>
      <c r="K99" s="43">
        <f t="shared" si="33"/>
        <v>0</v>
      </c>
      <c r="L99" s="43">
        <f t="shared" si="33"/>
        <v>0</v>
      </c>
      <c r="M99" s="43">
        <f t="shared" si="33"/>
        <v>0</v>
      </c>
      <c r="N99" s="43">
        <f t="shared" si="33"/>
        <v>0</v>
      </c>
    </row>
    <row r="100" spans="1:14" ht="12.75">
      <c r="A100" s="4" t="str">
        <f>A53</f>
        <v>VGS Paving</v>
      </c>
      <c r="B100" s="43">
        <f aca="true" t="shared" si="34" ref="B100:N100">IF(AND(B$85&gt;=$J53,B$85&lt;=$K53),$D53+$D54,0)</f>
        <v>0</v>
      </c>
      <c r="C100" s="43">
        <f t="shared" si="34"/>
        <v>0</v>
      </c>
      <c r="D100" s="43">
        <f t="shared" si="34"/>
        <v>0</v>
      </c>
      <c r="E100" s="43">
        <f t="shared" si="34"/>
        <v>0</v>
      </c>
      <c r="F100" s="43">
        <f t="shared" si="34"/>
        <v>0</v>
      </c>
      <c r="G100" s="43">
        <f t="shared" si="34"/>
        <v>0</v>
      </c>
      <c r="H100" s="43">
        <f t="shared" si="34"/>
        <v>0</v>
      </c>
      <c r="I100" s="43">
        <f t="shared" si="34"/>
        <v>4.275023158602884</v>
      </c>
      <c r="J100" s="43">
        <f t="shared" si="34"/>
        <v>4.275023158602884</v>
      </c>
      <c r="K100" s="43">
        <f t="shared" si="34"/>
        <v>4.275023158602884</v>
      </c>
      <c r="L100" s="43">
        <f t="shared" si="34"/>
        <v>0</v>
      </c>
      <c r="M100" s="43">
        <f t="shared" si="34"/>
        <v>0</v>
      </c>
      <c r="N100" s="43">
        <f t="shared" si="34"/>
        <v>0</v>
      </c>
    </row>
    <row r="101" spans="1:14" ht="12.75">
      <c r="A101" s="4" t="str">
        <f>A55</f>
        <v>VGS Equipment Installation</v>
      </c>
      <c r="B101" s="43">
        <f aca="true" t="shared" si="35" ref="B101:N101">IF(AND(B$85&gt;=$J55,B$85&lt;=$K55),$D55+$D56,0)</f>
        <v>0</v>
      </c>
      <c r="C101" s="43">
        <f t="shared" si="35"/>
        <v>0</v>
      </c>
      <c r="D101" s="43">
        <f t="shared" si="35"/>
        <v>0</v>
      </c>
      <c r="E101" s="43">
        <f t="shared" si="35"/>
        <v>0</v>
      </c>
      <c r="F101" s="43">
        <f t="shared" si="35"/>
        <v>0</v>
      </c>
      <c r="G101" s="43">
        <f t="shared" si="35"/>
        <v>0</v>
      </c>
      <c r="H101" s="43">
        <f t="shared" si="35"/>
        <v>0</v>
      </c>
      <c r="I101" s="43">
        <f t="shared" si="35"/>
        <v>0</v>
      </c>
      <c r="J101" s="43">
        <f t="shared" si="35"/>
        <v>0</v>
      </c>
      <c r="K101" s="43">
        <f t="shared" si="35"/>
        <v>0</v>
      </c>
      <c r="L101" s="43">
        <f t="shared" si="35"/>
        <v>0</v>
      </c>
      <c r="M101" s="43">
        <f t="shared" si="35"/>
        <v>30.535073509700176</v>
      </c>
      <c r="N101" s="43">
        <f t="shared" si="35"/>
        <v>30.535073509700176</v>
      </c>
    </row>
    <row r="102" spans="1:14" ht="12.75">
      <c r="A102" s="15" t="s">
        <v>24</v>
      </c>
      <c r="B102" s="44">
        <f aca="true" t="shared" si="36" ref="B102:N102">SUM(B86:B101)</f>
        <v>318.2042522746689</v>
      </c>
      <c r="C102" s="44">
        <f t="shared" si="36"/>
        <v>318.2042522746689</v>
      </c>
      <c r="D102" s="44">
        <f t="shared" si="36"/>
        <v>45.94344084656085</v>
      </c>
      <c r="E102" s="44">
        <f t="shared" si="36"/>
        <v>45.94344084656085</v>
      </c>
      <c r="F102" s="44">
        <f t="shared" si="36"/>
        <v>51.446172768959435</v>
      </c>
      <c r="G102" s="44">
        <f t="shared" si="36"/>
        <v>68.127901675485</v>
      </c>
      <c r="H102" s="44">
        <f t="shared" si="36"/>
        <v>68.127901675485</v>
      </c>
      <c r="I102" s="44">
        <f t="shared" si="36"/>
        <v>80.61944895761741</v>
      </c>
      <c r="J102" s="44">
        <f t="shared" si="36"/>
        <v>80.61944895761741</v>
      </c>
      <c r="K102" s="44">
        <f t="shared" si="36"/>
        <v>69.08310214985727</v>
      </c>
      <c r="L102" s="44">
        <f t="shared" si="36"/>
        <v>64.80807899125439</v>
      </c>
      <c r="M102" s="44">
        <f t="shared" si="36"/>
        <v>189.77990848324515</v>
      </c>
      <c r="N102" s="44">
        <f t="shared" si="36"/>
        <v>189.77990848324515</v>
      </c>
    </row>
    <row r="103" spans="1:14" ht="12.75">
      <c r="A103" s="39" t="s">
        <v>132</v>
      </c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7"/>
      <c r="M103" s="47"/>
      <c r="N103" s="47"/>
    </row>
    <row r="104" spans="1:14" ht="12.75">
      <c r="A104" s="62" t="s">
        <v>276</v>
      </c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7"/>
      <c r="M104" s="47"/>
      <c r="N104" s="47"/>
    </row>
    <row r="105" spans="1:11" ht="12.75">
      <c r="A105" s="29"/>
      <c r="B105" s="48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2.75">
      <c r="A106" s="29"/>
      <c r="B106" s="48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4" ht="12.75">
      <c r="A107" s="86" t="s">
        <v>337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">
      <c r="A108" s="85" t="s">
        <v>351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37" t="s">
        <v>87</v>
      </c>
      <c r="B109" s="69">
        <v>1</v>
      </c>
      <c r="C109" s="69">
        <v>10</v>
      </c>
      <c r="D109" s="69">
        <v>11</v>
      </c>
      <c r="E109" s="69">
        <v>15</v>
      </c>
      <c r="F109" s="69">
        <v>16</v>
      </c>
      <c r="G109" s="69">
        <v>18</v>
      </c>
      <c r="H109" s="69">
        <v>20</v>
      </c>
      <c r="I109" s="69">
        <v>21</v>
      </c>
      <c r="J109" s="69">
        <v>22</v>
      </c>
      <c r="K109" s="69">
        <v>25</v>
      </c>
      <c r="L109" s="69">
        <v>28</v>
      </c>
      <c r="M109" s="69">
        <v>29</v>
      </c>
      <c r="N109" s="69">
        <v>150</v>
      </c>
    </row>
    <row r="110" spans="1:14" ht="12.75">
      <c r="A110" s="4" t="str">
        <f>A25</f>
        <v>HGS Tank Demolition</v>
      </c>
      <c r="B110" s="43">
        <f aca="true" t="shared" si="37" ref="B110:N110">IF(AND(B$109&gt;=$J25,B$109&lt;=$K25),$E25+$E26,0)</f>
        <v>260.3767848606702</v>
      </c>
      <c r="C110" s="43">
        <f t="shared" si="37"/>
        <v>260.3767848606702</v>
      </c>
      <c r="D110" s="43">
        <f t="shared" si="37"/>
        <v>0</v>
      </c>
      <c r="E110" s="43">
        <f t="shared" si="37"/>
        <v>0</v>
      </c>
      <c r="F110" s="43">
        <f t="shared" si="37"/>
        <v>0</v>
      </c>
      <c r="G110" s="43">
        <f t="shared" si="37"/>
        <v>0</v>
      </c>
      <c r="H110" s="43">
        <f t="shared" si="37"/>
        <v>0</v>
      </c>
      <c r="I110" s="43">
        <f t="shared" si="37"/>
        <v>0</v>
      </c>
      <c r="J110" s="43">
        <f t="shared" si="37"/>
        <v>0</v>
      </c>
      <c r="K110" s="43">
        <f t="shared" si="37"/>
        <v>0</v>
      </c>
      <c r="L110" s="43">
        <f t="shared" si="37"/>
        <v>0</v>
      </c>
      <c r="M110" s="43">
        <f t="shared" si="37"/>
        <v>0</v>
      </c>
      <c r="N110" s="43">
        <f t="shared" si="37"/>
        <v>0</v>
      </c>
    </row>
    <row r="111" spans="1:14" ht="12.75">
      <c r="A111" s="4" t="str">
        <f>A27</f>
        <v>HGS Backfill</v>
      </c>
      <c r="B111" s="43">
        <f aca="true" t="shared" si="38" ref="B111:N111">IF(AND(B$109&gt;=$J27,B$109&lt;=$K27),$E27+$E28,0)</f>
        <v>0</v>
      </c>
      <c r="C111" s="43">
        <f t="shared" si="38"/>
        <v>0</v>
      </c>
      <c r="D111" s="43">
        <f t="shared" si="38"/>
        <v>344.3539751675485</v>
      </c>
      <c r="E111" s="43">
        <f t="shared" si="38"/>
        <v>344.3539751675485</v>
      </c>
      <c r="F111" s="43">
        <f t="shared" si="38"/>
        <v>344.3539751675485</v>
      </c>
      <c r="G111" s="43">
        <f t="shared" si="38"/>
        <v>344.3539751675485</v>
      </c>
      <c r="H111" s="43">
        <f t="shared" si="38"/>
        <v>344.3539751675485</v>
      </c>
      <c r="I111" s="43">
        <f t="shared" si="38"/>
        <v>0</v>
      </c>
      <c r="J111" s="43">
        <f t="shared" si="38"/>
        <v>0</v>
      </c>
      <c r="K111" s="43">
        <f t="shared" si="38"/>
        <v>0</v>
      </c>
      <c r="L111" s="43">
        <f t="shared" si="38"/>
        <v>0</v>
      </c>
      <c r="M111" s="43">
        <f t="shared" si="38"/>
        <v>0</v>
      </c>
      <c r="N111" s="43">
        <f t="shared" si="38"/>
        <v>0</v>
      </c>
    </row>
    <row r="112" spans="1:14" ht="12.75">
      <c r="A112" s="4" t="str">
        <f>A29</f>
        <v>HGS Grading</v>
      </c>
      <c r="B112" s="43">
        <f aca="true" t="shared" si="39" ref="B112:N112">IF(AND(B$109&gt;=$J29,B$109&lt;=$K29),$E29+$E30,0)</f>
        <v>0</v>
      </c>
      <c r="C112" s="43">
        <f t="shared" si="39"/>
        <v>0</v>
      </c>
      <c r="D112" s="43">
        <f t="shared" si="39"/>
        <v>0</v>
      </c>
      <c r="E112" s="43">
        <f t="shared" si="39"/>
        <v>0</v>
      </c>
      <c r="F112" s="43">
        <f t="shared" si="39"/>
        <v>0</v>
      </c>
      <c r="G112" s="43">
        <f t="shared" si="39"/>
        <v>79.05137209876544</v>
      </c>
      <c r="H112" s="43">
        <f t="shared" si="39"/>
        <v>79.05137209876544</v>
      </c>
      <c r="I112" s="43">
        <f t="shared" si="39"/>
        <v>0</v>
      </c>
      <c r="J112" s="43">
        <f t="shared" si="39"/>
        <v>0</v>
      </c>
      <c r="K112" s="43">
        <f t="shared" si="39"/>
        <v>0</v>
      </c>
      <c r="L112" s="43">
        <f t="shared" si="39"/>
        <v>0</v>
      </c>
      <c r="M112" s="43">
        <f t="shared" si="39"/>
        <v>0</v>
      </c>
      <c r="N112" s="43">
        <f t="shared" si="39"/>
        <v>0</v>
      </c>
    </row>
    <row r="113" spans="1:14" ht="12.75">
      <c r="A113" s="4" t="str">
        <f>A31</f>
        <v>HGS Foundations </v>
      </c>
      <c r="B113" s="43">
        <f aca="true" t="shared" si="40" ref="B113:N113">IF(AND(B$109&gt;=$J31,B$109&lt;=$K31),$E31+$E32,0)</f>
        <v>0</v>
      </c>
      <c r="C113" s="43">
        <f t="shared" si="40"/>
        <v>0</v>
      </c>
      <c r="D113" s="43">
        <f t="shared" si="40"/>
        <v>0</v>
      </c>
      <c r="E113" s="43">
        <f t="shared" si="40"/>
        <v>0</v>
      </c>
      <c r="F113" s="43">
        <f t="shared" si="40"/>
        <v>0</v>
      </c>
      <c r="G113" s="43">
        <f t="shared" si="40"/>
        <v>0</v>
      </c>
      <c r="H113" s="43">
        <f t="shared" si="40"/>
        <v>0</v>
      </c>
      <c r="I113" s="43">
        <f t="shared" si="40"/>
        <v>175.97634433862436</v>
      </c>
      <c r="J113" s="43">
        <f t="shared" si="40"/>
        <v>175.97634433862436</v>
      </c>
      <c r="K113" s="43">
        <f t="shared" si="40"/>
        <v>175.97634433862436</v>
      </c>
      <c r="L113" s="43">
        <f t="shared" si="40"/>
        <v>175.97634433862436</v>
      </c>
      <c r="M113" s="43">
        <f t="shared" si="40"/>
        <v>0</v>
      </c>
      <c r="N113" s="43">
        <f t="shared" si="40"/>
        <v>0</v>
      </c>
    </row>
    <row r="114" spans="1:14" ht="12.75">
      <c r="A114" s="4" t="str">
        <f>A33</f>
        <v>HGS Paving</v>
      </c>
      <c r="B114" s="43">
        <f aca="true" t="shared" si="41" ref="B114:N114">IF(AND(B$109&gt;=$J33,B$109&lt;=$K33),$E33+$E34,0)</f>
        <v>0</v>
      </c>
      <c r="C114" s="43">
        <f t="shared" si="41"/>
        <v>0</v>
      </c>
      <c r="D114" s="43">
        <f t="shared" si="41"/>
        <v>0</v>
      </c>
      <c r="E114" s="43">
        <f t="shared" si="41"/>
        <v>0</v>
      </c>
      <c r="F114" s="43">
        <f t="shared" si="41"/>
        <v>0</v>
      </c>
      <c r="G114" s="43">
        <f t="shared" si="41"/>
        <v>0</v>
      </c>
      <c r="H114" s="43">
        <f t="shared" si="41"/>
        <v>0</v>
      </c>
      <c r="I114" s="43">
        <f t="shared" si="41"/>
        <v>86.38166328042328</v>
      </c>
      <c r="J114" s="43">
        <f t="shared" si="41"/>
        <v>86.38166328042328</v>
      </c>
      <c r="K114" s="43">
        <f t="shared" si="41"/>
        <v>86.38166328042328</v>
      </c>
      <c r="L114" s="43">
        <f t="shared" si="41"/>
        <v>86.38166328042328</v>
      </c>
      <c r="M114" s="43">
        <f t="shared" si="41"/>
        <v>0</v>
      </c>
      <c r="N114" s="43">
        <f t="shared" si="41"/>
        <v>0</v>
      </c>
    </row>
    <row r="115" spans="1:14" ht="12.75">
      <c r="A115" s="4" t="str">
        <f>A35</f>
        <v>HGS Equipment Installation</v>
      </c>
      <c r="B115" s="43">
        <f aca="true" t="shared" si="42" ref="B115:N115">IF(AND(B$109&gt;=$J35,B$109&lt;=$K35),$E35+$E36,0)</f>
        <v>0</v>
      </c>
      <c r="C115" s="43">
        <f t="shared" si="42"/>
        <v>0</v>
      </c>
      <c r="D115" s="43">
        <f t="shared" si="42"/>
        <v>0</v>
      </c>
      <c r="E115" s="43">
        <f t="shared" si="42"/>
        <v>0</v>
      </c>
      <c r="F115" s="43">
        <f t="shared" si="42"/>
        <v>0</v>
      </c>
      <c r="G115" s="43">
        <f t="shared" si="42"/>
        <v>0</v>
      </c>
      <c r="H115" s="43">
        <f t="shared" si="42"/>
        <v>0</v>
      </c>
      <c r="I115" s="43">
        <f t="shared" si="42"/>
        <v>0</v>
      </c>
      <c r="J115" s="43">
        <f t="shared" si="42"/>
        <v>0</v>
      </c>
      <c r="K115" s="43">
        <f t="shared" si="42"/>
        <v>0</v>
      </c>
      <c r="L115" s="43">
        <f t="shared" si="42"/>
        <v>0</v>
      </c>
      <c r="M115" s="43">
        <f t="shared" si="42"/>
        <v>377.6828929805996</v>
      </c>
      <c r="N115" s="43">
        <f t="shared" si="42"/>
        <v>377.6828929805996</v>
      </c>
    </row>
    <row r="116" spans="1:14" ht="12.75">
      <c r="A116" s="4" t="str">
        <f>A37</f>
        <v>SGS Slab Demolition</v>
      </c>
      <c r="B116" s="43">
        <f aca="true" t="shared" si="43" ref="B116:N116">IF(AND(B$109&gt;=$J37,B$109&lt;=$K37),$E37+$E38,0)</f>
        <v>68.27445569664903</v>
      </c>
      <c r="C116" s="43">
        <f t="shared" si="43"/>
        <v>68.27445569664903</v>
      </c>
      <c r="D116" s="43">
        <f t="shared" si="43"/>
        <v>0</v>
      </c>
      <c r="E116" s="43">
        <f t="shared" si="43"/>
        <v>0</v>
      </c>
      <c r="F116" s="43">
        <f t="shared" si="43"/>
        <v>0</v>
      </c>
      <c r="G116" s="43">
        <f t="shared" si="43"/>
        <v>0</v>
      </c>
      <c r="H116" s="43">
        <f t="shared" si="43"/>
        <v>0</v>
      </c>
      <c r="I116" s="43">
        <f t="shared" si="43"/>
        <v>0</v>
      </c>
      <c r="J116" s="43">
        <f t="shared" si="43"/>
        <v>0</v>
      </c>
      <c r="K116" s="43">
        <f t="shared" si="43"/>
        <v>0</v>
      </c>
      <c r="L116" s="43">
        <f t="shared" si="43"/>
        <v>0</v>
      </c>
      <c r="M116" s="43">
        <f t="shared" si="43"/>
        <v>0</v>
      </c>
      <c r="N116" s="43">
        <f t="shared" si="43"/>
        <v>0</v>
      </c>
    </row>
    <row r="117" spans="1:14" ht="12.75">
      <c r="A117" s="4" t="str">
        <f>A39</f>
        <v>SGS Grading</v>
      </c>
      <c r="B117" s="43">
        <f aca="true" t="shared" si="44" ref="B117:N117">IF(AND(B$109&gt;=$J39,B$109&lt;=$K39),$E39+$E40,0)</f>
        <v>0</v>
      </c>
      <c r="C117" s="43">
        <f t="shared" si="44"/>
        <v>0</v>
      </c>
      <c r="D117" s="43">
        <f t="shared" si="44"/>
        <v>0</v>
      </c>
      <c r="E117" s="43">
        <f t="shared" si="44"/>
        <v>0</v>
      </c>
      <c r="F117" s="43">
        <f t="shared" si="44"/>
        <v>0</v>
      </c>
      <c r="G117" s="43">
        <f t="shared" si="44"/>
        <v>42.65416649029982</v>
      </c>
      <c r="H117" s="43">
        <f t="shared" si="44"/>
        <v>42.65416649029982</v>
      </c>
      <c r="I117" s="43">
        <f t="shared" si="44"/>
        <v>0</v>
      </c>
      <c r="J117" s="43">
        <f t="shared" si="44"/>
        <v>0</v>
      </c>
      <c r="K117" s="43">
        <f t="shared" si="44"/>
        <v>0</v>
      </c>
      <c r="L117" s="43">
        <f t="shared" si="44"/>
        <v>0</v>
      </c>
      <c r="M117" s="43">
        <f t="shared" si="44"/>
        <v>0</v>
      </c>
      <c r="N117" s="43">
        <f t="shared" si="44"/>
        <v>0</v>
      </c>
    </row>
    <row r="118" spans="1:14" ht="12.75">
      <c r="A118" s="4" t="str">
        <f>A41</f>
        <v>SGS Foundations </v>
      </c>
      <c r="B118" s="43">
        <f aca="true" t="shared" si="45" ref="B118:N118">IF(AND(B$109&gt;=$J41,B$109&lt;=$K41),$E41+$E42,0)</f>
        <v>0</v>
      </c>
      <c r="C118" s="43">
        <f t="shared" si="45"/>
        <v>0</v>
      </c>
      <c r="D118" s="43">
        <f t="shared" si="45"/>
        <v>0</v>
      </c>
      <c r="E118" s="43">
        <f t="shared" si="45"/>
        <v>0</v>
      </c>
      <c r="F118" s="43">
        <f t="shared" si="45"/>
        <v>0</v>
      </c>
      <c r="G118" s="43">
        <f t="shared" si="45"/>
        <v>0</v>
      </c>
      <c r="H118" s="43">
        <f t="shared" si="45"/>
        <v>0</v>
      </c>
      <c r="I118" s="43">
        <f t="shared" si="45"/>
        <v>28.02090271604938</v>
      </c>
      <c r="J118" s="43">
        <f t="shared" si="45"/>
        <v>28.02090271604938</v>
      </c>
      <c r="K118" s="43">
        <f t="shared" si="45"/>
        <v>28.02090271604938</v>
      </c>
      <c r="L118" s="43">
        <f t="shared" si="45"/>
        <v>28.02090271604938</v>
      </c>
      <c r="M118" s="43">
        <f t="shared" si="45"/>
        <v>0</v>
      </c>
      <c r="N118" s="43">
        <f t="shared" si="45"/>
        <v>0</v>
      </c>
    </row>
    <row r="119" spans="1:14" ht="12.75">
      <c r="A119" s="4" t="str">
        <f>A43</f>
        <v>SGS Paving</v>
      </c>
      <c r="B119" s="43">
        <f aca="true" t="shared" si="46" ref="B119:N119">IF(AND(B$109&gt;=$J43,B$109&lt;=$K43),$E43+$E44,0)</f>
        <v>0</v>
      </c>
      <c r="C119" s="43">
        <f t="shared" si="46"/>
        <v>0</v>
      </c>
      <c r="D119" s="43">
        <f t="shared" si="46"/>
        <v>0</v>
      </c>
      <c r="E119" s="43">
        <f t="shared" si="46"/>
        <v>0</v>
      </c>
      <c r="F119" s="43">
        <f t="shared" si="46"/>
        <v>0</v>
      </c>
      <c r="G119" s="43">
        <f t="shared" si="46"/>
        <v>0</v>
      </c>
      <c r="H119" s="43">
        <f t="shared" si="46"/>
        <v>0</v>
      </c>
      <c r="I119" s="43">
        <f t="shared" si="46"/>
        <v>37.23174603174603</v>
      </c>
      <c r="J119" s="43">
        <f t="shared" si="46"/>
        <v>37.23174603174603</v>
      </c>
      <c r="K119" s="43">
        <f t="shared" si="46"/>
        <v>37.23174603174603</v>
      </c>
      <c r="L119" s="43">
        <f t="shared" si="46"/>
        <v>37.23174603174603</v>
      </c>
      <c r="M119" s="43">
        <f t="shared" si="46"/>
        <v>0</v>
      </c>
      <c r="N119" s="43">
        <f t="shared" si="46"/>
        <v>0</v>
      </c>
    </row>
    <row r="120" spans="1:14" ht="12.75">
      <c r="A120" s="4" t="str">
        <f>A45</f>
        <v>SGS Equipment Installation</v>
      </c>
      <c r="B120" s="43">
        <f aca="true" t="shared" si="47" ref="B120:N120">IF(AND(B$109&gt;=$J45,B$109&lt;=$K45),$E45+$E46,0)</f>
        <v>0</v>
      </c>
      <c r="C120" s="43">
        <f t="shared" si="47"/>
        <v>0</v>
      </c>
      <c r="D120" s="43">
        <f t="shared" si="47"/>
        <v>0</v>
      </c>
      <c r="E120" s="43">
        <f t="shared" si="47"/>
        <v>0</v>
      </c>
      <c r="F120" s="43">
        <f t="shared" si="47"/>
        <v>0</v>
      </c>
      <c r="G120" s="43">
        <f t="shared" si="47"/>
        <v>0</v>
      </c>
      <c r="H120" s="43">
        <f t="shared" si="47"/>
        <v>0</v>
      </c>
      <c r="I120" s="43">
        <f t="shared" si="47"/>
        <v>0</v>
      </c>
      <c r="J120" s="43">
        <f t="shared" si="47"/>
        <v>0</v>
      </c>
      <c r="K120" s="43">
        <f t="shared" si="47"/>
        <v>0</v>
      </c>
      <c r="L120" s="43">
        <f t="shared" si="47"/>
        <v>0</v>
      </c>
      <c r="M120" s="43">
        <f t="shared" si="47"/>
        <v>135.89386155202823</v>
      </c>
      <c r="N120" s="43">
        <f t="shared" si="47"/>
        <v>135.89386155202823</v>
      </c>
    </row>
    <row r="121" spans="1:14" ht="12.75">
      <c r="A121" s="4" t="str">
        <f>A47</f>
        <v>VGS Demolition</v>
      </c>
      <c r="B121" s="43">
        <f aca="true" t="shared" si="48" ref="B121:N121">IF(AND(B$109&gt;=$J47,B$109&lt;=$K47),$E47+$E48,0)</f>
        <v>97.61756117813049</v>
      </c>
      <c r="C121" s="43">
        <f t="shared" si="48"/>
        <v>97.61756117813049</v>
      </c>
      <c r="D121" s="43">
        <f t="shared" si="48"/>
        <v>0</v>
      </c>
      <c r="E121" s="43">
        <f t="shared" si="48"/>
        <v>0</v>
      </c>
      <c r="F121" s="43">
        <f t="shared" si="48"/>
        <v>0</v>
      </c>
      <c r="G121" s="43">
        <f t="shared" si="48"/>
        <v>0</v>
      </c>
      <c r="H121" s="43">
        <f t="shared" si="48"/>
        <v>0</v>
      </c>
      <c r="I121" s="43">
        <f t="shared" si="48"/>
        <v>0</v>
      </c>
      <c r="J121" s="43">
        <f t="shared" si="48"/>
        <v>0</v>
      </c>
      <c r="K121" s="43">
        <f t="shared" si="48"/>
        <v>0</v>
      </c>
      <c r="L121" s="43">
        <f t="shared" si="48"/>
        <v>0</v>
      </c>
      <c r="M121" s="43">
        <f t="shared" si="48"/>
        <v>0</v>
      </c>
      <c r="N121" s="43">
        <f t="shared" si="48"/>
        <v>0</v>
      </c>
    </row>
    <row r="122" spans="1:14" ht="12.75">
      <c r="A122" s="4" t="str">
        <f>A49</f>
        <v>VGS Grading</v>
      </c>
      <c r="B122" s="43">
        <f aca="true" t="shared" si="49" ref="B122:N122">IF(AND(B$109&gt;=$J49,B$109&lt;=$K49),$E49+$E50,0)</f>
        <v>0</v>
      </c>
      <c r="C122" s="43">
        <f t="shared" si="49"/>
        <v>0</v>
      </c>
      <c r="D122" s="43">
        <f t="shared" si="49"/>
        <v>42.625132098765434</v>
      </c>
      <c r="E122" s="43">
        <f t="shared" si="49"/>
        <v>42.625132098765434</v>
      </c>
      <c r="F122" s="43">
        <f t="shared" si="49"/>
        <v>0</v>
      </c>
      <c r="G122" s="43">
        <f t="shared" si="49"/>
        <v>0</v>
      </c>
      <c r="H122" s="43">
        <f t="shared" si="49"/>
        <v>0</v>
      </c>
      <c r="I122" s="43">
        <f t="shared" si="49"/>
        <v>0</v>
      </c>
      <c r="J122" s="43">
        <f t="shared" si="49"/>
        <v>0</v>
      </c>
      <c r="K122" s="43">
        <f t="shared" si="49"/>
        <v>0</v>
      </c>
      <c r="L122" s="43">
        <f t="shared" si="49"/>
        <v>0</v>
      </c>
      <c r="M122" s="43">
        <f t="shared" si="49"/>
        <v>0</v>
      </c>
      <c r="N122" s="43">
        <f t="shared" si="49"/>
        <v>0</v>
      </c>
    </row>
    <row r="123" spans="1:14" ht="12.75">
      <c r="A123" s="4" t="str">
        <f>A51</f>
        <v>VGS Foundations </v>
      </c>
      <c r="B123" s="43">
        <f aca="true" t="shared" si="50" ref="B123:N123">IF(AND(B$109&gt;=$J51,B$109&lt;=$K51),$E51+$E52,0)</f>
        <v>0</v>
      </c>
      <c r="C123" s="43">
        <f t="shared" si="50"/>
        <v>0</v>
      </c>
      <c r="D123" s="43">
        <f t="shared" si="50"/>
        <v>0</v>
      </c>
      <c r="E123" s="43">
        <f t="shared" si="50"/>
        <v>0</v>
      </c>
      <c r="F123" s="43">
        <f t="shared" si="50"/>
        <v>53.23155964726631</v>
      </c>
      <c r="G123" s="43">
        <f t="shared" si="50"/>
        <v>53.23155964726631</v>
      </c>
      <c r="H123" s="43">
        <f t="shared" si="50"/>
        <v>53.23155964726631</v>
      </c>
      <c r="I123" s="43">
        <f t="shared" si="50"/>
        <v>53.23155964726631</v>
      </c>
      <c r="J123" s="43">
        <f t="shared" si="50"/>
        <v>53.23155964726631</v>
      </c>
      <c r="K123" s="43">
        <f t="shared" si="50"/>
        <v>0</v>
      </c>
      <c r="L123" s="43">
        <f t="shared" si="50"/>
        <v>0</v>
      </c>
      <c r="M123" s="43">
        <f t="shared" si="50"/>
        <v>0</v>
      </c>
      <c r="N123" s="43">
        <f t="shared" si="50"/>
        <v>0</v>
      </c>
    </row>
    <row r="124" spans="1:14" ht="12.75">
      <c r="A124" s="4" t="str">
        <f>A53</f>
        <v>VGS Paving</v>
      </c>
      <c r="B124" s="43">
        <f aca="true" t="shared" si="51" ref="B124:N124">IF(AND(B$109&gt;=$J53,B$109&lt;=$K53),$E53+$E54,0)</f>
        <v>0</v>
      </c>
      <c r="C124" s="43">
        <f t="shared" si="51"/>
        <v>0</v>
      </c>
      <c r="D124" s="43">
        <f t="shared" si="51"/>
        <v>0</v>
      </c>
      <c r="E124" s="43">
        <f t="shared" si="51"/>
        <v>0</v>
      </c>
      <c r="F124" s="43">
        <f t="shared" si="51"/>
        <v>0</v>
      </c>
      <c r="G124" s="43">
        <f t="shared" si="51"/>
        <v>0</v>
      </c>
      <c r="H124" s="43">
        <f t="shared" si="51"/>
        <v>0</v>
      </c>
      <c r="I124" s="43">
        <f t="shared" si="51"/>
        <v>38.94576719576719</v>
      </c>
      <c r="J124" s="43">
        <f t="shared" si="51"/>
        <v>38.94576719576719</v>
      </c>
      <c r="K124" s="43">
        <f t="shared" si="51"/>
        <v>38.94576719576719</v>
      </c>
      <c r="L124" s="43">
        <f t="shared" si="51"/>
        <v>0</v>
      </c>
      <c r="M124" s="43">
        <f t="shared" si="51"/>
        <v>0</v>
      </c>
      <c r="N124" s="43">
        <f t="shared" si="51"/>
        <v>0</v>
      </c>
    </row>
    <row r="125" spans="1:14" ht="12.75">
      <c r="A125" s="4" t="str">
        <f>A55</f>
        <v>VGS Equipment Installation</v>
      </c>
      <c r="B125" s="43">
        <f aca="true" t="shared" si="52" ref="B125:N125">IF(AND(B$109&gt;=$J55,B$109&lt;=$K55),$E55+$E56,0)</f>
        <v>0</v>
      </c>
      <c r="C125" s="43">
        <f t="shared" si="52"/>
        <v>0</v>
      </c>
      <c r="D125" s="43">
        <f t="shared" si="52"/>
        <v>0</v>
      </c>
      <c r="E125" s="43">
        <f t="shared" si="52"/>
        <v>0</v>
      </c>
      <c r="F125" s="43">
        <f t="shared" si="52"/>
        <v>0</v>
      </c>
      <c r="G125" s="43">
        <f t="shared" si="52"/>
        <v>0</v>
      </c>
      <c r="H125" s="43">
        <f t="shared" si="52"/>
        <v>0</v>
      </c>
      <c r="I125" s="43">
        <f t="shared" si="52"/>
        <v>0</v>
      </c>
      <c r="J125" s="43">
        <f t="shared" si="52"/>
        <v>0</v>
      </c>
      <c r="K125" s="43">
        <f t="shared" si="52"/>
        <v>0</v>
      </c>
      <c r="L125" s="43">
        <f t="shared" si="52"/>
        <v>0</v>
      </c>
      <c r="M125" s="43">
        <f t="shared" si="52"/>
        <v>146.18512529100528</v>
      </c>
      <c r="N125" s="43">
        <f t="shared" si="52"/>
        <v>146.18512529100528</v>
      </c>
    </row>
    <row r="126" spans="1:14" ht="12.75">
      <c r="A126" s="15" t="s">
        <v>24</v>
      </c>
      <c r="B126" s="44">
        <f aca="true" t="shared" si="53" ref="B126:N126">SUM(B110:B125)</f>
        <v>426.26880173544976</v>
      </c>
      <c r="C126" s="44">
        <f t="shared" si="53"/>
        <v>426.26880173544976</v>
      </c>
      <c r="D126" s="44">
        <f t="shared" si="53"/>
        <v>386.979107266314</v>
      </c>
      <c r="E126" s="44">
        <f t="shared" si="53"/>
        <v>386.979107266314</v>
      </c>
      <c r="F126" s="44">
        <f t="shared" si="53"/>
        <v>397.5855348148148</v>
      </c>
      <c r="G126" s="44">
        <f t="shared" si="53"/>
        <v>519.2910734038801</v>
      </c>
      <c r="H126" s="44">
        <f t="shared" si="53"/>
        <v>519.2910734038801</v>
      </c>
      <c r="I126" s="44">
        <f t="shared" si="53"/>
        <v>419.7879832098765</v>
      </c>
      <c r="J126" s="44">
        <f t="shared" si="53"/>
        <v>419.7879832098765</v>
      </c>
      <c r="K126" s="44">
        <f t="shared" si="53"/>
        <v>366.5564235626102</v>
      </c>
      <c r="L126" s="44">
        <f t="shared" si="53"/>
        <v>327.610656366843</v>
      </c>
      <c r="M126" s="44">
        <f t="shared" si="53"/>
        <v>659.7618798236331</v>
      </c>
      <c r="N126" s="44">
        <f t="shared" si="53"/>
        <v>659.7618798236331</v>
      </c>
    </row>
    <row r="127" spans="1:14" ht="12.75">
      <c r="A127" s="39" t="s">
        <v>132</v>
      </c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7"/>
      <c r="M127" s="47"/>
      <c r="N127" s="47"/>
    </row>
    <row r="128" spans="1:14" ht="12.75">
      <c r="A128" s="62" t="s">
        <v>276</v>
      </c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7"/>
      <c r="M128" s="47"/>
      <c r="N128" s="47"/>
    </row>
    <row r="129" spans="1:14" ht="12.75">
      <c r="A129" s="39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7"/>
      <c r="M129" s="47"/>
      <c r="N129" s="47"/>
    </row>
    <row r="130" spans="1:14" ht="12.75">
      <c r="A130" s="39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7"/>
      <c r="M130" s="47"/>
      <c r="N130" s="47"/>
    </row>
    <row r="131" spans="1:14" ht="12.75">
      <c r="A131" s="87" t="s">
        <v>338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</row>
    <row r="132" spans="1:14" ht="15">
      <c r="A132" s="85" t="s">
        <v>352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1:14" ht="12.75">
      <c r="A133" s="37" t="s">
        <v>87</v>
      </c>
      <c r="B133" s="69">
        <v>1</v>
      </c>
      <c r="C133" s="69">
        <v>10</v>
      </c>
      <c r="D133" s="69">
        <v>11</v>
      </c>
      <c r="E133" s="69">
        <v>15</v>
      </c>
      <c r="F133" s="69">
        <v>16</v>
      </c>
      <c r="G133" s="69">
        <v>18</v>
      </c>
      <c r="H133" s="69">
        <v>20</v>
      </c>
      <c r="I133" s="69">
        <v>21</v>
      </c>
      <c r="J133" s="69">
        <v>22</v>
      </c>
      <c r="K133" s="69">
        <v>25</v>
      </c>
      <c r="L133" s="69">
        <v>28</v>
      </c>
      <c r="M133" s="69">
        <v>29</v>
      </c>
      <c r="N133" s="69">
        <v>150</v>
      </c>
    </row>
    <row r="134" spans="1:14" ht="12.75">
      <c r="A134" s="4" t="str">
        <f>A25</f>
        <v>HGS Tank Demolition</v>
      </c>
      <c r="B134" s="43">
        <f aca="true" t="shared" si="54" ref="B134:N134">IF(AND(B$133&gt;=$J25,B$133&lt;=$K25),$F25+$F26,0)</f>
        <v>20.319903999999998</v>
      </c>
      <c r="C134" s="43">
        <f t="shared" si="54"/>
        <v>20.319903999999998</v>
      </c>
      <c r="D134" s="43">
        <f t="shared" si="54"/>
        <v>0</v>
      </c>
      <c r="E134" s="43">
        <f t="shared" si="54"/>
        <v>0</v>
      </c>
      <c r="F134" s="43">
        <f t="shared" si="54"/>
        <v>0</v>
      </c>
      <c r="G134" s="43">
        <f t="shared" si="54"/>
        <v>0</v>
      </c>
      <c r="H134" s="43">
        <f t="shared" si="54"/>
        <v>0</v>
      </c>
      <c r="I134" s="43">
        <f t="shared" si="54"/>
        <v>0</v>
      </c>
      <c r="J134" s="43">
        <f t="shared" si="54"/>
        <v>0</v>
      </c>
      <c r="K134" s="43">
        <f t="shared" si="54"/>
        <v>0</v>
      </c>
      <c r="L134" s="43">
        <f t="shared" si="54"/>
        <v>0</v>
      </c>
      <c r="M134" s="43">
        <f t="shared" si="54"/>
        <v>0</v>
      </c>
      <c r="N134" s="43">
        <f t="shared" si="54"/>
        <v>0</v>
      </c>
    </row>
    <row r="135" spans="1:14" ht="12.75">
      <c r="A135" s="4" t="str">
        <f>A27</f>
        <v>HGS Backfill</v>
      </c>
      <c r="B135" s="43">
        <f aca="true" t="shared" si="55" ref="B135:N135">IF(AND(B$133&gt;=$J27,B$133&lt;=$K27),$F27+$F28,0)</f>
        <v>0</v>
      </c>
      <c r="C135" s="43">
        <f t="shared" si="55"/>
        <v>0</v>
      </c>
      <c r="D135" s="43">
        <f t="shared" si="55"/>
        <v>27.25184</v>
      </c>
      <c r="E135" s="43">
        <f t="shared" si="55"/>
        <v>27.25184</v>
      </c>
      <c r="F135" s="43">
        <f t="shared" si="55"/>
        <v>27.25184</v>
      </c>
      <c r="G135" s="43">
        <f t="shared" si="55"/>
        <v>27.25184</v>
      </c>
      <c r="H135" s="43">
        <f t="shared" si="55"/>
        <v>27.25184</v>
      </c>
      <c r="I135" s="43">
        <f t="shared" si="55"/>
        <v>0</v>
      </c>
      <c r="J135" s="43">
        <f t="shared" si="55"/>
        <v>0</v>
      </c>
      <c r="K135" s="43">
        <f t="shared" si="55"/>
        <v>0</v>
      </c>
      <c r="L135" s="43">
        <f t="shared" si="55"/>
        <v>0</v>
      </c>
      <c r="M135" s="43">
        <f t="shared" si="55"/>
        <v>0</v>
      </c>
      <c r="N135" s="43">
        <f t="shared" si="55"/>
        <v>0</v>
      </c>
    </row>
    <row r="136" spans="1:14" ht="12.75">
      <c r="A136" s="4" t="str">
        <f>A29</f>
        <v>HGS Grading</v>
      </c>
      <c r="B136" s="43">
        <f aca="true" t="shared" si="56" ref="B136:N136">IF(AND(B$133&gt;=$J29,B$133&lt;=$K29),$F29+$F30,0)</f>
        <v>0</v>
      </c>
      <c r="C136" s="43">
        <f t="shared" si="56"/>
        <v>0</v>
      </c>
      <c r="D136" s="43">
        <f t="shared" si="56"/>
        <v>0</v>
      </c>
      <c r="E136" s="43">
        <f t="shared" si="56"/>
        <v>0</v>
      </c>
      <c r="F136" s="43">
        <f t="shared" si="56"/>
        <v>0</v>
      </c>
      <c r="G136" s="43">
        <f t="shared" si="56"/>
        <v>6.928800000000001</v>
      </c>
      <c r="H136" s="43">
        <f t="shared" si="56"/>
        <v>6.928800000000001</v>
      </c>
      <c r="I136" s="43">
        <f t="shared" si="56"/>
        <v>0</v>
      </c>
      <c r="J136" s="43">
        <f t="shared" si="56"/>
        <v>0</v>
      </c>
      <c r="K136" s="43">
        <f t="shared" si="56"/>
        <v>0</v>
      </c>
      <c r="L136" s="43">
        <f t="shared" si="56"/>
        <v>0</v>
      </c>
      <c r="M136" s="43">
        <f t="shared" si="56"/>
        <v>0</v>
      </c>
      <c r="N136" s="43">
        <f t="shared" si="56"/>
        <v>0</v>
      </c>
    </row>
    <row r="137" spans="1:14" ht="12.75">
      <c r="A137" s="4" t="str">
        <f>A31</f>
        <v>HGS Foundations </v>
      </c>
      <c r="B137" s="43">
        <f aca="true" t="shared" si="57" ref="B137:N137">IF(AND(B$133&gt;=$J31,B$133&lt;=$K31),$F31+$F32,0)</f>
        <v>0</v>
      </c>
      <c r="C137" s="43">
        <f t="shared" si="57"/>
        <v>0</v>
      </c>
      <c r="D137" s="43">
        <f t="shared" si="57"/>
        <v>0</v>
      </c>
      <c r="E137" s="43">
        <f t="shared" si="57"/>
        <v>0</v>
      </c>
      <c r="F137" s="43">
        <f t="shared" si="57"/>
        <v>0</v>
      </c>
      <c r="G137" s="43">
        <f t="shared" si="57"/>
        <v>0</v>
      </c>
      <c r="H137" s="43">
        <f t="shared" si="57"/>
        <v>0</v>
      </c>
      <c r="I137" s="43">
        <f t="shared" si="57"/>
        <v>10.71856</v>
      </c>
      <c r="J137" s="43">
        <f t="shared" si="57"/>
        <v>10.71856</v>
      </c>
      <c r="K137" s="43">
        <f t="shared" si="57"/>
        <v>10.71856</v>
      </c>
      <c r="L137" s="43">
        <f t="shared" si="57"/>
        <v>10.71856</v>
      </c>
      <c r="M137" s="43">
        <f t="shared" si="57"/>
        <v>0</v>
      </c>
      <c r="N137" s="43">
        <f t="shared" si="57"/>
        <v>0</v>
      </c>
    </row>
    <row r="138" spans="1:14" ht="12.75">
      <c r="A138" s="4" t="str">
        <f>A33</f>
        <v>HGS Paving</v>
      </c>
      <c r="B138" s="43">
        <f aca="true" t="shared" si="58" ref="B138:N138">IF(AND(B$133&gt;=$J33,B$133&lt;=$K33),$F33+$F34,0)</f>
        <v>0</v>
      </c>
      <c r="C138" s="43">
        <f t="shared" si="58"/>
        <v>0</v>
      </c>
      <c r="D138" s="43">
        <f t="shared" si="58"/>
        <v>0</v>
      </c>
      <c r="E138" s="43">
        <f t="shared" si="58"/>
        <v>0</v>
      </c>
      <c r="F138" s="43">
        <f t="shared" si="58"/>
        <v>0</v>
      </c>
      <c r="G138" s="43">
        <f t="shared" si="58"/>
        <v>0</v>
      </c>
      <c r="H138" s="43">
        <f t="shared" si="58"/>
        <v>0</v>
      </c>
      <c r="I138" s="43">
        <f t="shared" si="58"/>
        <v>5.76544</v>
      </c>
      <c r="J138" s="43">
        <f t="shared" si="58"/>
        <v>5.76544</v>
      </c>
      <c r="K138" s="43">
        <f t="shared" si="58"/>
        <v>5.76544</v>
      </c>
      <c r="L138" s="43">
        <f t="shared" si="58"/>
        <v>5.76544</v>
      </c>
      <c r="M138" s="43">
        <f t="shared" si="58"/>
        <v>0</v>
      </c>
      <c r="N138" s="43">
        <f t="shared" si="58"/>
        <v>0</v>
      </c>
    </row>
    <row r="139" spans="1:14" ht="12.75">
      <c r="A139" s="4" t="str">
        <f>A35</f>
        <v>HGS Equipment Installation</v>
      </c>
      <c r="B139" s="43">
        <f aca="true" t="shared" si="59" ref="B139:N139">IF(AND(B$133&gt;=$J35,B$133&lt;=$K35),$F35+$F36,0)</f>
        <v>0</v>
      </c>
      <c r="C139" s="43">
        <f t="shared" si="59"/>
        <v>0</v>
      </c>
      <c r="D139" s="43">
        <f t="shared" si="59"/>
        <v>0</v>
      </c>
      <c r="E139" s="43">
        <f t="shared" si="59"/>
        <v>0</v>
      </c>
      <c r="F139" s="43">
        <f t="shared" si="59"/>
        <v>0</v>
      </c>
      <c r="G139" s="43">
        <f t="shared" si="59"/>
        <v>0</v>
      </c>
      <c r="H139" s="43">
        <f t="shared" si="59"/>
        <v>0</v>
      </c>
      <c r="I139" s="43">
        <f t="shared" si="59"/>
        <v>0</v>
      </c>
      <c r="J139" s="43">
        <f t="shared" si="59"/>
        <v>0</v>
      </c>
      <c r="K139" s="43">
        <f t="shared" si="59"/>
        <v>0</v>
      </c>
      <c r="L139" s="43">
        <f t="shared" si="59"/>
        <v>0</v>
      </c>
      <c r="M139" s="43">
        <f t="shared" si="59"/>
        <v>27.257599999999996</v>
      </c>
      <c r="N139" s="43">
        <f t="shared" si="59"/>
        <v>27.257599999999996</v>
      </c>
    </row>
    <row r="140" spans="1:14" ht="12.75">
      <c r="A140" s="4" t="str">
        <f>A37</f>
        <v>SGS Slab Demolition</v>
      </c>
      <c r="B140" s="43">
        <f aca="true" t="shared" si="60" ref="B140:N140">IF(AND(B$133&gt;=$J37,B$133&lt;=$K37),$F37+$F38,0)</f>
        <v>4.94304</v>
      </c>
      <c r="C140" s="43">
        <f t="shared" si="60"/>
        <v>4.94304</v>
      </c>
      <c r="D140" s="43">
        <f t="shared" si="60"/>
        <v>0</v>
      </c>
      <c r="E140" s="43">
        <f t="shared" si="60"/>
        <v>0</v>
      </c>
      <c r="F140" s="43">
        <f t="shared" si="60"/>
        <v>0</v>
      </c>
      <c r="G140" s="43">
        <f t="shared" si="60"/>
        <v>0</v>
      </c>
      <c r="H140" s="43">
        <f t="shared" si="60"/>
        <v>0</v>
      </c>
      <c r="I140" s="43">
        <f t="shared" si="60"/>
        <v>0</v>
      </c>
      <c r="J140" s="43">
        <f t="shared" si="60"/>
        <v>0</v>
      </c>
      <c r="K140" s="43">
        <f t="shared" si="60"/>
        <v>0</v>
      </c>
      <c r="L140" s="43">
        <f t="shared" si="60"/>
        <v>0</v>
      </c>
      <c r="M140" s="43">
        <f t="shared" si="60"/>
        <v>0</v>
      </c>
      <c r="N140" s="43">
        <f t="shared" si="60"/>
        <v>0</v>
      </c>
    </row>
    <row r="141" spans="1:14" ht="12.75">
      <c r="A141" s="4" t="str">
        <f>A39</f>
        <v>SGS Grading</v>
      </c>
      <c r="B141" s="43">
        <f aca="true" t="shared" si="61" ref="B141:N141">IF(AND(B$133&gt;=$J39,B$133&lt;=$K39),$F39+$F40,0)</f>
        <v>0</v>
      </c>
      <c r="C141" s="43">
        <f t="shared" si="61"/>
        <v>0</v>
      </c>
      <c r="D141" s="43">
        <f t="shared" si="61"/>
        <v>0</v>
      </c>
      <c r="E141" s="43">
        <f t="shared" si="61"/>
        <v>0</v>
      </c>
      <c r="F141" s="43">
        <f t="shared" si="61"/>
        <v>0</v>
      </c>
      <c r="G141" s="43">
        <f t="shared" si="61"/>
        <v>3.89328</v>
      </c>
      <c r="H141" s="43">
        <f t="shared" si="61"/>
        <v>3.89328</v>
      </c>
      <c r="I141" s="43">
        <f t="shared" si="61"/>
        <v>0</v>
      </c>
      <c r="J141" s="43">
        <f t="shared" si="61"/>
        <v>0</v>
      </c>
      <c r="K141" s="43">
        <f t="shared" si="61"/>
        <v>0</v>
      </c>
      <c r="L141" s="43">
        <f t="shared" si="61"/>
        <v>0</v>
      </c>
      <c r="M141" s="43">
        <f t="shared" si="61"/>
        <v>0</v>
      </c>
      <c r="N141" s="43">
        <f t="shared" si="61"/>
        <v>0</v>
      </c>
    </row>
    <row r="142" spans="1:14" ht="12.75">
      <c r="A142" s="4" t="str">
        <f>A41</f>
        <v>SGS Foundations </v>
      </c>
      <c r="B142" s="43">
        <f aca="true" t="shared" si="62" ref="B142:N142">IF(AND(B$133&gt;=$J41,B$133&lt;=$K41),$F41+$F42,0)</f>
        <v>0</v>
      </c>
      <c r="C142" s="43">
        <f t="shared" si="62"/>
        <v>0</v>
      </c>
      <c r="D142" s="43">
        <f t="shared" si="62"/>
        <v>0</v>
      </c>
      <c r="E142" s="43">
        <f t="shared" si="62"/>
        <v>0</v>
      </c>
      <c r="F142" s="43">
        <f t="shared" si="62"/>
        <v>0</v>
      </c>
      <c r="G142" s="43">
        <f t="shared" si="62"/>
        <v>0</v>
      </c>
      <c r="H142" s="43">
        <f t="shared" si="62"/>
        <v>0</v>
      </c>
      <c r="I142" s="43">
        <f t="shared" si="62"/>
        <v>1.67896</v>
      </c>
      <c r="J142" s="43">
        <f t="shared" si="62"/>
        <v>1.67896</v>
      </c>
      <c r="K142" s="43">
        <f t="shared" si="62"/>
        <v>1.67896</v>
      </c>
      <c r="L142" s="43">
        <f t="shared" si="62"/>
        <v>1.67896</v>
      </c>
      <c r="M142" s="43">
        <f t="shared" si="62"/>
        <v>0</v>
      </c>
      <c r="N142" s="43">
        <f t="shared" si="62"/>
        <v>0</v>
      </c>
    </row>
    <row r="143" spans="1:14" ht="12.75">
      <c r="A143" s="4" t="str">
        <f>A43</f>
        <v>SGS Paving</v>
      </c>
      <c r="B143" s="43">
        <f aca="true" t="shared" si="63" ref="B143:N143">IF(AND(B$133&gt;=$J43,B$133&lt;=$K43),$F43+$F44,0)</f>
        <v>0</v>
      </c>
      <c r="C143" s="43">
        <f t="shared" si="63"/>
        <v>0</v>
      </c>
      <c r="D143" s="43">
        <f t="shared" si="63"/>
        <v>0</v>
      </c>
      <c r="E143" s="43">
        <f t="shared" si="63"/>
        <v>0</v>
      </c>
      <c r="F143" s="43">
        <f t="shared" si="63"/>
        <v>0</v>
      </c>
      <c r="G143" s="43">
        <f t="shared" si="63"/>
        <v>0</v>
      </c>
      <c r="H143" s="43">
        <f t="shared" si="63"/>
        <v>0</v>
      </c>
      <c r="I143" s="43">
        <f t="shared" si="63"/>
        <v>2.72992</v>
      </c>
      <c r="J143" s="43">
        <f t="shared" si="63"/>
        <v>2.72992</v>
      </c>
      <c r="K143" s="43">
        <f t="shared" si="63"/>
        <v>2.72992</v>
      </c>
      <c r="L143" s="43">
        <f t="shared" si="63"/>
        <v>2.72992</v>
      </c>
      <c r="M143" s="43">
        <f t="shared" si="63"/>
        <v>0</v>
      </c>
      <c r="N143" s="43">
        <f t="shared" si="63"/>
        <v>0</v>
      </c>
    </row>
    <row r="144" spans="1:14" ht="12.75">
      <c r="A144" s="4" t="str">
        <f>A45</f>
        <v>SGS Equipment Installation</v>
      </c>
      <c r="B144" s="43">
        <f aca="true" t="shared" si="64" ref="B144:N144">IF(AND(B$133&gt;=$J45,B$133&lt;=$K45),$F45+$F46,0)</f>
        <v>0</v>
      </c>
      <c r="C144" s="43">
        <f t="shared" si="64"/>
        <v>0</v>
      </c>
      <c r="D144" s="43">
        <f t="shared" si="64"/>
        <v>0</v>
      </c>
      <c r="E144" s="43">
        <f t="shared" si="64"/>
        <v>0</v>
      </c>
      <c r="F144" s="43">
        <f t="shared" si="64"/>
        <v>0</v>
      </c>
      <c r="G144" s="43">
        <f t="shared" si="64"/>
        <v>0</v>
      </c>
      <c r="H144" s="43">
        <f t="shared" si="64"/>
        <v>0</v>
      </c>
      <c r="I144" s="43">
        <f t="shared" si="64"/>
        <v>0</v>
      </c>
      <c r="J144" s="43">
        <f t="shared" si="64"/>
        <v>0</v>
      </c>
      <c r="K144" s="43">
        <f t="shared" si="64"/>
        <v>0</v>
      </c>
      <c r="L144" s="43">
        <f t="shared" si="64"/>
        <v>0</v>
      </c>
      <c r="M144" s="43">
        <f t="shared" si="64"/>
        <v>10.365120000000001</v>
      </c>
      <c r="N144" s="43">
        <f t="shared" si="64"/>
        <v>10.365120000000001</v>
      </c>
    </row>
    <row r="145" spans="1:14" ht="12.75">
      <c r="A145" s="4" t="str">
        <f>A47</f>
        <v>VGS Demolition</v>
      </c>
      <c r="B145" s="43">
        <f aca="true" t="shared" si="65" ref="B145:N145">IF(AND(B$133&gt;=$J47,B$133&lt;=$K47),$F47+$F48,0)</f>
        <v>7.758591999999999</v>
      </c>
      <c r="C145" s="43">
        <f t="shared" si="65"/>
        <v>7.758591999999999</v>
      </c>
      <c r="D145" s="43">
        <f t="shared" si="65"/>
        <v>0</v>
      </c>
      <c r="E145" s="43">
        <f t="shared" si="65"/>
        <v>0</v>
      </c>
      <c r="F145" s="43">
        <f t="shared" si="65"/>
        <v>0</v>
      </c>
      <c r="G145" s="43">
        <f t="shared" si="65"/>
        <v>0</v>
      </c>
      <c r="H145" s="43">
        <f t="shared" si="65"/>
        <v>0</v>
      </c>
      <c r="I145" s="43">
        <f t="shared" si="65"/>
        <v>0</v>
      </c>
      <c r="J145" s="43">
        <f t="shared" si="65"/>
        <v>0</v>
      </c>
      <c r="K145" s="43">
        <f t="shared" si="65"/>
        <v>0</v>
      </c>
      <c r="L145" s="43">
        <f t="shared" si="65"/>
        <v>0</v>
      </c>
      <c r="M145" s="43">
        <f t="shared" si="65"/>
        <v>0</v>
      </c>
      <c r="N145" s="43">
        <f t="shared" si="65"/>
        <v>0</v>
      </c>
    </row>
    <row r="146" spans="1:14" ht="12.75">
      <c r="A146" s="4" t="str">
        <f>A49</f>
        <v>VGS Grading</v>
      </c>
      <c r="B146" s="43">
        <f aca="true" t="shared" si="66" ref="B146:N146">IF(AND(B$133&gt;=$J49,B$133&lt;=$K49),$F49+$F50,0)</f>
        <v>0</v>
      </c>
      <c r="C146" s="43">
        <f t="shared" si="66"/>
        <v>0</v>
      </c>
      <c r="D146" s="43">
        <f t="shared" si="66"/>
        <v>3.89328</v>
      </c>
      <c r="E146" s="43">
        <f t="shared" si="66"/>
        <v>3.89328</v>
      </c>
      <c r="F146" s="43">
        <f t="shared" si="66"/>
        <v>0</v>
      </c>
      <c r="G146" s="43">
        <f t="shared" si="66"/>
        <v>0</v>
      </c>
      <c r="H146" s="43">
        <f t="shared" si="66"/>
        <v>0</v>
      </c>
      <c r="I146" s="43">
        <f t="shared" si="66"/>
        <v>0</v>
      </c>
      <c r="J146" s="43">
        <f t="shared" si="66"/>
        <v>0</v>
      </c>
      <c r="K146" s="43">
        <f t="shared" si="66"/>
        <v>0</v>
      </c>
      <c r="L146" s="43">
        <f t="shared" si="66"/>
        <v>0</v>
      </c>
      <c r="M146" s="43">
        <f t="shared" si="66"/>
        <v>0</v>
      </c>
      <c r="N146" s="43">
        <f t="shared" si="66"/>
        <v>0</v>
      </c>
    </row>
    <row r="147" spans="1:14" ht="12.75">
      <c r="A147" s="4" t="str">
        <f>A51</f>
        <v>VGS Foundations </v>
      </c>
      <c r="B147" s="43">
        <f aca="true" t="shared" si="67" ref="B147:N147">IF(AND(B$133&gt;=$J51,B$133&lt;=$K51),$F51+$F52,0)</f>
        <v>0</v>
      </c>
      <c r="C147" s="43">
        <f t="shared" si="67"/>
        <v>0</v>
      </c>
      <c r="D147" s="43">
        <f t="shared" si="67"/>
        <v>0</v>
      </c>
      <c r="E147" s="43">
        <f t="shared" si="67"/>
        <v>0</v>
      </c>
      <c r="F147" s="43">
        <f t="shared" si="67"/>
        <v>2.34608</v>
      </c>
      <c r="G147" s="43">
        <f t="shared" si="67"/>
        <v>2.34608</v>
      </c>
      <c r="H147" s="43">
        <f t="shared" si="67"/>
        <v>2.34608</v>
      </c>
      <c r="I147" s="43">
        <f t="shared" si="67"/>
        <v>2.34608</v>
      </c>
      <c r="J147" s="43">
        <f t="shared" si="67"/>
        <v>2.34608</v>
      </c>
      <c r="K147" s="43">
        <f t="shared" si="67"/>
        <v>0</v>
      </c>
      <c r="L147" s="43">
        <f t="shared" si="67"/>
        <v>0</v>
      </c>
      <c r="M147" s="43">
        <f t="shared" si="67"/>
        <v>0</v>
      </c>
      <c r="N147" s="43">
        <f t="shared" si="67"/>
        <v>0</v>
      </c>
    </row>
    <row r="148" spans="1:14" ht="12.75">
      <c r="A148" s="4" t="str">
        <f>A53</f>
        <v>VGS Paving</v>
      </c>
      <c r="B148" s="43">
        <f aca="true" t="shared" si="68" ref="B148:N148">IF(AND(B$133&gt;=$J53,B$133&lt;=$K53),$F53+$F54,0)</f>
        <v>0</v>
      </c>
      <c r="C148" s="43">
        <f t="shared" si="68"/>
        <v>0</v>
      </c>
      <c r="D148" s="43">
        <f t="shared" si="68"/>
        <v>0</v>
      </c>
      <c r="E148" s="43">
        <f t="shared" si="68"/>
        <v>0</v>
      </c>
      <c r="F148" s="43">
        <f t="shared" si="68"/>
        <v>0</v>
      </c>
      <c r="G148" s="43">
        <f t="shared" si="68"/>
        <v>0</v>
      </c>
      <c r="H148" s="43">
        <f t="shared" si="68"/>
        <v>0</v>
      </c>
      <c r="I148" s="43">
        <f t="shared" si="68"/>
        <v>2.72992</v>
      </c>
      <c r="J148" s="43">
        <f t="shared" si="68"/>
        <v>2.72992</v>
      </c>
      <c r="K148" s="43">
        <f t="shared" si="68"/>
        <v>2.72992</v>
      </c>
      <c r="L148" s="43">
        <f t="shared" si="68"/>
        <v>0</v>
      </c>
      <c r="M148" s="43">
        <f t="shared" si="68"/>
        <v>0</v>
      </c>
      <c r="N148" s="43">
        <f t="shared" si="68"/>
        <v>0</v>
      </c>
    </row>
    <row r="149" spans="1:14" ht="12.75">
      <c r="A149" s="4" t="str">
        <f>A55</f>
        <v>VGS Equipment Installation</v>
      </c>
      <c r="B149" s="43">
        <f aca="true" t="shared" si="69" ref="B149:N149">IF(AND(B$133&gt;=$J55,B$133&lt;=$K55),$F55+$F56,0)</f>
        <v>0</v>
      </c>
      <c r="C149" s="43">
        <f t="shared" si="69"/>
        <v>0</v>
      </c>
      <c r="D149" s="43">
        <f t="shared" si="69"/>
        <v>0</v>
      </c>
      <c r="E149" s="43">
        <f t="shared" si="69"/>
        <v>0</v>
      </c>
      <c r="F149" s="43">
        <f t="shared" si="69"/>
        <v>0</v>
      </c>
      <c r="G149" s="43">
        <f t="shared" si="69"/>
        <v>0</v>
      </c>
      <c r="H149" s="43">
        <f t="shared" si="69"/>
        <v>0</v>
      </c>
      <c r="I149" s="43">
        <f t="shared" si="69"/>
        <v>0</v>
      </c>
      <c r="J149" s="43">
        <f t="shared" si="69"/>
        <v>0</v>
      </c>
      <c r="K149" s="43">
        <f t="shared" si="69"/>
        <v>0</v>
      </c>
      <c r="L149" s="43">
        <f t="shared" si="69"/>
        <v>0</v>
      </c>
      <c r="M149" s="43">
        <f t="shared" si="69"/>
        <v>10.99984</v>
      </c>
      <c r="N149" s="43">
        <f t="shared" si="69"/>
        <v>10.99984</v>
      </c>
    </row>
    <row r="150" spans="1:14" ht="12.75">
      <c r="A150" s="15" t="s">
        <v>24</v>
      </c>
      <c r="B150" s="44">
        <f aca="true" t="shared" si="70" ref="B150:N150">SUM(B134:B149)</f>
        <v>33.021536</v>
      </c>
      <c r="C150" s="44">
        <f t="shared" si="70"/>
        <v>33.021536</v>
      </c>
      <c r="D150" s="44">
        <f t="shared" si="70"/>
        <v>31.145120000000002</v>
      </c>
      <c r="E150" s="44">
        <f t="shared" si="70"/>
        <v>31.145120000000002</v>
      </c>
      <c r="F150" s="44">
        <f t="shared" si="70"/>
        <v>29.597920000000002</v>
      </c>
      <c r="G150" s="44">
        <f t="shared" si="70"/>
        <v>40.42</v>
      </c>
      <c r="H150" s="44">
        <f t="shared" si="70"/>
        <v>40.42</v>
      </c>
      <c r="I150" s="44">
        <f t="shared" si="70"/>
        <v>25.968880000000002</v>
      </c>
      <c r="J150" s="44">
        <f t="shared" si="70"/>
        <v>25.968880000000002</v>
      </c>
      <c r="K150" s="44">
        <f t="shared" si="70"/>
        <v>23.6228</v>
      </c>
      <c r="L150" s="44">
        <f t="shared" si="70"/>
        <v>20.89288</v>
      </c>
      <c r="M150" s="44">
        <f t="shared" si="70"/>
        <v>48.62256</v>
      </c>
      <c r="N150" s="44">
        <f t="shared" si="70"/>
        <v>48.62256</v>
      </c>
    </row>
    <row r="151" spans="1:14" ht="12.75">
      <c r="A151" s="39" t="s">
        <v>132</v>
      </c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7"/>
      <c r="M151" s="47"/>
      <c r="N151" s="47"/>
    </row>
    <row r="152" spans="1:14" ht="12.75">
      <c r="A152" s="62" t="s">
        <v>276</v>
      </c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7"/>
      <c r="M152" s="47"/>
      <c r="N152" s="47"/>
    </row>
    <row r="153" spans="1:11" ht="12.75">
      <c r="A153" s="29"/>
      <c r="B153" s="48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2.75">
      <c r="A154" s="29"/>
      <c r="B154" s="48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4" ht="12.75">
      <c r="A155" s="86" t="s">
        <v>339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5">
      <c r="A156" s="85" t="s">
        <v>353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</row>
    <row r="157" spans="1:14" ht="12.75">
      <c r="A157" s="37" t="s">
        <v>87</v>
      </c>
      <c r="B157" s="69">
        <v>1</v>
      </c>
      <c r="C157" s="69">
        <v>10</v>
      </c>
      <c r="D157" s="69">
        <v>11</v>
      </c>
      <c r="E157" s="69">
        <v>15</v>
      </c>
      <c r="F157" s="69">
        <v>16</v>
      </c>
      <c r="G157" s="69">
        <v>18</v>
      </c>
      <c r="H157" s="69">
        <v>20</v>
      </c>
      <c r="I157" s="69">
        <v>21</v>
      </c>
      <c r="J157" s="69">
        <v>22</v>
      </c>
      <c r="K157" s="69">
        <v>25</v>
      </c>
      <c r="L157" s="69">
        <v>28</v>
      </c>
      <c r="M157" s="69">
        <v>29</v>
      </c>
      <c r="N157" s="69">
        <v>150</v>
      </c>
    </row>
    <row r="158" spans="1:14" ht="12.75">
      <c r="A158" s="4" t="str">
        <f>A25</f>
        <v>HGS Tank Demolition</v>
      </c>
      <c r="B158" s="43">
        <f aca="true" t="shared" si="71" ref="B158:N158">IF(AND(B$157&gt;=$J25,B$157&lt;=$K25),$I25+$I26,0)</f>
        <v>134.39091473781045</v>
      </c>
      <c r="C158" s="43">
        <f t="shared" si="71"/>
        <v>134.39091473781045</v>
      </c>
      <c r="D158" s="43">
        <f t="shared" si="71"/>
        <v>0</v>
      </c>
      <c r="E158" s="43">
        <f t="shared" si="71"/>
        <v>0</v>
      </c>
      <c r="F158" s="43">
        <f t="shared" si="71"/>
        <v>0</v>
      </c>
      <c r="G158" s="43">
        <f t="shared" si="71"/>
        <v>0</v>
      </c>
      <c r="H158" s="43">
        <f t="shared" si="71"/>
        <v>0</v>
      </c>
      <c r="I158" s="43">
        <f t="shared" si="71"/>
        <v>0</v>
      </c>
      <c r="J158" s="43">
        <f t="shared" si="71"/>
        <v>0</v>
      </c>
      <c r="K158" s="43">
        <f t="shared" si="71"/>
        <v>0</v>
      </c>
      <c r="L158" s="43">
        <f t="shared" si="71"/>
        <v>0</v>
      </c>
      <c r="M158" s="43">
        <f t="shared" si="71"/>
        <v>0</v>
      </c>
      <c r="N158" s="43">
        <f t="shared" si="71"/>
        <v>0</v>
      </c>
    </row>
    <row r="159" spans="1:14" ht="12.75">
      <c r="A159" s="4" t="str">
        <f>A27</f>
        <v>HGS Backfill</v>
      </c>
      <c r="B159" s="43">
        <f aca="true" t="shared" si="72" ref="B159:N159">IF(AND(B$157&gt;=$J27,B$157&lt;=$K27),$I27+$I28,0)</f>
        <v>0</v>
      </c>
      <c r="C159" s="43">
        <f t="shared" si="72"/>
        <v>0</v>
      </c>
      <c r="D159" s="43">
        <f t="shared" si="72"/>
        <v>307.7997246583965</v>
      </c>
      <c r="E159" s="43">
        <f t="shared" si="72"/>
        <v>307.7997246583965</v>
      </c>
      <c r="F159" s="43">
        <f t="shared" si="72"/>
        <v>307.7997246583965</v>
      </c>
      <c r="G159" s="43">
        <f t="shared" si="72"/>
        <v>307.7997246583965</v>
      </c>
      <c r="H159" s="43">
        <f t="shared" si="72"/>
        <v>307.7997246583965</v>
      </c>
      <c r="I159" s="43">
        <f t="shared" si="72"/>
        <v>0</v>
      </c>
      <c r="J159" s="43">
        <f t="shared" si="72"/>
        <v>0</v>
      </c>
      <c r="K159" s="43">
        <f t="shared" si="72"/>
        <v>0</v>
      </c>
      <c r="L159" s="43">
        <f t="shared" si="72"/>
        <v>0</v>
      </c>
      <c r="M159" s="43">
        <f t="shared" si="72"/>
        <v>0</v>
      </c>
      <c r="N159" s="43">
        <f t="shared" si="72"/>
        <v>0</v>
      </c>
    </row>
    <row r="160" spans="1:14" ht="12.75">
      <c r="A160" s="4" t="str">
        <f>A29</f>
        <v>HGS Grading</v>
      </c>
      <c r="B160" s="43">
        <f aca="true" t="shared" si="73" ref="B160:N160">IF(AND(B$157&gt;=$J29,B$157&lt;=$K29),$I29+$I30,0)</f>
        <v>0</v>
      </c>
      <c r="C160" s="43">
        <f t="shared" si="73"/>
        <v>0</v>
      </c>
      <c r="D160" s="43">
        <f t="shared" si="73"/>
        <v>0</v>
      </c>
      <c r="E160" s="43">
        <f t="shared" si="73"/>
        <v>0</v>
      </c>
      <c r="F160" s="43">
        <f t="shared" si="73"/>
        <v>0</v>
      </c>
      <c r="G160" s="43">
        <f t="shared" si="73"/>
        <v>7.346339032471537</v>
      </c>
      <c r="H160" s="43">
        <f t="shared" si="73"/>
        <v>7.346339032471537</v>
      </c>
      <c r="I160" s="43">
        <f t="shared" si="73"/>
        <v>0</v>
      </c>
      <c r="J160" s="43">
        <f t="shared" si="73"/>
        <v>0</v>
      </c>
      <c r="K160" s="43">
        <f t="shared" si="73"/>
        <v>0</v>
      </c>
      <c r="L160" s="43">
        <f t="shared" si="73"/>
        <v>0</v>
      </c>
      <c r="M160" s="43">
        <f t="shared" si="73"/>
        <v>0</v>
      </c>
      <c r="N160" s="43">
        <f t="shared" si="73"/>
        <v>0</v>
      </c>
    </row>
    <row r="161" spans="1:14" ht="12.75">
      <c r="A161" s="4" t="str">
        <f>A31</f>
        <v>HGS Foundations </v>
      </c>
      <c r="B161" s="43">
        <f aca="true" t="shared" si="74" ref="B161:N161">IF(AND(B$157&gt;=$J31,B$157&lt;=$K31),$I31+$I32,0)</f>
        <v>0</v>
      </c>
      <c r="C161" s="43">
        <f t="shared" si="74"/>
        <v>0</v>
      </c>
      <c r="D161" s="43">
        <f t="shared" si="74"/>
        <v>0</v>
      </c>
      <c r="E161" s="43">
        <f t="shared" si="74"/>
        <v>0</v>
      </c>
      <c r="F161" s="43">
        <f t="shared" si="74"/>
        <v>0</v>
      </c>
      <c r="G161" s="43">
        <f t="shared" si="74"/>
        <v>0</v>
      </c>
      <c r="H161" s="43">
        <f t="shared" si="74"/>
        <v>0</v>
      </c>
      <c r="I161" s="43">
        <f t="shared" si="74"/>
        <v>139.1443678568124</v>
      </c>
      <c r="J161" s="43">
        <f t="shared" si="74"/>
        <v>139.1443678568124</v>
      </c>
      <c r="K161" s="43">
        <f t="shared" si="74"/>
        <v>139.1443678568124</v>
      </c>
      <c r="L161" s="43">
        <f t="shared" si="74"/>
        <v>139.1443678568124</v>
      </c>
      <c r="M161" s="43">
        <f t="shared" si="74"/>
        <v>0</v>
      </c>
      <c r="N161" s="43">
        <f t="shared" si="74"/>
        <v>0</v>
      </c>
    </row>
    <row r="162" spans="1:14" ht="12.75">
      <c r="A162" s="4" t="str">
        <f>A33</f>
        <v>HGS Paving</v>
      </c>
      <c r="B162" s="43">
        <f aca="true" t="shared" si="75" ref="B162:N162">IF(AND(B$157&gt;=$J33,B$157&lt;=$K33),$I33+$I34,0)</f>
        <v>0</v>
      </c>
      <c r="C162" s="43">
        <f t="shared" si="75"/>
        <v>0</v>
      </c>
      <c r="D162" s="43">
        <f t="shared" si="75"/>
        <v>0</v>
      </c>
      <c r="E162" s="43">
        <f t="shared" si="75"/>
        <v>0</v>
      </c>
      <c r="F162" s="43">
        <f t="shared" si="75"/>
        <v>0</v>
      </c>
      <c r="G162" s="43">
        <f t="shared" si="75"/>
        <v>0</v>
      </c>
      <c r="H162" s="43">
        <f t="shared" si="75"/>
        <v>0</v>
      </c>
      <c r="I162" s="43">
        <f t="shared" si="75"/>
        <v>59.46995175817649</v>
      </c>
      <c r="J162" s="43">
        <f t="shared" si="75"/>
        <v>59.46995175817649</v>
      </c>
      <c r="K162" s="43">
        <f t="shared" si="75"/>
        <v>59.46995175817649</v>
      </c>
      <c r="L162" s="43">
        <f t="shared" si="75"/>
        <v>59.46995175817649</v>
      </c>
      <c r="M162" s="43">
        <f t="shared" si="75"/>
        <v>0</v>
      </c>
      <c r="N162" s="43">
        <f t="shared" si="75"/>
        <v>0</v>
      </c>
    </row>
    <row r="163" spans="1:14" ht="12.75">
      <c r="A163" s="4" t="str">
        <f>A35</f>
        <v>HGS Equipment Installation</v>
      </c>
      <c r="B163" s="43">
        <f aca="true" t="shared" si="76" ref="B163:N163">IF(AND(B$157&gt;=$J35,B$157&lt;=$K35),$I35+$I36,0)</f>
        <v>0</v>
      </c>
      <c r="C163" s="43">
        <f t="shared" si="76"/>
        <v>0</v>
      </c>
      <c r="D163" s="43">
        <f t="shared" si="76"/>
        <v>0</v>
      </c>
      <c r="E163" s="43">
        <f t="shared" si="76"/>
        <v>0</v>
      </c>
      <c r="F163" s="43">
        <f t="shared" si="76"/>
        <v>0</v>
      </c>
      <c r="G163" s="43">
        <f t="shared" si="76"/>
        <v>0</v>
      </c>
      <c r="H163" s="43">
        <f t="shared" si="76"/>
        <v>0</v>
      </c>
      <c r="I163" s="43">
        <f t="shared" si="76"/>
        <v>0</v>
      </c>
      <c r="J163" s="43">
        <f t="shared" si="76"/>
        <v>0</v>
      </c>
      <c r="K163" s="43">
        <f t="shared" si="76"/>
        <v>0</v>
      </c>
      <c r="L163" s="43">
        <f t="shared" si="76"/>
        <v>0</v>
      </c>
      <c r="M163" s="43">
        <f t="shared" si="76"/>
        <v>82.00659860370789</v>
      </c>
      <c r="N163" s="43">
        <f t="shared" si="76"/>
        <v>82.00659860370789</v>
      </c>
    </row>
    <row r="164" spans="1:14" ht="12.75">
      <c r="A164" s="4" t="str">
        <f>A37</f>
        <v>SGS Slab Demolition</v>
      </c>
      <c r="B164" s="43">
        <f aca="true" t="shared" si="77" ref="B164:N164">IF(AND(B$157&gt;=$J37,B$157&lt;=$K37),$I37+$I38,0)</f>
        <v>72.5777951886117</v>
      </c>
      <c r="C164" s="43">
        <f t="shared" si="77"/>
        <v>72.5777951886117</v>
      </c>
      <c r="D164" s="43">
        <f t="shared" si="77"/>
        <v>0</v>
      </c>
      <c r="E164" s="43">
        <f t="shared" si="77"/>
        <v>0</v>
      </c>
      <c r="F164" s="43">
        <f t="shared" si="77"/>
        <v>0</v>
      </c>
      <c r="G164" s="43">
        <f t="shared" si="77"/>
        <v>0</v>
      </c>
      <c r="H164" s="43">
        <f t="shared" si="77"/>
        <v>0</v>
      </c>
      <c r="I164" s="43">
        <f t="shared" si="77"/>
        <v>0</v>
      </c>
      <c r="J164" s="43">
        <f t="shared" si="77"/>
        <v>0</v>
      </c>
      <c r="K164" s="43">
        <f t="shared" si="77"/>
        <v>0</v>
      </c>
      <c r="L164" s="43">
        <f t="shared" si="77"/>
        <v>0</v>
      </c>
      <c r="M164" s="43">
        <f t="shared" si="77"/>
        <v>0</v>
      </c>
      <c r="N164" s="43">
        <f t="shared" si="77"/>
        <v>0</v>
      </c>
    </row>
    <row r="165" spans="1:14" ht="12.75">
      <c r="A165" s="4" t="str">
        <f>A39</f>
        <v>SGS Grading</v>
      </c>
      <c r="B165" s="43">
        <f aca="true" t="shared" si="78" ref="B165:N165">IF(AND(B$157&gt;=$J39,B$157&lt;=$K39),$I39+$I40,0)</f>
        <v>0</v>
      </c>
      <c r="C165" s="43">
        <f t="shared" si="78"/>
        <v>0</v>
      </c>
      <c r="D165" s="43">
        <f t="shared" si="78"/>
        <v>0</v>
      </c>
      <c r="E165" s="43">
        <f t="shared" si="78"/>
        <v>0</v>
      </c>
      <c r="F165" s="43">
        <f t="shared" si="78"/>
        <v>0</v>
      </c>
      <c r="G165" s="43">
        <f t="shared" si="78"/>
        <v>5.999637481515182</v>
      </c>
      <c r="H165" s="43">
        <f t="shared" si="78"/>
        <v>5.999637481515182</v>
      </c>
      <c r="I165" s="43">
        <f t="shared" si="78"/>
        <v>0</v>
      </c>
      <c r="J165" s="43">
        <f t="shared" si="78"/>
        <v>0</v>
      </c>
      <c r="K165" s="43">
        <f t="shared" si="78"/>
        <v>0</v>
      </c>
      <c r="L165" s="43">
        <f t="shared" si="78"/>
        <v>0</v>
      </c>
      <c r="M165" s="43">
        <f t="shared" si="78"/>
        <v>0</v>
      </c>
      <c r="N165" s="43">
        <f t="shared" si="78"/>
        <v>0</v>
      </c>
    </row>
    <row r="166" spans="1:14" ht="12.75">
      <c r="A166" s="4" t="str">
        <f>A41</f>
        <v>SGS Foundations </v>
      </c>
      <c r="B166" s="43">
        <f aca="true" t="shared" si="79" ref="B166:N166">IF(AND(B$157&gt;=$J41,B$157&lt;=$K41),$I41+$I42,0)</f>
        <v>0</v>
      </c>
      <c r="C166" s="43">
        <f t="shared" si="79"/>
        <v>0</v>
      </c>
      <c r="D166" s="43">
        <f t="shared" si="79"/>
        <v>0</v>
      </c>
      <c r="E166" s="43">
        <f t="shared" si="79"/>
        <v>0</v>
      </c>
      <c r="F166" s="43">
        <f t="shared" si="79"/>
        <v>0</v>
      </c>
      <c r="G166" s="43">
        <f t="shared" si="79"/>
        <v>0</v>
      </c>
      <c r="H166" s="43">
        <f t="shared" si="79"/>
        <v>0</v>
      </c>
      <c r="I166" s="43">
        <f t="shared" si="79"/>
        <v>26.421897379948625</v>
      </c>
      <c r="J166" s="43">
        <f t="shared" si="79"/>
        <v>26.421897379948625</v>
      </c>
      <c r="K166" s="43">
        <f t="shared" si="79"/>
        <v>26.421897379948625</v>
      </c>
      <c r="L166" s="43">
        <f t="shared" si="79"/>
        <v>26.421897379948625</v>
      </c>
      <c r="M166" s="43">
        <f t="shared" si="79"/>
        <v>0</v>
      </c>
      <c r="N166" s="43">
        <f t="shared" si="79"/>
        <v>0</v>
      </c>
    </row>
    <row r="167" spans="1:14" ht="12.75">
      <c r="A167" s="4" t="str">
        <f>A43</f>
        <v>SGS Paving</v>
      </c>
      <c r="B167" s="43">
        <f aca="true" t="shared" si="80" ref="B167:N167">IF(AND(B$157&gt;=$J43,B$157&lt;=$K43),$I43+$I44,0)</f>
        <v>0</v>
      </c>
      <c r="C167" s="43">
        <f t="shared" si="80"/>
        <v>0</v>
      </c>
      <c r="D167" s="43">
        <f t="shared" si="80"/>
        <v>0</v>
      </c>
      <c r="E167" s="43">
        <f t="shared" si="80"/>
        <v>0</v>
      </c>
      <c r="F167" s="43">
        <f t="shared" si="80"/>
        <v>0</v>
      </c>
      <c r="G167" s="43">
        <f t="shared" si="80"/>
        <v>0</v>
      </c>
      <c r="H167" s="43">
        <f t="shared" si="80"/>
        <v>0</v>
      </c>
      <c r="I167" s="43">
        <f t="shared" si="80"/>
        <v>18.81584790710884</v>
      </c>
      <c r="J167" s="43">
        <f t="shared" si="80"/>
        <v>18.81584790710884</v>
      </c>
      <c r="K167" s="43">
        <f t="shared" si="80"/>
        <v>18.81584790710884</v>
      </c>
      <c r="L167" s="43">
        <f t="shared" si="80"/>
        <v>18.81584790710884</v>
      </c>
      <c r="M167" s="43">
        <f t="shared" si="80"/>
        <v>0</v>
      </c>
      <c r="N167" s="43">
        <f t="shared" si="80"/>
        <v>0</v>
      </c>
    </row>
    <row r="168" spans="1:14" ht="12.75">
      <c r="A168" s="4" t="str">
        <f>A45</f>
        <v>SGS Equipment Installation</v>
      </c>
      <c r="B168" s="43">
        <f aca="true" t="shared" si="81" ref="B168:N168">IF(AND(B$157&gt;=$J45,B$157&lt;=$K45),$I45+$I46,0)</f>
        <v>0</v>
      </c>
      <c r="C168" s="43">
        <f t="shared" si="81"/>
        <v>0</v>
      </c>
      <c r="D168" s="43">
        <f t="shared" si="81"/>
        <v>0</v>
      </c>
      <c r="E168" s="43">
        <f t="shared" si="81"/>
        <v>0</v>
      </c>
      <c r="F168" s="43">
        <f t="shared" si="81"/>
        <v>0</v>
      </c>
      <c r="G168" s="43">
        <f t="shared" si="81"/>
        <v>0</v>
      </c>
      <c r="H168" s="43">
        <f t="shared" si="81"/>
        <v>0</v>
      </c>
      <c r="I168" s="43">
        <f t="shared" si="81"/>
        <v>0</v>
      </c>
      <c r="J168" s="43">
        <f t="shared" si="81"/>
        <v>0</v>
      </c>
      <c r="K168" s="43">
        <f t="shared" si="81"/>
        <v>0</v>
      </c>
      <c r="L168" s="43">
        <f t="shared" si="81"/>
        <v>0</v>
      </c>
      <c r="M168" s="43">
        <f t="shared" si="81"/>
        <v>45.72434536362856</v>
      </c>
      <c r="N168" s="43">
        <f t="shared" si="81"/>
        <v>45.72434536362856</v>
      </c>
    </row>
    <row r="169" spans="1:14" ht="12.75">
      <c r="A169" s="4" t="str">
        <f>A47</f>
        <v>VGS Demolition</v>
      </c>
      <c r="B169" s="43">
        <f aca="true" t="shared" si="82" ref="B169:N169">IF(AND(B$157&gt;=$J47,B$157&lt;=$K47),$I47+$I48,0)</f>
        <v>49.984389217764026</v>
      </c>
      <c r="C169" s="43">
        <f t="shared" si="82"/>
        <v>49.984389217764026</v>
      </c>
      <c r="D169" s="43">
        <f t="shared" si="82"/>
        <v>0</v>
      </c>
      <c r="E169" s="43">
        <f t="shared" si="82"/>
        <v>0</v>
      </c>
      <c r="F169" s="43">
        <f t="shared" si="82"/>
        <v>0</v>
      </c>
      <c r="G169" s="43">
        <f t="shared" si="82"/>
        <v>0</v>
      </c>
      <c r="H169" s="43">
        <f t="shared" si="82"/>
        <v>0</v>
      </c>
      <c r="I169" s="43">
        <f t="shared" si="82"/>
        <v>0</v>
      </c>
      <c r="J169" s="43">
        <f t="shared" si="82"/>
        <v>0</v>
      </c>
      <c r="K169" s="43">
        <f t="shared" si="82"/>
        <v>0</v>
      </c>
      <c r="L169" s="43">
        <f t="shared" si="82"/>
        <v>0</v>
      </c>
      <c r="M169" s="43">
        <f t="shared" si="82"/>
        <v>0</v>
      </c>
      <c r="N169" s="43">
        <f t="shared" si="82"/>
        <v>0</v>
      </c>
    </row>
    <row r="170" spans="1:14" ht="12.75">
      <c r="A170" s="4" t="str">
        <f>A49</f>
        <v>VGS Grading</v>
      </c>
      <c r="B170" s="43">
        <f aca="true" t="shared" si="83" ref="B170:N170">IF(AND(B$157&gt;=$J49,B$157&lt;=$K49),$I49+$I50,0)</f>
        <v>0</v>
      </c>
      <c r="C170" s="43">
        <f t="shared" si="83"/>
        <v>0</v>
      </c>
      <c r="D170" s="43">
        <f t="shared" si="83"/>
        <v>5.069699032471537</v>
      </c>
      <c r="E170" s="43">
        <f t="shared" si="83"/>
        <v>5.069699032471537</v>
      </c>
      <c r="F170" s="43">
        <f t="shared" si="83"/>
        <v>0</v>
      </c>
      <c r="G170" s="43">
        <f t="shared" si="83"/>
        <v>0</v>
      </c>
      <c r="H170" s="43">
        <f t="shared" si="83"/>
        <v>0</v>
      </c>
      <c r="I170" s="43">
        <f t="shared" si="83"/>
        <v>0</v>
      </c>
      <c r="J170" s="43">
        <f t="shared" si="83"/>
        <v>0</v>
      </c>
      <c r="K170" s="43">
        <f t="shared" si="83"/>
        <v>0</v>
      </c>
      <c r="L170" s="43">
        <f t="shared" si="83"/>
        <v>0</v>
      </c>
      <c r="M170" s="43">
        <f t="shared" si="83"/>
        <v>0</v>
      </c>
      <c r="N170" s="43">
        <f t="shared" si="83"/>
        <v>0</v>
      </c>
    </row>
    <row r="171" spans="1:14" ht="12.75">
      <c r="A171" s="4" t="str">
        <f>A51</f>
        <v>VGS Foundations </v>
      </c>
      <c r="B171" s="43">
        <f aca="true" t="shared" si="84" ref="B171:N171">IF(AND(B$157&gt;=$J51,B$157&lt;=$K51),$I51+$I52,0)</f>
        <v>0</v>
      </c>
      <c r="C171" s="43">
        <f t="shared" si="84"/>
        <v>0</v>
      </c>
      <c r="D171" s="43">
        <f t="shared" si="84"/>
        <v>0</v>
      </c>
      <c r="E171" s="43">
        <f t="shared" si="84"/>
        <v>0</v>
      </c>
      <c r="F171" s="43">
        <f t="shared" si="84"/>
        <v>73.29648829514942</v>
      </c>
      <c r="G171" s="43">
        <f t="shared" si="84"/>
        <v>73.29648829514942</v>
      </c>
      <c r="H171" s="43">
        <f t="shared" si="84"/>
        <v>73.29648829514942</v>
      </c>
      <c r="I171" s="43">
        <f t="shared" si="84"/>
        <v>73.29648829514942</v>
      </c>
      <c r="J171" s="43">
        <f t="shared" si="84"/>
        <v>73.29648829514942</v>
      </c>
      <c r="K171" s="43">
        <f t="shared" si="84"/>
        <v>0</v>
      </c>
      <c r="L171" s="43">
        <f t="shared" si="84"/>
        <v>0</v>
      </c>
      <c r="M171" s="43">
        <f t="shared" si="84"/>
        <v>0</v>
      </c>
      <c r="N171" s="43">
        <f t="shared" si="84"/>
        <v>0</v>
      </c>
    </row>
    <row r="172" spans="1:14" ht="12.75">
      <c r="A172" s="4" t="str">
        <f>A53</f>
        <v>VGS Paving</v>
      </c>
      <c r="B172" s="43">
        <f aca="true" t="shared" si="85" ref="B172:N172">IF(AND(B$157&gt;=$J53,B$157&lt;=$K53),$I53+$I54,0)</f>
        <v>0</v>
      </c>
      <c r="C172" s="43">
        <f t="shared" si="85"/>
        <v>0</v>
      </c>
      <c r="D172" s="43">
        <f t="shared" si="85"/>
        <v>0</v>
      </c>
      <c r="E172" s="43">
        <f t="shared" si="85"/>
        <v>0</v>
      </c>
      <c r="F172" s="43">
        <f t="shared" si="85"/>
        <v>0</v>
      </c>
      <c r="G172" s="43">
        <f t="shared" si="85"/>
        <v>0</v>
      </c>
      <c r="H172" s="43">
        <f t="shared" si="85"/>
        <v>0</v>
      </c>
      <c r="I172" s="43">
        <f t="shared" si="85"/>
        <v>24.197738663038628</v>
      </c>
      <c r="J172" s="43">
        <f t="shared" si="85"/>
        <v>24.197738663038628</v>
      </c>
      <c r="K172" s="43">
        <f t="shared" si="85"/>
        <v>24.197738663038628</v>
      </c>
      <c r="L172" s="43">
        <f t="shared" si="85"/>
        <v>0</v>
      </c>
      <c r="M172" s="43">
        <f t="shared" si="85"/>
        <v>0</v>
      </c>
      <c r="N172" s="43">
        <f t="shared" si="85"/>
        <v>0</v>
      </c>
    </row>
    <row r="173" spans="1:14" ht="12.75">
      <c r="A173" s="4" t="str">
        <f>A55</f>
        <v>VGS Equipment Installation</v>
      </c>
      <c r="B173" s="43">
        <f aca="true" t="shared" si="86" ref="B173:N173">IF(AND(B$157&gt;=$J55,B$157&lt;=$K55),$I55+$I56,0)</f>
        <v>0</v>
      </c>
      <c r="C173" s="43">
        <f t="shared" si="86"/>
        <v>0</v>
      </c>
      <c r="D173" s="43">
        <f t="shared" si="86"/>
        <v>0</v>
      </c>
      <c r="E173" s="43">
        <f t="shared" si="86"/>
        <v>0</v>
      </c>
      <c r="F173" s="43">
        <f t="shared" si="86"/>
        <v>0</v>
      </c>
      <c r="G173" s="43">
        <f t="shared" si="86"/>
        <v>0</v>
      </c>
      <c r="H173" s="43">
        <f t="shared" si="86"/>
        <v>0</v>
      </c>
      <c r="I173" s="43">
        <f t="shared" si="86"/>
        <v>0</v>
      </c>
      <c r="J173" s="43">
        <f t="shared" si="86"/>
        <v>0</v>
      </c>
      <c r="K173" s="43">
        <f t="shared" si="86"/>
        <v>0</v>
      </c>
      <c r="L173" s="43">
        <f t="shared" si="86"/>
        <v>0</v>
      </c>
      <c r="M173" s="43">
        <f t="shared" si="86"/>
        <v>44.34768897285073</v>
      </c>
      <c r="N173" s="43">
        <f t="shared" si="86"/>
        <v>44.34768897285073</v>
      </c>
    </row>
    <row r="174" spans="1:14" ht="12.75">
      <c r="A174" s="15" t="s">
        <v>24</v>
      </c>
      <c r="B174" s="44">
        <f aca="true" t="shared" si="87" ref="B174:N174">SUM(B158:B173)</f>
        <v>256.9530991441862</v>
      </c>
      <c r="C174" s="44">
        <f t="shared" si="87"/>
        <v>256.9530991441862</v>
      </c>
      <c r="D174" s="44">
        <f t="shared" si="87"/>
        <v>312.869423690868</v>
      </c>
      <c r="E174" s="44">
        <f t="shared" si="87"/>
        <v>312.869423690868</v>
      </c>
      <c r="F174" s="44">
        <f t="shared" si="87"/>
        <v>381.0962129535459</v>
      </c>
      <c r="G174" s="44">
        <f t="shared" si="87"/>
        <v>394.4421894675326</v>
      </c>
      <c r="H174" s="44">
        <f t="shared" si="87"/>
        <v>394.4421894675326</v>
      </c>
      <c r="I174" s="44">
        <f t="shared" si="87"/>
        <v>341.34629186023443</v>
      </c>
      <c r="J174" s="44">
        <f t="shared" si="87"/>
        <v>341.34629186023443</v>
      </c>
      <c r="K174" s="44">
        <f t="shared" si="87"/>
        <v>268.049803565085</v>
      </c>
      <c r="L174" s="44">
        <f t="shared" si="87"/>
        <v>243.85206490204638</v>
      </c>
      <c r="M174" s="44">
        <f t="shared" si="87"/>
        <v>172.07863294018716</v>
      </c>
      <c r="N174" s="44">
        <f t="shared" si="87"/>
        <v>172.07863294018716</v>
      </c>
    </row>
    <row r="175" spans="1:14" ht="12.75">
      <c r="A175" s="39" t="s">
        <v>132</v>
      </c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7"/>
      <c r="M175" s="47"/>
      <c r="N175" s="47"/>
    </row>
    <row r="176" spans="1:14" ht="12.75">
      <c r="A176" s="62" t="s">
        <v>276</v>
      </c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7"/>
      <c r="M176" s="47"/>
      <c r="N176" s="47"/>
    </row>
    <row r="177" spans="1:11" ht="12.75">
      <c r="A177" s="29"/>
      <c r="B177" s="48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ht="12.75">
      <c r="A178" s="29"/>
      <c r="B178" s="48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ht="12.75">
      <c r="A179" s="86" t="s">
        <v>340</v>
      </c>
      <c r="B179" s="86"/>
      <c r="C179" s="86"/>
      <c r="D179" s="86"/>
      <c r="E179" s="86"/>
      <c r="F179" s="86"/>
      <c r="G179" s="86"/>
      <c r="H179" s="86"/>
      <c r="I179" s="49"/>
      <c r="J179" s="49"/>
      <c r="K179" s="49"/>
    </row>
    <row r="180" spans="1:11" ht="12.75">
      <c r="A180" s="85" t="s">
        <v>354</v>
      </c>
      <c r="B180" s="85"/>
      <c r="C180" s="85"/>
      <c r="D180" s="85"/>
      <c r="E180" s="85"/>
      <c r="F180" s="85"/>
      <c r="G180" s="85"/>
      <c r="H180" s="85"/>
      <c r="I180" s="49"/>
      <c r="J180" s="49"/>
      <c r="K180" s="49"/>
    </row>
    <row r="181" spans="1:11" ht="42">
      <c r="A181" s="2" t="s">
        <v>131</v>
      </c>
      <c r="B181" s="3" t="s">
        <v>193</v>
      </c>
      <c r="C181" s="3" t="s">
        <v>194</v>
      </c>
      <c r="D181" s="3" t="s">
        <v>199</v>
      </c>
      <c r="E181" s="3" t="s">
        <v>200</v>
      </c>
      <c r="F181" s="3" t="s">
        <v>208</v>
      </c>
      <c r="G181" s="3" t="s">
        <v>209</v>
      </c>
      <c r="H181" s="3" t="s">
        <v>210</v>
      </c>
      <c r="I181" s="49"/>
      <c r="J181" s="49"/>
      <c r="K181" s="49"/>
    </row>
    <row r="182" spans="1:11" ht="12.75">
      <c r="A182" s="15" t="s">
        <v>94</v>
      </c>
      <c r="B182" s="43">
        <f>FoundationsHGS!B85+PavingHGS!B85+FoundationsSGS!B84+PavingSGS!B85+FoundationsVGS!B85+PavingVGS!B85</f>
        <v>408.34224000000006</v>
      </c>
      <c r="C182" s="43">
        <f>'Equipment InstallationHGS'!C84+'Equipment InstallationSGS'!C84+'Equipment InstallationVGS'!C84</f>
        <v>69.07208</v>
      </c>
      <c r="D182" s="43">
        <f>'Equipment InstallationHGS'!D84+'Equipment InstallationSGS'!D84+'Equipment InstallationVGS'!D84</f>
        <v>590.5340799999999</v>
      </c>
      <c r="E182" s="43">
        <f>'Equipment InstallationHGS'!E84+'Equipment InstallationSGS'!E84+'Equipment InstallationVGS'!E84</f>
        <v>48.62256</v>
      </c>
      <c r="F182" s="43">
        <f>FoundationsHGS!F85+PavingHGS!F85+FoundationsSGS!F84+PavingSGS!F85+FoundationsVGS!F85+PavingVGS!F85</f>
        <v>18.08332</v>
      </c>
      <c r="G182" s="43"/>
      <c r="H182" s="43">
        <f>FoundationsHGS!H85+PavingHGS!H85+FoundationsSGS!H84+PavingSGS!H85+FoundationsVGS!H85+PavingVGS!H85</f>
        <v>18.08332</v>
      </c>
      <c r="I182" s="49"/>
      <c r="J182" s="49"/>
      <c r="K182" s="49"/>
    </row>
    <row r="183" spans="1:11" ht="12.75">
      <c r="A183" s="4" t="s">
        <v>123</v>
      </c>
      <c r="B183" s="40">
        <v>0</v>
      </c>
      <c r="C183" s="40">
        <v>0.05</v>
      </c>
      <c r="D183" s="40">
        <v>0.05</v>
      </c>
      <c r="E183" s="40">
        <v>0.05</v>
      </c>
      <c r="F183" s="40">
        <v>0.05</v>
      </c>
      <c r="G183" s="43"/>
      <c r="H183" s="43">
        <f>FoundationsHGS!H86+PavingHGS!H86+FoundationsSGS!H85+PavingSGS!H86+FoundationsVGS!H86+PavingVGS!H86</f>
        <v>0</v>
      </c>
      <c r="I183" s="49"/>
      <c r="J183" s="49"/>
      <c r="K183" s="49"/>
    </row>
    <row r="184" spans="1:11" ht="12.75">
      <c r="A184" s="4" t="s">
        <v>124</v>
      </c>
      <c r="B184" s="43">
        <f>-B183*B182</f>
        <v>0</v>
      </c>
      <c r="C184" s="43">
        <f>-C183*C182</f>
        <v>-3.4536040000000003</v>
      </c>
      <c r="D184" s="43">
        <f>-D183*D182</f>
        <v>-29.526703999999995</v>
      </c>
      <c r="E184" s="43">
        <f>-E183*E182</f>
        <v>-2.431128</v>
      </c>
      <c r="F184" s="43">
        <f>-F183*F182</f>
        <v>-0.904166</v>
      </c>
      <c r="G184" s="43"/>
      <c r="H184" s="43">
        <f>FoundationsHGS!H87+PavingHGS!H87+FoundationsSGS!H86+PavingSGS!H87+FoundationsVGS!H87+PavingVGS!H87</f>
        <v>-0.904166</v>
      </c>
      <c r="I184" s="49"/>
      <c r="J184" s="49"/>
      <c r="K184" s="49"/>
    </row>
    <row r="185" spans="1:11" ht="12.75">
      <c r="A185" s="15" t="s">
        <v>125</v>
      </c>
      <c r="B185" s="44">
        <f>B182+B184</f>
        <v>408.34224000000006</v>
      </c>
      <c r="C185" s="44">
        <f>C182+C184</f>
        <v>65.618476</v>
      </c>
      <c r="D185" s="44">
        <f>D182+D184</f>
        <v>561.0073759999999</v>
      </c>
      <c r="E185" s="44">
        <f>E182+E184</f>
        <v>46.191432</v>
      </c>
      <c r="F185" s="44">
        <f>F182+F184</f>
        <v>17.179154</v>
      </c>
      <c r="G185" s="44"/>
      <c r="H185" s="44">
        <f>F185+G185</f>
        <v>17.179154</v>
      </c>
      <c r="I185" s="49"/>
      <c r="J185" s="49"/>
      <c r="K185" s="49"/>
    </row>
    <row r="186" spans="1:11" ht="12.75">
      <c r="A186" s="15" t="s">
        <v>127</v>
      </c>
      <c r="B186" s="43">
        <f>FoundationsHGS!B89+PavingHGS!B89+FoundationsSGS!B88+PavingSGS!B89+FoundationsVGS!B89+PavingVGS!B89</f>
        <v>13.495282186948854</v>
      </c>
      <c r="C186" s="43">
        <f>'Equipment InstallationHGS'!C88+'Equipment InstallationSGS'!C88+'Equipment InstallationVGS'!C88</f>
        <v>1.300641534391534</v>
      </c>
      <c r="D186" s="43">
        <f>'Equipment InstallationHGS'!D88+'Equipment InstallationSGS'!D88+'Equipment InstallationVGS'!D88</f>
        <v>1.6072089947089945</v>
      </c>
      <c r="E186" s="43">
        <f>'Equipment InstallationHGS'!E88+'Equipment InstallationSGS'!E88+'Equipment InstallationVGS'!E88</f>
        <v>0</v>
      </c>
      <c r="F186" s="43">
        <f>FoundationsHGS!F89+PavingHGS!F89+FoundationsSGS!F88+PavingSGS!F89+FoundationsVGS!F89+PavingVGS!F89</f>
        <v>0.12226631393298058</v>
      </c>
      <c r="G186" s="43"/>
      <c r="H186" s="43">
        <f>FoundationsHGS!H89+PavingHGS!H89+FoundationsSGS!H88+PavingSGS!H89+FoundationsVGS!H89+PavingVGS!H89</f>
        <v>0.12226631393298058</v>
      </c>
      <c r="I186" s="49"/>
      <c r="J186" s="49"/>
      <c r="K186" s="49"/>
    </row>
    <row r="187" spans="1:11" ht="12.75">
      <c r="A187" s="4" t="s">
        <v>123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/>
      <c r="H187" s="44"/>
      <c r="I187" s="49"/>
      <c r="J187" s="49"/>
      <c r="K187" s="49"/>
    </row>
    <row r="188" spans="1:11" ht="12.75">
      <c r="A188" s="4" t="s">
        <v>124</v>
      </c>
      <c r="B188" s="43">
        <f>-B187*B186</f>
        <v>0</v>
      </c>
      <c r="C188" s="43">
        <f>-C187*C186</f>
        <v>0</v>
      </c>
      <c r="D188" s="43">
        <f>-D187*D186</f>
        <v>0</v>
      </c>
      <c r="E188" s="43">
        <f>-E187*E186</f>
        <v>0</v>
      </c>
      <c r="F188" s="43">
        <f>-F187*F186</f>
        <v>0</v>
      </c>
      <c r="G188" s="43"/>
      <c r="H188" s="43">
        <f>FoundationsHGS!H91+PavingHGS!H91+FoundationsSGS!H90+PavingSGS!H91+FoundationsVGS!H91+PavingVGS!H91</f>
        <v>0</v>
      </c>
      <c r="I188" s="49"/>
      <c r="J188" s="49"/>
      <c r="K188" s="49"/>
    </row>
    <row r="189" spans="1:11" ht="12.75">
      <c r="A189" s="15" t="s">
        <v>125</v>
      </c>
      <c r="B189" s="44">
        <f>B186+B188</f>
        <v>13.495282186948854</v>
      </c>
      <c r="C189" s="44">
        <f>C186+C188</f>
        <v>1.300641534391534</v>
      </c>
      <c r="D189" s="44">
        <f>D186+D188</f>
        <v>1.6072089947089945</v>
      </c>
      <c r="E189" s="44">
        <f>E186+E188</f>
        <v>0</v>
      </c>
      <c r="F189" s="44">
        <f>F186+F188</f>
        <v>0.12226631393298058</v>
      </c>
      <c r="G189" s="44"/>
      <c r="H189" s="44">
        <f>F189+G189</f>
        <v>0.12226631393298058</v>
      </c>
      <c r="I189" s="49"/>
      <c r="J189" s="49"/>
      <c r="K189" s="49"/>
    </row>
    <row r="190" spans="1:11" ht="12.75">
      <c r="A190" s="15" t="s">
        <v>95</v>
      </c>
      <c r="B190" s="43"/>
      <c r="C190" s="43"/>
      <c r="D190" s="43"/>
      <c r="E190" s="43"/>
      <c r="F190" s="43"/>
      <c r="G190" s="43">
        <f>FoundationsHGS!G93+PavingHGS!G93+FoundationsSGS!G92+PavingSGS!G93+FoundationsVGS!G93+PavingVGS!G93</f>
        <v>66.04508092748101</v>
      </c>
      <c r="H190" s="43">
        <f>FoundationsHGS!H93+PavingHGS!H93+FoundationsSGS!H92+PavingSGS!H93+FoundationsVGS!H93+PavingVGS!H93</f>
        <v>66.04508092748101</v>
      </c>
      <c r="I190" s="49"/>
      <c r="J190" s="49"/>
      <c r="K190" s="49"/>
    </row>
    <row r="191" spans="1:11" ht="12.75">
      <c r="A191" s="4" t="s">
        <v>123</v>
      </c>
      <c r="B191" s="40"/>
      <c r="C191" s="40"/>
      <c r="D191" s="40"/>
      <c r="E191" s="40"/>
      <c r="F191" s="40"/>
      <c r="G191" s="40">
        <v>0.16</v>
      </c>
      <c r="H191" s="43"/>
      <c r="I191" s="49"/>
      <c r="J191" s="49"/>
      <c r="K191" s="49"/>
    </row>
    <row r="192" spans="1:11" ht="12.75">
      <c r="A192" s="4" t="s">
        <v>124</v>
      </c>
      <c r="B192" s="43"/>
      <c r="C192" s="43"/>
      <c r="D192" s="43"/>
      <c r="E192" s="43"/>
      <c r="F192" s="43"/>
      <c r="G192" s="43">
        <f>-G191*G190</f>
        <v>-10.567212948396962</v>
      </c>
      <c r="H192" s="43">
        <f>F192+G192</f>
        <v>-10.567212948396962</v>
      </c>
      <c r="I192" s="49"/>
      <c r="J192" s="49"/>
      <c r="K192" s="49"/>
    </row>
    <row r="193" spans="1:11" ht="12.75">
      <c r="A193" s="15" t="s">
        <v>125</v>
      </c>
      <c r="B193" s="44"/>
      <c r="C193" s="44"/>
      <c r="D193" s="44"/>
      <c r="E193" s="44"/>
      <c r="F193" s="44"/>
      <c r="G193" s="44">
        <f>G190+G192</f>
        <v>55.477867979084046</v>
      </c>
      <c r="H193" s="44">
        <f>F193+G193</f>
        <v>55.477867979084046</v>
      </c>
      <c r="I193" s="49"/>
      <c r="J193" s="49"/>
      <c r="K193" s="49"/>
    </row>
    <row r="194" spans="1:11" ht="12.75">
      <c r="A194" s="15" t="s">
        <v>96</v>
      </c>
      <c r="B194" s="43"/>
      <c r="C194" s="43">
        <f>'Equipment InstallationHGS'!C96+'Equipment InstallationSGS'!C96+'Equipment InstallationVGS'!C96</f>
        <v>0</v>
      </c>
      <c r="D194" s="43"/>
      <c r="E194" s="43"/>
      <c r="F194" s="43"/>
      <c r="G194" s="43"/>
      <c r="H194" s="43"/>
      <c r="I194" s="49"/>
      <c r="J194" s="49"/>
      <c r="K194" s="49"/>
    </row>
    <row r="195" spans="1:11" ht="12.75">
      <c r="A195" s="4" t="s">
        <v>123</v>
      </c>
      <c r="B195" s="40"/>
      <c r="C195" s="40">
        <v>0</v>
      </c>
      <c r="D195" s="40"/>
      <c r="E195" s="40"/>
      <c r="F195" s="40"/>
      <c r="G195" s="40"/>
      <c r="H195" s="43"/>
      <c r="I195" s="49"/>
      <c r="J195" s="49"/>
      <c r="K195" s="49"/>
    </row>
    <row r="196" spans="1:11" ht="12.75">
      <c r="A196" s="4" t="s">
        <v>124</v>
      </c>
      <c r="B196" s="43"/>
      <c r="C196" s="43">
        <f>-C195*C194</f>
        <v>0</v>
      </c>
      <c r="D196" s="43"/>
      <c r="E196" s="43"/>
      <c r="F196" s="43"/>
      <c r="G196" s="43"/>
      <c r="H196" s="43"/>
      <c r="I196" s="49"/>
      <c r="J196" s="49"/>
      <c r="K196" s="49"/>
    </row>
    <row r="197" spans="1:11" ht="12.75">
      <c r="A197" s="15" t="s">
        <v>125</v>
      </c>
      <c r="B197" s="44"/>
      <c r="C197" s="44">
        <f>C194+C196</f>
        <v>0</v>
      </c>
      <c r="D197" s="44"/>
      <c r="E197" s="44"/>
      <c r="F197" s="44"/>
      <c r="G197" s="44"/>
      <c r="H197" s="44"/>
      <c r="I197" s="49"/>
      <c r="J197" s="49"/>
      <c r="K197" s="49"/>
    </row>
    <row r="198" spans="1:11" ht="12.75">
      <c r="A198" s="15" t="s">
        <v>97</v>
      </c>
      <c r="B198" s="43"/>
      <c r="C198" s="43">
        <f>'Equipment InstallationHGS'!C100+'Equipment InstallationSGS'!C100+'Equipment InstallationVGS'!C100</f>
        <v>77</v>
      </c>
      <c r="D198" s="43"/>
      <c r="E198" s="43"/>
      <c r="F198" s="43"/>
      <c r="G198" s="43"/>
      <c r="H198" s="43"/>
      <c r="I198" s="49"/>
      <c r="J198" s="49"/>
      <c r="K198" s="49"/>
    </row>
    <row r="199" spans="1:11" ht="12.75">
      <c r="A199" s="4" t="s">
        <v>123</v>
      </c>
      <c r="B199" s="40"/>
      <c r="C199" s="40">
        <v>0</v>
      </c>
      <c r="D199" s="40"/>
      <c r="E199" s="40"/>
      <c r="F199" s="40"/>
      <c r="G199" s="40"/>
      <c r="H199" s="43"/>
      <c r="I199" s="49"/>
      <c r="J199" s="49"/>
      <c r="K199" s="49"/>
    </row>
    <row r="200" spans="1:11" ht="12.75">
      <c r="A200" s="4" t="s">
        <v>124</v>
      </c>
      <c r="B200" s="43"/>
      <c r="C200" s="43">
        <f>-C199*C198</f>
        <v>0</v>
      </c>
      <c r="D200" s="43"/>
      <c r="E200" s="43"/>
      <c r="F200" s="43"/>
      <c r="G200" s="43"/>
      <c r="H200" s="43"/>
      <c r="I200" s="49"/>
      <c r="J200" s="49"/>
      <c r="K200" s="49"/>
    </row>
    <row r="201" spans="1:11" ht="12.75">
      <c r="A201" s="15" t="s">
        <v>125</v>
      </c>
      <c r="B201" s="44"/>
      <c r="C201" s="44">
        <f>C198+C200</f>
        <v>77</v>
      </c>
      <c r="D201" s="44"/>
      <c r="E201" s="44"/>
      <c r="F201" s="44"/>
      <c r="G201" s="44"/>
      <c r="H201" s="44"/>
      <c r="I201" s="49"/>
      <c r="J201" s="49"/>
      <c r="K201" s="49"/>
    </row>
    <row r="202" spans="1:11" ht="12.75">
      <c r="A202" s="15" t="s">
        <v>189</v>
      </c>
      <c r="B202" s="43"/>
      <c r="C202" s="43"/>
      <c r="D202" s="43"/>
      <c r="E202" s="43"/>
      <c r="F202" s="43"/>
      <c r="G202" s="43"/>
      <c r="H202" s="43"/>
      <c r="I202" s="49"/>
      <c r="J202" s="49"/>
      <c r="K202" s="49"/>
    </row>
    <row r="203" spans="1:11" ht="12.75">
      <c r="A203" s="4" t="s">
        <v>123</v>
      </c>
      <c r="B203" s="40"/>
      <c r="C203" s="40">
        <v>0.9</v>
      </c>
      <c r="D203" s="40"/>
      <c r="E203" s="40"/>
      <c r="F203" s="40"/>
      <c r="G203" s="40"/>
      <c r="H203" s="43"/>
      <c r="I203" s="49"/>
      <c r="J203" s="49"/>
      <c r="K203" s="49"/>
    </row>
    <row r="204" spans="1:11" ht="12.75">
      <c r="A204" s="4" t="s">
        <v>124</v>
      </c>
      <c r="B204" s="43"/>
      <c r="C204" s="43">
        <f>-C203*C202</f>
        <v>0</v>
      </c>
      <c r="D204" s="43"/>
      <c r="E204" s="43"/>
      <c r="F204" s="43"/>
      <c r="G204" s="43"/>
      <c r="H204" s="43"/>
      <c r="I204" s="49"/>
      <c r="J204" s="49"/>
      <c r="K204" s="49"/>
    </row>
    <row r="205" spans="1:11" ht="12.75">
      <c r="A205" s="15" t="s">
        <v>125</v>
      </c>
      <c r="B205" s="44"/>
      <c r="C205" s="44">
        <f>C202+C204</f>
        <v>0</v>
      </c>
      <c r="D205" s="44"/>
      <c r="E205" s="44"/>
      <c r="F205" s="44"/>
      <c r="G205" s="44"/>
      <c r="H205" s="44"/>
      <c r="I205" s="49"/>
      <c r="J205" s="49"/>
      <c r="K205" s="49"/>
    </row>
    <row r="206" spans="1:11" ht="12.75">
      <c r="A206" s="15" t="s">
        <v>98</v>
      </c>
      <c r="B206" s="44">
        <f>B185+B189+B193+B197+B205</f>
        <v>421.8375221869489</v>
      </c>
      <c r="C206" s="44">
        <f>C185+C189+C193+C197+C201+C205</f>
        <v>143.91911753439155</v>
      </c>
      <c r="D206" s="44">
        <f>D185+D189+D193+D197+D205</f>
        <v>562.6145849947089</v>
      </c>
      <c r="E206" s="44">
        <f>E185+E189+E193+E197+E205</f>
        <v>46.191432</v>
      </c>
      <c r="F206" s="44">
        <f>F185+F189+F193+F197+F205</f>
        <v>17.30142031393298</v>
      </c>
      <c r="G206" s="44">
        <f>G185+G189+G193+G197+G205</f>
        <v>55.477867979084046</v>
      </c>
      <c r="H206" s="44">
        <f>H185+H193+H197+H205</f>
        <v>72.65702197908405</v>
      </c>
      <c r="I206" s="49"/>
      <c r="J206" s="49"/>
      <c r="K206" s="49"/>
    </row>
    <row r="207" spans="1:11" ht="12.75">
      <c r="A207" s="15" t="s">
        <v>167</v>
      </c>
      <c r="B207" s="44"/>
      <c r="C207" s="44"/>
      <c r="D207" s="44"/>
      <c r="E207" s="44"/>
      <c r="F207" s="45"/>
      <c r="G207" s="45">
        <f>FoundationsHGS!G106+PavingHGS!G106+FoundationsSGS!G105+PavingSGS!G106+FoundationsVGS!G106+PavingVGS!G106</f>
        <v>0</v>
      </c>
      <c r="H207" s="45">
        <f>FoundationsHGS!H106+PavingHGS!H106+FoundationsSGS!H105+PavingSGS!H106+FoundationsVGS!H106+PavingVGS!H106</f>
        <v>0</v>
      </c>
      <c r="I207" s="49"/>
      <c r="J207" s="49"/>
      <c r="K207" s="49"/>
    </row>
    <row r="208" spans="1:11" ht="12.75">
      <c r="A208" s="4" t="s">
        <v>123</v>
      </c>
      <c r="B208" s="44"/>
      <c r="C208" s="44"/>
      <c r="D208" s="44"/>
      <c r="E208" s="44"/>
      <c r="F208" s="44"/>
      <c r="G208" s="61">
        <v>0.9</v>
      </c>
      <c r="H208" s="44"/>
      <c r="I208" s="49"/>
      <c r="J208" s="49"/>
      <c r="K208" s="49"/>
    </row>
    <row r="209" spans="1:11" ht="12.75">
      <c r="A209" s="4" t="s">
        <v>124</v>
      </c>
      <c r="B209" s="44"/>
      <c r="C209" s="44"/>
      <c r="D209" s="44"/>
      <c r="E209" s="44"/>
      <c r="F209" s="44"/>
      <c r="G209" s="43">
        <f>-G208*G207</f>
        <v>0</v>
      </c>
      <c r="H209" s="43">
        <f>F209+G209</f>
        <v>0</v>
      </c>
      <c r="I209" s="49"/>
      <c r="J209" s="49"/>
      <c r="K209" s="49"/>
    </row>
    <row r="210" spans="1:11" ht="12.75">
      <c r="A210" s="15" t="s">
        <v>125</v>
      </c>
      <c r="B210" s="44"/>
      <c r="C210" s="44"/>
      <c r="D210" s="44"/>
      <c r="E210" s="44"/>
      <c r="F210" s="44"/>
      <c r="G210" s="44">
        <f>G207+G209</f>
        <v>0</v>
      </c>
      <c r="H210" s="44">
        <f>F210+G210</f>
        <v>0</v>
      </c>
      <c r="I210" s="49"/>
      <c r="J210" s="49"/>
      <c r="K210" s="49"/>
    </row>
    <row r="211" spans="1:11" ht="12.75">
      <c r="A211" s="15" t="s">
        <v>99</v>
      </c>
      <c r="B211" s="43">
        <f>FoundationsHGS!B114+PavingHGS!B114+FoundationsSGS!B113+PavingSGS!B114+FoundationsVGS!B114+PavingVGS!B114</f>
        <v>246.1710758377425</v>
      </c>
      <c r="C211" s="45">
        <f>'Equipment InstallationHGS'!C109+'Equipment InstallationSGS'!C109+'Equipment InstallationVGS'!C109</f>
        <v>42.40718694885362</v>
      </c>
      <c r="D211" s="45">
        <f>'Equipment InstallationHGS'!D109+'Equipment InstallationSGS'!D109+'Equipment InstallationVGS'!D109</f>
        <v>67.62059082892415</v>
      </c>
      <c r="E211" s="45">
        <f>'Equipment InstallationHGS'!E109+'Equipment InstallationSGS'!E109+'Equipment InstallationVGS'!E109</f>
        <v>0</v>
      </c>
      <c r="F211" s="45">
        <f>FoundationsHGS!F110+PavingHGS!F110+FoundationsSGS!F109+PavingSGS!F110+FoundationsVGS!F110+PavingVGS!F110</f>
        <v>5.254850088183421</v>
      </c>
      <c r="G211" s="45">
        <f>FoundationsHGS!G110+PavingHGS!G110+FoundationsSGS!G109+PavingSGS!G110+FoundationsVGS!G110+PavingVGS!G110</f>
        <v>251.84077453063696</v>
      </c>
      <c r="H211" s="45">
        <f>FoundationsHGS!H110+PavingHGS!H110+FoundationsSGS!H109+PavingSGS!H110+FoundationsVGS!H110+PavingVGS!H110</f>
        <v>257.09562461882047</v>
      </c>
      <c r="I211" s="49"/>
      <c r="J211" s="49"/>
      <c r="K211" s="49"/>
    </row>
    <row r="212" spans="1:11" ht="12.75">
      <c r="A212" s="4" t="s">
        <v>123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3"/>
      <c r="I212" s="49"/>
      <c r="J212" s="49"/>
      <c r="K212" s="49"/>
    </row>
    <row r="213" spans="1:11" ht="12.75">
      <c r="A213" s="4" t="s">
        <v>124</v>
      </c>
      <c r="B213" s="43">
        <f aca="true" t="shared" si="88" ref="B213:G213">-B212*B211</f>
        <v>0</v>
      </c>
      <c r="C213" s="43">
        <f t="shared" si="88"/>
        <v>0</v>
      </c>
      <c r="D213" s="43">
        <f t="shared" si="88"/>
        <v>0</v>
      </c>
      <c r="E213" s="43">
        <f t="shared" si="88"/>
        <v>0</v>
      </c>
      <c r="F213" s="43">
        <f t="shared" si="88"/>
        <v>0</v>
      </c>
      <c r="G213" s="43">
        <f t="shared" si="88"/>
        <v>0</v>
      </c>
      <c r="H213" s="43">
        <f>F213+G213</f>
        <v>0</v>
      </c>
      <c r="I213" s="49"/>
      <c r="J213" s="49"/>
      <c r="K213" s="49"/>
    </row>
    <row r="214" spans="1:11" ht="12.75">
      <c r="A214" s="15" t="s">
        <v>125</v>
      </c>
      <c r="B214" s="44">
        <f aca="true" t="shared" si="89" ref="B214:G214">B211+B213</f>
        <v>246.1710758377425</v>
      </c>
      <c r="C214" s="44">
        <f t="shared" si="89"/>
        <v>42.40718694885362</v>
      </c>
      <c r="D214" s="44">
        <f t="shared" si="89"/>
        <v>67.62059082892415</v>
      </c>
      <c r="E214" s="44">
        <f t="shared" si="89"/>
        <v>0</v>
      </c>
      <c r="F214" s="44">
        <f t="shared" si="89"/>
        <v>5.254850088183421</v>
      </c>
      <c r="G214" s="44">
        <f t="shared" si="89"/>
        <v>251.84077453063696</v>
      </c>
      <c r="H214" s="44">
        <f>F214+G214</f>
        <v>257.0956246188204</v>
      </c>
      <c r="I214" s="49"/>
      <c r="J214" s="49"/>
      <c r="K214" s="49"/>
    </row>
    <row r="215" spans="1:11" ht="12.75">
      <c r="A215" s="15" t="s">
        <v>168</v>
      </c>
      <c r="B215" s="44">
        <f aca="true" t="shared" si="90" ref="B215:H215">B214+B210</f>
        <v>246.1710758377425</v>
      </c>
      <c r="C215" s="44">
        <f t="shared" si="90"/>
        <v>42.40718694885362</v>
      </c>
      <c r="D215" s="44">
        <f t="shared" si="90"/>
        <v>67.62059082892415</v>
      </c>
      <c r="E215" s="44">
        <f t="shared" si="90"/>
        <v>0</v>
      </c>
      <c r="F215" s="44">
        <f t="shared" si="90"/>
        <v>5.254850088183421</v>
      </c>
      <c r="G215" s="44">
        <f t="shared" si="90"/>
        <v>251.84077453063696</v>
      </c>
      <c r="H215" s="44">
        <f t="shared" si="90"/>
        <v>257.0956246188204</v>
      </c>
      <c r="I215" s="49"/>
      <c r="J215" s="49"/>
      <c r="K215" s="49"/>
    </row>
    <row r="216" spans="1:11" ht="12.75">
      <c r="A216" s="15" t="s">
        <v>24</v>
      </c>
      <c r="B216" s="44">
        <f aca="true" t="shared" si="91" ref="B216:H216">B206+B215</f>
        <v>668.0085980246914</v>
      </c>
      <c r="C216" s="44">
        <f t="shared" si="91"/>
        <v>186.32630448324517</v>
      </c>
      <c r="D216" s="44">
        <f t="shared" si="91"/>
        <v>630.2351758236331</v>
      </c>
      <c r="E216" s="44">
        <f t="shared" si="91"/>
        <v>46.191432</v>
      </c>
      <c r="F216" s="44">
        <f t="shared" si="91"/>
        <v>22.5562704021164</v>
      </c>
      <c r="G216" s="44">
        <f t="shared" si="91"/>
        <v>307.31864250972103</v>
      </c>
      <c r="H216" s="44">
        <f t="shared" si="91"/>
        <v>329.75264659790446</v>
      </c>
      <c r="I216" s="49"/>
      <c r="J216" s="49"/>
      <c r="K216" s="49"/>
    </row>
    <row r="217" spans="1:11" ht="12.75">
      <c r="A217" s="68" t="s">
        <v>252</v>
      </c>
      <c r="B217" s="70">
        <v>550</v>
      </c>
      <c r="C217" s="70">
        <v>75</v>
      </c>
      <c r="D217" s="70">
        <v>100</v>
      </c>
      <c r="E217" s="70">
        <v>150</v>
      </c>
      <c r="F217" s="70"/>
      <c r="G217" s="70"/>
      <c r="H217" s="70">
        <v>150</v>
      </c>
      <c r="I217" s="49"/>
      <c r="J217" s="49"/>
      <c r="K217" s="49"/>
    </row>
    <row r="218" spans="1:11" ht="12.75">
      <c r="A218" s="51" t="s">
        <v>253</v>
      </c>
      <c r="B218" s="44" t="str">
        <f>IF(B216&gt;B217,"Yes","No")</f>
        <v>Yes</v>
      </c>
      <c r="C218" s="44" t="str">
        <f>IF(C216&gt;C217,"Yes","No")</f>
        <v>Yes</v>
      </c>
      <c r="D218" s="44" t="str">
        <f>IF(D216&gt;D217,"Yes","No")</f>
        <v>Yes</v>
      </c>
      <c r="E218" s="45" t="str">
        <f>IF(E216&gt;E217,"Yes","No")</f>
        <v>No</v>
      </c>
      <c r="F218" s="44"/>
      <c r="G218" s="44"/>
      <c r="H218" s="44" t="str">
        <f>IF(H216&gt;H217,"Yes","No")</f>
        <v>Yes</v>
      </c>
      <c r="I218" s="49"/>
      <c r="J218" s="49"/>
      <c r="K218" s="49"/>
    </row>
    <row r="219" spans="1:11" ht="12.75">
      <c r="A219" s="39" t="s">
        <v>132</v>
      </c>
      <c r="I219" s="49"/>
      <c r="J219" s="49"/>
      <c r="K219" s="49"/>
    </row>
    <row r="220" spans="1:11" ht="13.5">
      <c r="A220" s="62" t="s">
        <v>298</v>
      </c>
      <c r="B220" s="48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 ht="13.5">
      <c r="A221" s="62" t="s">
        <v>366</v>
      </c>
      <c r="B221" s="48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 ht="12.75">
      <c r="A222" s="29"/>
      <c r="B222" s="48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 ht="12.75">
      <c r="A223" s="29"/>
      <c r="B223" s="48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1:11" ht="12.75">
      <c r="A224" s="86" t="s">
        <v>341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</row>
    <row r="225" spans="1:11" ht="12.75">
      <c r="A225" s="85" t="s">
        <v>355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1:28" ht="39">
      <c r="A226" s="27" t="s">
        <v>87</v>
      </c>
      <c r="B226" s="2" t="s">
        <v>101</v>
      </c>
      <c r="C226" s="3" t="s">
        <v>39</v>
      </c>
      <c r="D226" s="3" t="s">
        <v>126</v>
      </c>
      <c r="E226" s="3" t="s">
        <v>37</v>
      </c>
      <c r="F226" s="3" t="s">
        <v>38</v>
      </c>
      <c r="G226" s="3" t="s">
        <v>40</v>
      </c>
      <c r="H226" s="3" t="s">
        <v>41</v>
      </c>
      <c r="I226" s="3" t="s">
        <v>42</v>
      </c>
      <c r="J226" s="2" t="s">
        <v>35</v>
      </c>
      <c r="K226" s="19" t="s">
        <v>36</v>
      </c>
      <c r="L226" s="81"/>
      <c r="M226" s="77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1:28" ht="12.75">
      <c r="A227" s="5" t="str">
        <f>TankDemolitionHGS!A$1</f>
        <v>HGS Tank Demolition</v>
      </c>
      <c r="B227" s="74" t="s">
        <v>111</v>
      </c>
      <c r="C227" s="42">
        <f>TankDemolitionHGS!B$133</f>
        <v>131.8359452275132</v>
      </c>
      <c r="D227" s="42">
        <f>TankDemolitionHGS!C$133</f>
        <v>49.791473194309916</v>
      </c>
      <c r="E227" s="42">
        <f>TankDemolitionHGS!D$133</f>
        <v>226.17787286631395</v>
      </c>
      <c r="F227" s="42">
        <f>TankDemolitionHGS!E$133</f>
        <v>19.3039088</v>
      </c>
      <c r="G227" s="42">
        <f>TankDemolitionHGS!F$133</f>
        <v>13.23729053121693</v>
      </c>
      <c r="H227" s="42">
        <f>TankDemolitionHGS!G$133</f>
        <v>13.408175954318745</v>
      </c>
      <c r="I227" s="42">
        <f>TankDemolitionHGS!H$133</f>
        <v>26.626749554318742</v>
      </c>
      <c r="J227" s="69">
        <v>1</v>
      </c>
      <c r="K227" s="83">
        <v>10</v>
      </c>
      <c r="L227" s="82"/>
      <c r="M227" s="7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1:28" ht="12.75">
      <c r="A228" s="56"/>
      <c r="B228" s="74" t="s">
        <v>112</v>
      </c>
      <c r="C228" s="42">
        <f>TankDemolitionHGS!B$142</f>
        <v>30.625044091710755</v>
      </c>
      <c r="D228" s="42">
        <f>TankDemolitionHGS!C$142</f>
        <v>4.474426807760141</v>
      </c>
      <c r="E228" s="42">
        <f>TankDemolitionHGS!D$142</f>
        <v>22.32768959435626</v>
      </c>
      <c r="F228" s="42">
        <f>TankDemolitionHGS!E$142</f>
        <v>0</v>
      </c>
      <c r="G228" s="42">
        <f>TankDemolitionHGS!F$142</f>
        <v>1.3527336860670194</v>
      </c>
      <c r="H228" s="42">
        <f>TankDemolitionHGS!G$142</f>
        <v>69.80746944161801</v>
      </c>
      <c r="I228" s="42">
        <f>TankDemolitionHGS!H$142</f>
        <v>71.16020312768504</v>
      </c>
      <c r="J228" s="69">
        <v>1</v>
      </c>
      <c r="K228" s="83">
        <v>10</v>
      </c>
      <c r="L228" s="82"/>
      <c r="M228" s="7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</row>
    <row r="229" spans="1:28" ht="12.75">
      <c r="A229" s="5" t="str">
        <f>BackfillHGS!A$1</f>
        <v>HGS Backfill</v>
      </c>
      <c r="B229" s="74" t="s">
        <v>111</v>
      </c>
      <c r="C229" s="42">
        <f>BackfillHGS!B$105</f>
        <v>151.92707132275132</v>
      </c>
      <c r="D229" s="42">
        <f>BackfillHGS!C$105</f>
        <v>31.011413587301586</v>
      </c>
      <c r="E229" s="42">
        <f>BackfillHGS!D$105</f>
        <v>287.8309192663139</v>
      </c>
      <c r="F229" s="42">
        <f>BackfillHGS!E$105</f>
        <v>25.889248000000002</v>
      </c>
      <c r="G229" s="42">
        <f>BackfillHGS!F$105</f>
        <v>13.988984874779542</v>
      </c>
      <c r="H229" s="42">
        <f>BackfillHGS!G$105</f>
        <v>78.25082509919768</v>
      </c>
      <c r="I229" s="42">
        <f>BackfillHGS!H$105</f>
        <v>92.15669709919769</v>
      </c>
      <c r="J229" s="69">
        <v>11</v>
      </c>
      <c r="K229" s="83">
        <v>20</v>
      </c>
      <c r="L229" s="82"/>
      <c r="M229" s="7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1:28" ht="12.75">
      <c r="A230" s="56"/>
      <c r="B230" s="74" t="s">
        <v>112</v>
      </c>
      <c r="C230" s="42">
        <f>BackfillHGS!B$114</f>
        <v>48.84303350970018</v>
      </c>
      <c r="D230" s="42">
        <f>BackfillHGS!C$114</f>
        <v>7.290564373897706</v>
      </c>
      <c r="E230" s="42">
        <f>BackfillHGS!D$114</f>
        <v>41.48456790123456</v>
      </c>
      <c r="F230" s="42">
        <f>BackfillHGS!E$114</f>
        <v>0</v>
      </c>
      <c r="G230" s="42">
        <f>BackfillHGS!F$114</f>
        <v>2.6014109347442678</v>
      </c>
      <c r="H230" s="42">
        <f>BackfillHGS!G$114</f>
        <v>133.21478813012914</v>
      </c>
      <c r="I230" s="42">
        <f>BackfillHGS!H$114</f>
        <v>135.8161990648734</v>
      </c>
      <c r="J230" s="69">
        <v>11</v>
      </c>
      <c r="K230" s="83">
        <v>20</v>
      </c>
      <c r="L230" s="82"/>
      <c r="M230" s="7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1:28" ht="12.75">
      <c r="A231" s="5" t="str">
        <f>GradingHGS!A$1</f>
        <v>HGS Grading</v>
      </c>
      <c r="B231" s="74" t="s">
        <v>111</v>
      </c>
      <c r="C231" s="42">
        <f>GradingHGS!B$105</f>
        <v>52.030312380952374</v>
      </c>
      <c r="D231" s="42">
        <f>GradingHGS!C$105</f>
        <v>9.877420070546737</v>
      </c>
      <c r="E231" s="42">
        <f>GradingHGS!D$105</f>
        <v>74.90027946384481</v>
      </c>
      <c r="F231" s="42">
        <f>GradingHGS!E$105</f>
        <v>6.58236</v>
      </c>
      <c r="G231" s="42">
        <f>GradingHGS!F$105</f>
        <v>4.253331880070546</v>
      </c>
      <c r="H231" s="42">
        <f>GradingHGS!G$105</f>
        <v>2.285108684761634</v>
      </c>
      <c r="I231" s="42">
        <f>GradingHGS!H$105</f>
        <v>6.537536684761634</v>
      </c>
      <c r="J231" s="69">
        <v>18</v>
      </c>
      <c r="K231" s="83">
        <v>20</v>
      </c>
      <c r="L231" s="82"/>
      <c r="M231" s="7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1:28" ht="12.75">
      <c r="A232" s="56"/>
      <c r="B232" s="74" t="s">
        <v>112</v>
      </c>
      <c r="C232" s="42">
        <f>GradingHGS!B$114</f>
        <v>1.4518518518518517</v>
      </c>
      <c r="D232" s="42">
        <f>GradingHGS!C$114</f>
        <v>0.1898148148148148</v>
      </c>
      <c r="E232" s="42">
        <f>GradingHGS!D$114</f>
        <v>0.20992063492063495</v>
      </c>
      <c r="F232" s="42">
        <f>GradingHGS!E$114</f>
        <v>0</v>
      </c>
      <c r="G232" s="42">
        <f>GradingHGS!F$114</f>
        <v>0</v>
      </c>
      <c r="H232" s="42">
        <f>GradingHGS!G$114</f>
        <v>0.14882767054190232</v>
      </c>
      <c r="I232" s="42">
        <f>GradingHGS!H$114</f>
        <v>0.14882767054190232</v>
      </c>
      <c r="J232" s="69">
        <v>18</v>
      </c>
      <c r="K232" s="83">
        <v>20</v>
      </c>
      <c r="L232" s="82"/>
      <c r="M232" s="7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1:28" ht="12.75">
      <c r="A233" s="5" t="str">
        <f>FoundationsHGS!A$1</f>
        <v>HGS Foundations </v>
      </c>
      <c r="B233" s="74" t="s">
        <v>111</v>
      </c>
      <c r="C233" s="42">
        <f>FoundationsHGS!B$105</f>
        <v>254.5066582010582</v>
      </c>
      <c r="D233" s="42">
        <f>FoundationsHGS!C$105</f>
        <v>22.01385734744268</v>
      </c>
      <c r="E233" s="42">
        <f>FoundationsHGS!D$105</f>
        <v>125.07183267724868</v>
      </c>
      <c r="F233" s="42">
        <f>FoundationsHGS!E$105</f>
        <v>10.182632</v>
      </c>
      <c r="G233" s="42">
        <f>FoundationsHGS!F$105</f>
        <v>7.60332728042328</v>
      </c>
      <c r="H233" s="42">
        <f>FoundationsHGS!G$105</f>
        <v>33.60603800527956</v>
      </c>
      <c r="I233" s="42">
        <f>FoundationsHGS!H$105</f>
        <v>41.166442005279556</v>
      </c>
      <c r="J233" s="69">
        <v>21</v>
      </c>
      <c r="K233" s="83">
        <v>28</v>
      </c>
      <c r="L233" s="82"/>
      <c r="M233" s="7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1:28" ht="12.75">
      <c r="A234" s="56"/>
      <c r="B234" s="74" t="s">
        <v>112</v>
      </c>
      <c r="C234" s="42">
        <f>FoundationsHGS!B$114</f>
        <v>150.0299823633157</v>
      </c>
      <c r="D234" s="42">
        <f>FoundationsHGS!C$114</f>
        <v>20.212081128747794</v>
      </c>
      <c r="E234" s="42">
        <f>FoundationsHGS!D$114</f>
        <v>44.41137566137566</v>
      </c>
      <c r="F234" s="42">
        <f>FoundationsHGS!E$114</f>
        <v>0</v>
      </c>
      <c r="G234" s="42">
        <f>FoundationsHGS!F$114</f>
        <v>1.7169312169312168</v>
      </c>
      <c r="H234" s="42">
        <f>FoundationsHGS!G$114</f>
        <v>89.41900525793463</v>
      </c>
      <c r="I234" s="42">
        <f>FoundationsHGS!H$114</f>
        <v>91.13593647486584</v>
      </c>
      <c r="J234" s="69">
        <v>21</v>
      </c>
      <c r="K234" s="83">
        <v>28</v>
      </c>
      <c r="L234" s="82"/>
      <c r="M234" s="79"/>
      <c r="N234" s="29"/>
      <c r="O234" s="23"/>
      <c r="P234" s="67"/>
      <c r="Q234" s="67"/>
      <c r="R234" s="67"/>
      <c r="S234" s="67"/>
      <c r="T234" s="67"/>
      <c r="U234" s="67"/>
      <c r="V234" s="67"/>
      <c r="W234" s="84"/>
      <c r="X234" s="84"/>
      <c r="Y234" s="29"/>
      <c r="Z234" s="29"/>
      <c r="AA234" s="29"/>
      <c r="AB234" s="29"/>
    </row>
    <row r="235" spans="1:28" ht="12.75">
      <c r="A235" s="5" t="str">
        <f>PavingHGS!A$1</f>
        <v>HGS Paving</v>
      </c>
      <c r="B235" s="74" t="s">
        <v>111</v>
      </c>
      <c r="C235" s="42">
        <f>PavingHGS!B$105</f>
        <v>47.72576888888889</v>
      </c>
      <c r="D235" s="42">
        <f>PavingHGS!C$105</f>
        <v>9.324180329169621</v>
      </c>
      <c r="E235" s="42">
        <f>PavingHGS!D$105</f>
        <v>65.41588038095237</v>
      </c>
      <c r="F235" s="42">
        <f>PavingHGS!E$105</f>
        <v>5.477168</v>
      </c>
      <c r="G235" s="42">
        <f>PavingHGS!F$105</f>
        <v>3.7180418765432095</v>
      </c>
      <c r="H235" s="42">
        <f>PavingHGS!G$105</f>
        <v>4.331297938908914</v>
      </c>
      <c r="I235" s="42">
        <f>PavingHGS!H$105</f>
        <v>8.031129938908915</v>
      </c>
      <c r="J235" s="69">
        <v>21</v>
      </c>
      <c r="K235" s="83">
        <v>28</v>
      </c>
      <c r="L235" s="82"/>
      <c r="M235" s="7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1:28" ht="12.75">
      <c r="A236" s="56"/>
      <c r="B236" s="74" t="s">
        <v>112</v>
      </c>
      <c r="C236" s="42">
        <f>PavingHGS!B$114</f>
        <v>21.385185185185186</v>
      </c>
      <c r="D236" s="42">
        <f>PavingHGS!C$114</f>
        <v>3.175925925925926</v>
      </c>
      <c r="E236" s="42">
        <f>PavingHGS!D$114</f>
        <v>17.5494708994709</v>
      </c>
      <c r="F236" s="42">
        <f>PavingHGS!E$114</f>
        <v>0</v>
      </c>
      <c r="G236" s="42">
        <f>PavingHGS!F$114</f>
        <v>1.0925925925925926</v>
      </c>
      <c r="H236" s="42">
        <f>PavingHGS!G$114</f>
        <v>49.308282218911025</v>
      </c>
      <c r="I236" s="42">
        <f>PavingHGS!H$114</f>
        <v>50.40087481150362</v>
      </c>
      <c r="J236" s="69">
        <v>21</v>
      </c>
      <c r="K236" s="83">
        <v>28</v>
      </c>
      <c r="L236" s="82"/>
      <c r="M236" s="7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1:28" ht="12.75">
      <c r="A237" s="5" t="str">
        <f>'Equipment InstallationHGS'!A$1</f>
        <v>HGS Equipment Installation</v>
      </c>
      <c r="B237" s="74" t="s">
        <v>111</v>
      </c>
      <c r="C237" s="42">
        <f>'Equipment InstallationHGS'!B$104</f>
        <v>179.9849588712522</v>
      </c>
      <c r="D237" s="42">
        <f>'Equipment InstallationHGS'!C$104</f>
        <v>73.94226249029983</v>
      </c>
      <c r="E237" s="42">
        <f>'Equipment InstallationHGS'!D$104</f>
        <v>324.49306050088177</v>
      </c>
      <c r="F237" s="42">
        <f>'Equipment InstallationHGS'!E$104</f>
        <v>25.894719999999996</v>
      </c>
      <c r="G237" s="42">
        <f>'Equipment InstallationHGS'!F$104</f>
        <v>18.57228305467372</v>
      </c>
      <c r="H237" s="42">
        <f>'Equipment InstallationHGS'!G$104</f>
        <v>15.754322812327711</v>
      </c>
      <c r="I237" s="42">
        <f>'Equipment InstallationHGS'!H$104</f>
        <v>34.31359881232771</v>
      </c>
      <c r="J237" s="69">
        <v>29</v>
      </c>
      <c r="K237" s="83">
        <v>150</v>
      </c>
      <c r="L237" s="82"/>
      <c r="M237" s="7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1:28" ht="12.75">
      <c r="A238" s="56"/>
      <c r="B238" s="74" t="s">
        <v>112</v>
      </c>
      <c r="C238" s="42">
        <f>'Equipment InstallationHGS'!B$113</f>
        <v>202.38095238095235</v>
      </c>
      <c r="D238" s="42">
        <f>'Equipment InstallationHGS'!C$113</f>
        <v>26.64021164021164</v>
      </c>
      <c r="E238" s="42">
        <f>'Equipment InstallationHGS'!D$113</f>
        <v>36.14638447971781</v>
      </c>
      <c r="F238" s="42">
        <f>'Equipment InstallationHGS'!E$113</f>
        <v>0</v>
      </c>
      <c r="G238" s="42">
        <f>'Equipment InstallationHGS'!F$113</f>
        <v>0.5202821869488536</v>
      </c>
      <c r="H238" s="42">
        <f>'Equipment InstallationHGS'!G$113</f>
        <v>43.182083156933274</v>
      </c>
      <c r="I238" s="42">
        <f>'Equipment InstallationHGS'!H$113</f>
        <v>43.70236534388213</v>
      </c>
      <c r="J238" s="69">
        <v>29</v>
      </c>
      <c r="K238" s="83">
        <v>150</v>
      </c>
      <c r="L238" s="82"/>
      <c r="M238" s="7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1:28" ht="12.75">
      <c r="A239" s="5" t="str">
        <f>SlabDemolitionSGS!A$1</f>
        <v>SGS Slab Demolition</v>
      </c>
      <c r="B239" s="74" t="s">
        <v>111</v>
      </c>
      <c r="C239" s="42">
        <f>SlabDemolitionSGS!B$105</f>
        <v>40.55226793650794</v>
      </c>
      <c r="D239" s="42">
        <f>SlabDemolitionSGS!C$105</f>
        <v>7.0275153615520285</v>
      </c>
      <c r="E239" s="42">
        <f>SlabDemolitionSGS!D$105</f>
        <v>52.16100958730159</v>
      </c>
      <c r="F239" s="42">
        <f>SlabDemolitionSGS!E$105</f>
        <v>4.695888</v>
      </c>
      <c r="G239" s="42">
        <f>SlabDemolitionSGS!F$105</f>
        <v>2.609067287477954</v>
      </c>
      <c r="H239" s="42">
        <f>SlabDemolitionSGS!G$105</f>
        <v>4.844962803306262</v>
      </c>
      <c r="I239" s="42">
        <f>SlabDemolitionSGS!H$105</f>
        <v>7.454030090784216</v>
      </c>
      <c r="J239" s="69">
        <v>1</v>
      </c>
      <c r="K239" s="83">
        <v>10</v>
      </c>
      <c r="L239" s="82"/>
      <c r="M239" s="7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1:28" ht="12.75">
      <c r="A240" s="56"/>
      <c r="B240" s="74" t="s">
        <v>112</v>
      </c>
      <c r="C240" s="42">
        <f>SlabDemolitionSGS!B$114</f>
        <v>16.500881834215168</v>
      </c>
      <c r="D240" s="42">
        <f>SlabDemolitionSGS!C$114</f>
        <v>2.446869488536155</v>
      </c>
      <c r="E240" s="42">
        <f>SlabDemolitionSGS!D$114</f>
        <v>13.401014109347441</v>
      </c>
      <c r="F240" s="42">
        <f>SlabDemolitionSGS!E$114</f>
        <v>0</v>
      </c>
      <c r="G240" s="42">
        <f>SlabDemolitionSGS!F$114</f>
        <v>0.8324514991181656</v>
      </c>
      <c r="H240" s="42">
        <f>SlabDemolitionSGS!G$114</f>
        <v>42.71802880396647</v>
      </c>
      <c r="I240" s="42">
        <f>SlabDemolitionSGS!H$114</f>
        <v>43.55048030308463</v>
      </c>
      <c r="J240" s="69">
        <v>1</v>
      </c>
      <c r="K240" s="83">
        <v>10</v>
      </c>
      <c r="L240" s="82"/>
      <c r="M240" s="7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1:28" ht="12.75">
      <c r="A241" s="5" t="str">
        <f>GradingSGS!A$1</f>
        <v>SGS Grading</v>
      </c>
      <c r="B241" s="74" t="s">
        <v>111</v>
      </c>
      <c r="C241" s="42">
        <f>GradingSGS!B$105</f>
        <v>22.042837248677248</v>
      </c>
      <c r="D241" s="42">
        <f>GradingSGS!C$105</f>
        <v>5.613023206349206</v>
      </c>
      <c r="E241" s="42">
        <f>GradingSGS!D$105</f>
        <v>40.324385855379184</v>
      </c>
      <c r="F241" s="42">
        <f>GradingSGS!E$105</f>
        <v>3.698616</v>
      </c>
      <c r="G241" s="42">
        <f>GradingSGS!F$105</f>
        <v>2.090523880070547</v>
      </c>
      <c r="H241" s="42">
        <f>GradingSGS!G$105</f>
        <v>3.0662569819582957</v>
      </c>
      <c r="I241" s="42">
        <f>GradingSGS!H$105</f>
        <v>5.155876981958295</v>
      </c>
      <c r="J241" s="69">
        <v>18</v>
      </c>
      <c r="K241" s="83">
        <v>20</v>
      </c>
      <c r="L241" s="82"/>
      <c r="M241" s="7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1:28" ht="12.75">
      <c r="A242" s="56"/>
      <c r="B242" s="74" t="s">
        <v>112</v>
      </c>
      <c r="C242" s="42">
        <f>GradingSGS!B$114</f>
        <v>1.4518518518518517</v>
      </c>
      <c r="D242" s="42">
        <f>GradingSGS!C$114</f>
        <v>0.1898148148148148</v>
      </c>
      <c r="E242" s="42">
        <f>GradingSGS!D$114</f>
        <v>0.20992063492063495</v>
      </c>
      <c r="F242" s="42">
        <f>GradingSGS!E$114</f>
        <v>0</v>
      </c>
      <c r="G242" s="42">
        <f>GradingSGS!F$114</f>
        <v>0</v>
      </c>
      <c r="H242" s="42">
        <f>GradingSGS!G$114</f>
        <v>0.14882767054190232</v>
      </c>
      <c r="I242" s="42">
        <f>GradingSGS!H$114</f>
        <v>0.14882767054190232</v>
      </c>
      <c r="J242" s="69">
        <v>18</v>
      </c>
      <c r="K242" s="83">
        <v>20</v>
      </c>
      <c r="L242" s="82"/>
      <c r="M242" s="7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1:28" ht="12.75">
      <c r="A243" s="5" t="str">
        <f>FoundationsSGS!A$1</f>
        <v>SGS Foundations </v>
      </c>
      <c r="B243" s="74" t="s">
        <v>111</v>
      </c>
      <c r="C243" s="42">
        <f>FoundationsSGS!B$104</f>
        <v>31.603055026455028</v>
      </c>
      <c r="D243" s="42">
        <f>FoundationsSGS!C$104</f>
        <v>3.0680146666666666</v>
      </c>
      <c r="E243" s="42">
        <f>FoundationsSGS!D$104</f>
        <v>19.57209743915344</v>
      </c>
      <c r="F243" s="42">
        <f>FoundationsSGS!E$104</f>
        <v>1.595012</v>
      </c>
      <c r="G243" s="42">
        <f>FoundationsSGS!F$104</f>
        <v>1.199007643738977</v>
      </c>
      <c r="H243" s="42">
        <f>FoundationsSGS!G$104</f>
        <v>4.559915707109241</v>
      </c>
      <c r="I243" s="42">
        <f>FoundationsSGS!H$104</f>
        <v>5.74851770710924</v>
      </c>
      <c r="J243" s="69">
        <v>21</v>
      </c>
      <c r="K243" s="83">
        <v>28</v>
      </c>
      <c r="L243" s="82"/>
      <c r="M243" s="7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1:28" ht="12.75">
      <c r="A244" s="56"/>
      <c r="B244" s="74" t="s">
        <v>112</v>
      </c>
      <c r="C244" s="42">
        <f>FoundationsSGS!B$113</f>
        <v>13.331922398589064</v>
      </c>
      <c r="D244" s="42">
        <f>FoundationsSGS!C$113</f>
        <v>1.8877865961199294</v>
      </c>
      <c r="E244" s="42">
        <f>FoundationsSGS!D$113</f>
        <v>7.435229276895943</v>
      </c>
      <c r="F244" s="42">
        <f>FoundationsSGS!E$113</f>
        <v>0</v>
      </c>
      <c r="G244" s="42">
        <f>FoundationsSGS!F$113</f>
        <v>0.4162257495590828</v>
      </c>
      <c r="H244" s="42">
        <f>FoundationsSGS!G$113</f>
        <v>19.315634906758614</v>
      </c>
      <c r="I244" s="42">
        <f>FoundationsSGS!H$113</f>
        <v>19.731860656317696</v>
      </c>
      <c r="J244" s="69">
        <v>21</v>
      </c>
      <c r="K244" s="83">
        <v>28</v>
      </c>
      <c r="L244" s="82"/>
      <c r="M244" s="79"/>
      <c r="N244" s="29"/>
      <c r="O244" s="23"/>
      <c r="P244" s="67"/>
      <c r="Q244" s="67"/>
      <c r="R244" s="67"/>
      <c r="S244" s="67"/>
      <c r="T244" s="67"/>
      <c r="U244" s="67"/>
      <c r="V244" s="67"/>
      <c r="W244" s="84"/>
      <c r="X244" s="84"/>
      <c r="Y244" s="29"/>
      <c r="Z244" s="29"/>
      <c r="AA244" s="29"/>
      <c r="AB244" s="29"/>
    </row>
    <row r="245" spans="1:28" ht="12.75">
      <c r="A245" s="5" t="str">
        <f>PavingSGS!A$1</f>
        <v>SGS Paving</v>
      </c>
      <c r="B245" s="74" t="s">
        <v>111</v>
      </c>
      <c r="C245" s="42">
        <f>PavingSGS!B$105</f>
        <v>16.777976296296295</v>
      </c>
      <c r="D245" s="42">
        <f>PavingSGS!C$105</f>
        <v>2.411548383425153</v>
      </c>
      <c r="E245" s="42">
        <f>PavingSGS!D$105</f>
        <v>30.5326455026455</v>
      </c>
      <c r="F245" s="42">
        <f>PavingSGS!E$105</f>
        <v>2.5934239999999997</v>
      </c>
      <c r="G245" s="42">
        <f>PavingSGS!F$105</f>
        <v>1.5448282328042324</v>
      </c>
      <c r="H245" s="42">
        <f>PavingSGS!G$105</f>
        <v>2.289915970259919</v>
      </c>
      <c r="I245" s="42">
        <f>PavingSGS!H$105</f>
        <v>3.826939970259919</v>
      </c>
      <c r="J245" s="69">
        <v>21</v>
      </c>
      <c r="K245" s="83">
        <v>28</v>
      </c>
      <c r="L245" s="82"/>
      <c r="M245" s="7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1:28" ht="12.75">
      <c r="A246" s="56"/>
      <c r="B246" s="74" t="s">
        <v>112</v>
      </c>
      <c r="C246" s="42">
        <f>PavingSGS!B$114</f>
        <v>6.732275132275133</v>
      </c>
      <c r="D246" s="42">
        <f>PavingSGS!C$114</f>
        <v>0.9887566137566136</v>
      </c>
      <c r="E246" s="42">
        <f>PavingSGS!D$114</f>
        <v>5.104100529100529</v>
      </c>
      <c r="F246" s="42">
        <f>PavingSGS!E$114</f>
        <v>0</v>
      </c>
      <c r="G246" s="42">
        <f>PavingSGS!F$114</f>
        <v>0.31216931216931215</v>
      </c>
      <c r="H246" s="42">
        <f>PavingSGS!G$114</f>
        <v>14.151863921349678</v>
      </c>
      <c r="I246" s="42">
        <f>PavingSGS!H$114</f>
        <v>14.46403323351899</v>
      </c>
      <c r="J246" s="69">
        <v>21</v>
      </c>
      <c r="K246" s="83">
        <v>28</v>
      </c>
      <c r="L246" s="82"/>
      <c r="M246" s="7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1:28" ht="12.75">
      <c r="A247" s="5" t="str">
        <f>'Equipment InstallationSGS'!A$1</f>
        <v>SGS Equipment Installation</v>
      </c>
      <c r="B247" s="74" t="s">
        <v>111</v>
      </c>
      <c r="C247" s="42">
        <f>'Equipment InstallationSGS'!B$104</f>
        <v>64.06863915343915</v>
      </c>
      <c r="D247" s="42">
        <f>'Equipment InstallationSGS'!C$104</f>
        <v>48.18472171781305</v>
      </c>
      <c r="E247" s="42">
        <f>'Equipment InstallationSGS'!D$104</f>
        <v>113.95404391534392</v>
      </c>
      <c r="F247" s="42">
        <f>'Equipment InstallationSGS'!E$104</f>
        <v>9.846864</v>
      </c>
      <c r="G247" s="42">
        <f>'Equipment InstallationSGS'!F$104</f>
        <v>6.411303760141093</v>
      </c>
      <c r="H247" s="42">
        <f>'Equipment InstallationSGS'!G$104</f>
        <v>6.107549044771484</v>
      </c>
      <c r="I247" s="42">
        <f>'Equipment InstallationSGS'!H$104</f>
        <v>12.504545044771483</v>
      </c>
      <c r="J247" s="69">
        <v>29</v>
      </c>
      <c r="K247" s="83">
        <v>150</v>
      </c>
      <c r="L247" s="82"/>
      <c r="M247" s="7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1:28" ht="12.75">
      <c r="A248" s="56"/>
      <c r="B248" s="74" t="s">
        <v>112</v>
      </c>
      <c r="C248" s="42">
        <f>'Equipment InstallationSGS'!B$113</f>
        <v>58.075837742504405</v>
      </c>
      <c r="D248" s="42">
        <f>'Equipment InstallationSGS'!C$113</f>
        <v>7.791887125220459</v>
      </c>
      <c r="E248" s="42">
        <f>'Equipment InstallationSGS'!D$113</f>
        <v>15.970017636684302</v>
      </c>
      <c r="F248" s="42">
        <f>'Equipment InstallationSGS'!E$113</f>
        <v>0</v>
      </c>
      <c r="G248" s="42">
        <f>'Equipment InstallationSGS'!F$113</f>
        <v>0.572310405643739</v>
      </c>
      <c r="H248" s="42">
        <f>'Equipment InstallationSGS'!G$113</f>
        <v>30.733155477877673</v>
      </c>
      <c r="I248" s="42">
        <f>'Equipment InstallationSGS'!H$113</f>
        <v>31.305465883521414</v>
      </c>
      <c r="J248" s="69">
        <v>29</v>
      </c>
      <c r="K248" s="83">
        <v>150</v>
      </c>
      <c r="L248" s="82"/>
      <c r="M248" s="7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1:28" ht="12.75">
      <c r="A249" s="5" t="str">
        <f>DemolitionVGS!A$1</f>
        <v>VGS Demolition</v>
      </c>
      <c r="B249" s="74" t="s">
        <v>111</v>
      </c>
      <c r="C249" s="42">
        <f>DemolitionVGSAltC!B$120</f>
        <v>55.592654024691356</v>
      </c>
      <c r="D249" s="42">
        <f>DemolitionVGSAltC!C$120</f>
        <v>8.53423457213404</v>
      </c>
      <c r="E249" s="42">
        <f>DemolitionVGSAltC!D$120</f>
        <v>84.07920185820103</v>
      </c>
      <c r="F249" s="42">
        <f>DemolitionVGSAltC!E$120</f>
        <v>7.3706624</v>
      </c>
      <c r="G249" s="42">
        <f>DemolitionVGSAltC!F$120</f>
        <v>4.609945265608465</v>
      </c>
      <c r="H249" s="42">
        <f>DemolitionVGSAltC!G$120</f>
        <v>3.8242718189817664</v>
      </c>
      <c r="I249" s="42">
        <f>DemolitionVGSAltC!H$120</f>
        <v>8.418608618981764</v>
      </c>
      <c r="J249" s="69">
        <v>1</v>
      </c>
      <c r="K249" s="83">
        <v>10</v>
      </c>
      <c r="L249" s="82"/>
      <c r="M249" s="7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1:28" ht="12.75">
      <c r="A250" s="56"/>
      <c r="B250" s="74" t="s">
        <v>112</v>
      </c>
      <c r="C250" s="42">
        <f>DemolitionVGSAltC!B$129</f>
        <v>15.57601410934744</v>
      </c>
      <c r="D250" s="42">
        <f>DemolitionVGSAltC!C$129</f>
        <v>2.2173721340388006</v>
      </c>
      <c r="E250" s="42">
        <f>DemolitionVGSAltC!D$129</f>
        <v>9.136596119929452</v>
      </c>
      <c r="F250" s="42">
        <f>DemolitionVGSAltC!E$129</f>
        <v>0</v>
      </c>
      <c r="G250" s="42">
        <f>DemolitionVGSAltC!F$129</f>
        <v>0.5202821869488536</v>
      </c>
      <c r="H250" s="42">
        <f>DemolitionVGSAltC!G$129</f>
        <v>27.23826830819344</v>
      </c>
      <c r="I250" s="42">
        <f>DemolitionVGSAltC!H$129</f>
        <v>27.758550495142295</v>
      </c>
      <c r="J250" s="69">
        <v>1</v>
      </c>
      <c r="K250" s="83">
        <v>10</v>
      </c>
      <c r="L250" s="82"/>
      <c r="M250" s="7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1:28" ht="12.75">
      <c r="A251" s="5" t="str">
        <f>GradingVGS!A$1</f>
        <v>VGS Grading</v>
      </c>
      <c r="B251" s="74" t="s">
        <v>111</v>
      </c>
      <c r="C251" s="42">
        <f>GradingVGS!B$105</f>
        <v>21.67511238095238</v>
      </c>
      <c r="D251" s="42">
        <f>GradingVGS!C$105</f>
        <v>5.551804070546737</v>
      </c>
      <c r="E251" s="42">
        <f>GradingVGS!D$105</f>
        <v>40.295351463844796</v>
      </c>
      <c r="F251" s="42">
        <f>GradingVGS!E$105</f>
        <v>3.698616</v>
      </c>
      <c r="G251" s="42">
        <f>GradingVGS!F$105</f>
        <v>2.090523880070547</v>
      </c>
      <c r="H251" s="42">
        <f>GradingVGS!G$105</f>
        <v>2.285108684761634</v>
      </c>
      <c r="I251" s="42">
        <f>GradingVGS!H$105</f>
        <v>4.374728684761634</v>
      </c>
      <c r="J251" s="69">
        <v>11</v>
      </c>
      <c r="K251" s="83">
        <v>15</v>
      </c>
      <c r="L251" s="82"/>
      <c r="M251" s="7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1:28" ht="12.75">
      <c r="A252" s="56"/>
      <c r="B252" s="74" t="s">
        <v>112</v>
      </c>
      <c r="C252" s="42">
        <f>GradingVGS!B$114</f>
        <v>1.4518518518518517</v>
      </c>
      <c r="D252" s="42">
        <f>GradingVGS!C$114</f>
        <v>0.1898148148148148</v>
      </c>
      <c r="E252" s="42">
        <f>GradingVGS!D$114</f>
        <v>0.20992063492063495</v>
      </c>
      <c r="F252" s="42">
        <f>GradingVGS!E$114</f>
        <v>0</v>
      </c>
      <c r="G252" s="42">
        <f>GradingVGS!F$114</f>
        <v>0</v>
      </c>
      <c r="H252" s="42">
        <f>GradingVGS!G$114</f>
        <v>0.14882767054190232</v>
      </c>
      <c r="I252" s="42">
        <f>GradingVGS!H$114</f>
        <v>0.14882767054190232</v>
      </c>
      <c r="J252" s="69">
        <v>11</v>
      </c>
      <c r="K252" s="83">
        <v>15</v>
      </c>
      <c r="L252" s="82"/>
      <c r="M252" s="7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1:28" ht="12.75">
      <c r="A253" s="5" t="str">
        <f>FoundationsVGS!A$1</f>
        <v>VGS Foundations </v>
      </c>
      <c r="B253" s="74" t="s">
        <v>111</v>
      </c>
      <c r="C253" s="42">
        <f>FoundationsVGS!B$105</f>
        <v>54.120073368606704</v>
      </c>
      <c r="D253" s="42">
        <f>FoundationsVGS!C$105</f>
        <v>4.807746398589066</v>
      </c>
      <c r="E253" s="42">
        <f>FoundationsVGS!D$105</f>
        <v>27.920418172839504</v>
      </c>
      <c r="F253" s="42">
        <f>FoundationsVGS!E$105</f>
        <v>2.2287760000000003</v>
      </c>
      <c r="G253" s="42">
        <f>FoundationsVGS!F$105</f>
        <v>1.6887856366843035</v>
      </c>
      <c r="H253" s="42">
        <f>FoundationsVGS!G$105</f>
        <v>7.890438895104255</v>
      </c>
      <c r="I253" s="42">
        <f>FoundationsVGS!H$105</f>
        <v>9.546706895104256</v>
      </c>
      <c r="J253" s="69">
        <v>16</v>
      </c>
      <c r="K253" s="83">
        <v>22</v>
      </c>
      <c r="L253" s="82"/>
      <c r="M253" s="7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1:28" ht="12.75">
      <c r="A254" s="56"/>
      <c r="B254" s="74" t="s">
        <v>112</v>
      </c>
      <c r="C254" s="42">
        <f>FoundationsVGS!B$114</f>
        <v>46.19929453262786</v>
      </c>
      <c r="D254" s="42">
        <f>FoundationsVGS!C$114</f>
        <v>6.492504409171076</v>
      </c>
      <c r="E254" s="42">
        <f>FoundationsVGS!D$114</f>
        <v>23.891093474426803</v>
      </c>
      <c r="F254" s="42">
        <f>FoundationsVGS!E$114</f>
        <v>0</v>
      </c>
      <c r="G254" s="42">
        <f>FoundationsVGS!F$114</f>
        <v>1.3007054673721339</v>
      </c>
      <c r="H254" s="42">
        <f>FoundationsVGS!G$114</f>
        <v>60.82644555406411</v>
      </c>
      <c r="I254" s="42">
        <f>FoundationsVGS!H$114</f>
        <v>62.12715102143624</v>
      </c>
      <c r="J254" s="69">
        <v>16</v>
      </c>
      <c r="K254" s="83">
        <v>22</v>
      </c>
      <c r="L254" s="82"/>
      <c r="M254" s="7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1:28" ht="12.75">
      <c r="A255" s="5" t="str">
        <f>PavingVGS!A$1</f>
        <v>VGS Paving</v>
      </c>
      <c r="B255" s="74" t="s">
        <v>111</v>
      </c>
      <c r="C255" s="42">
        <f>PavingVGS!B$105</f>
        <v>17.10399040564374</v>
      </c>
      <c r="D255" s="42">
        <f>PavingVGS!C$105</f>
        <v>2.90111261186567</v>
      </c>
      <c r="E255" s="42">
        <f>PavingVGS!D$105</f>
        <v>30.6152733686067</v>
      </c>
      <c r="F255" s="42">
        <f>PavingVGS!E$105</f>
        <v>2.5934239999999997</v>
      </c>
      <c r="G255" s="42">
        <f>PavingVGS!F$105</f>
        <v>1.5474296437389767</v>
      </c>
      <c r="H255" s="42">
        <f>PavingVGS!G$105</f>
        <v>2.800261462422168</v>
      </c>
      <c r="I255" s="42">
        <f>PavingVGS!H$105</f>
        <v>4.337285462422168</v>
      </c>
      <c r="J255" s="69">
        <v>21</v>
      </c>
      <c r="K255" s="83">
        <v>25</v>
      </c>
      <c r="L255" s="82"/>
      <c r="M255" s="7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1:28" ht="12.75">
      <c r="A256" s="56"/>
      <c r="B256" s="74" t="s">
        <v>112</v>
      </c>
      <c r="C256" s="42">
        <f>PavingVGS!B$114</f>
        <v>8.492416225749558</v>
      </c>
      <c r="D256" s="42">
        <f>PavingVGS!C$114</f>
        <v>1.2550705467372134</v>
      </c>
      <c r="E256" s="42">
        <f>PavingVGS!D$114</f>
        <v>6.735493827160493</v>
      </c>
      <c r="F256" s="42">
        <f>PavingVGS!E$114</f>
        <v>0</v>
      </c>
      <c r="G256" s="42">
        <f>PavingVGS!F$114</f>
        <v>0.4162257495590828</v>
      </c>
      <c r="H256" s="42">
        <f>PavingVGS!G$114</f>
        <v>18.81954267161894</v>
      </c>
      <c r="I256" s="42">
        <f>PavingVGS!H$114</f>
        <v>19.235768421178022</v>
      </c>
      <c r="J256" s="69">
        <v>21</v>
      </c>
      <c r="K256" s="83">
        <v>25</v>
      </c>
      <c r="L256" s="82"/>
      <c r="M256" s="7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1:28" ht="12.75">
      <c r="A257" s="5" t="str">
        <f>'Equipment InstallationVGS'!A$1</f>
        <v>VGS Equipment Installation</v>
      </c>
      <c r="B257" s="74" t="s">
        <v>111</v>
      </c>
      <c r="C257" s="42" t="e">
        <f>#REF!</f>
        <v>#REF!</v>
      </c>
      <c r="D257" s="42" t="e">
        <f>#REF!</f>
        <v>#REF!</v>
      </c>
      <c r="E257" s="42" t="e">
        <f>#REF!</f>
        <v>#REF!</v>
      </c>
      <c r="F257" s="42" t="e">
        <f>#REF!</f>
        <v>#REF!</v>
      </c>
      <c r="G257" s="42" t="e">
        <f>#REF!</f>
        <v>#REF!</v>
      </c>
      <c r="H257" s="42" t="e">
        <f>#REF!</f>
        <v>#REF!</v>
      </c>
      <c r="I257" s="42" t="e">
        <f>#REF!</f>
        <v>#REF!</v>
      </c>
      <c r="J257" s="69">
        <v>29</v>
      </c>
      <c r="K257" s="83">
        <v>150</v>
      </c>
      <c r="L257" s="82"/>
      <c r="M257" s="7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1:28" ht="12.75">
      <c r="A258" s="56"/>
      <c r="B258" s="74" t="s">
        <v>112</v>
      </c>
      <c r="C258" s="42" t="e">
        <f>#REF!</f>
        <v>#REF!</v>
      </c>
      <c r="D258" s="42" t="e">
        <f>#REF!</f>
        <v>#REF!</v>
      </c>
      <c r="E258" s="42" t="e">
        <f>#REF!</f>
        <v>#REF!</v>
      </c>
      <c r="F258" s="42" t="e">
        <f>#REF!</f>
        <v>#REF!</v>
      </c>
      <c r="G258" s="42" t="e">
        <f>#REF!</f>
        <v>#REF!</v>
      </c>
      <c r="H258" s="42" t="e">
        <f>#REF!</f>
        <v>#REF!</v>
      </c>
      <c r="I258" s="42" t="e">
        <f>#REF!</f>
        <v>#REF!</v>
      </c>
      <c r="J258" s="69">
        <v>29</v>
      </c>
      <c r="K258" s="83">
        <v>150</v>
      </c>
      <c r="L258" s="82"/>
      <c r="M258" s="7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1:11" ht="12.75">
      <c r="A259" s="29"/>
      <c r="B259" s="23"/>
      <c r="C259" s="67"/>
      <c r="D259" s="67"/>
      <c r="E259" s="67"/>
      <c r="F259" s="67"/>
      <c r="G259" s="67"/>
      <c r="H259" s="67"/>
      <c r="I259" s="67"/>
      <c r="J259" s="57"/>
      <c r="K259" s="57"/>
    </row>
    <row r="260" spans="1:11" ht="12.75">
      <c r="A260" s="29"/>
      <c r="B260" s="23"/>
      <c r="C260" s="67"/>
      <c r="D260" s="67"/>
      <c r="E260" s="67"/>
      <c r="F260" s="67"/>
      <c r="G260" s="67"/>
      <c r="H260" s="67"/>
      <c r="I260" s="67"/>
      <c r="J260" s="57"/>
      <c r="K260" s="57"/>
    </row>
    <row r="261" spans="1:14" ht="12.75">
      <c r="A261" s="86" t="s">
        <v>342</v>
      </c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</row>
    <row r="262" spans="1:14" ht="12.75">
      <c r="A262" s="85" t="s">
        <v>356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</row>
    <row r="263" spans="1:14" ht="12.75">
      <c r="A263" s="37" t="s">
        <v>87</v>
      </c>
      <c r="B263" s="69">
        <v>1</v>
      </c>
      <c r="C263" s="69">
        <v>10</v>
      </c>
      <c r="D263" s="69">
        <v>11</v>
      </c>
      <c r="E263" s="69">
        <v>15</v>
      </c>
      <c r="F263" s="69">
        <v>16</v>
      </c>
      <c r="G263" s="69">
        <v>18</v>
      </c>
      <c r="H263" s="69">
        <v>20</v>
      </c>
      <c r="I263" s="69">
        <v>21</v>
      </c>
      <c r="J263" s="69">
        <v>22</v>
      </c>
      <c r="K263" s="69">
        <v>25</v>
      </c>
      <c r="L263" s="69">
        <v>28</v>
      </c>
      <c r="M263" s="69">
        <v>29</v>
      </c>
      <c r="N263" s="69">
        <v>150</v>
      </c>
    </row>
    <row r="264" spans="1:14" ht="12.75">
      <c r="A264" s="4" t="str">
        <f>A227</f>
        <v>HGS Tank Demolition</v>
      </c>
      <c r="B264" s="43">
        <f aca="true" t="shared" si="92" ref="B264:N264">IF(AND(B$263&gt;=$J227,B$263&lt;=$K227),$C227+$C228,0)</f>
        <v>162.46098931922396</v>
      </c>
      <c r="C264" s="43">
        <f t="shared" si="92"/>
        <v>162.46098931922396</v>
      </c>
      <c r="D264" s="43">
        <f t="shared" si="92"/>
        <v>0</v>
      </c>
      <c r="E264" s="43">
        <f t="shared" si="92"/>
        <v>0</v>
      </c>
      <c r="F264" s="43">
        <f t="shared" si="92"/>
        <v>0</v>
      </c>
      <c r="G264" s="43">
        <f t="shared" si="92"/>
        <v>0</v>
      </c>
      <c r="H264" s="43">
        <f t="shared" si="92"/>
        <v>0</v>
      </c>
      <c r="I264" s="43">
        <f t="shared" si="92"/>
        <v>0</v>
      </c>
      <c r="J264" s="43">
        <f t="shared" si="92"/>
        <v>0</v>
      </c>
      <c r="K264" s="43">
        <f t="shared" si="92"/>
        <v>0</v>
      </c>
      <c r="L264" s="43">
        <f t="shared" si="92"/>
        <v>0</v>
      </c>
      <c r="M264" s="43">
        <f t="shared" si="92"/>
        <v>0</v>
      </c>
      <c r="N264" s="43">
        <f t="shared" si="92"/>
        <v>0</v>
      </c>
    </row>
    <row r="265" spans="1:14" ht="12.75">
      <c r="A265" s="4" t="str">
        <f>A229</f>
        <v>HGS Backfill</v>
      </c>
      <c r="B265" s="43">
        <f aca="true" t="shared" si="93" ref="B265:N265">IF(AND(B$263&gt;=$J229,B$263&lt;=$K229),$C229+$C230,0)</f>
        <v>0</v>
      </c>
      <c r="C265" s="43">
        <f t="shared" si="93"/>
        <v>0</v>
      </c>
      <c r="D265" s="43">
        <f t="shared" si="93"/>
        <v>200.7701048324515</v>
      </c>
      <c r="E265" s="43">
        <f t="shared" si="93"/>
        <v>200.7701048324515</v>
      </c>
      <c r="F265" s="43">
        <f t="shared" si="93"/>
        <v>200.7701048324515</v>
      </c>
      <c r="G265" s="43">
        <f t="shared" si="93"/>
        <v>200.7701048324515</v>
      </c>
      <c r="H265" s="43">
        <f t="shared" si="93"/>
        <v>200.7701048324515</v>
      </c>
      <c r="I265" s="43">
        <f t="shared" si="93"/>
        <v>0</v>
      </c>
      <c r="J265" s="43">
        <f t="shared" si="93"/>
        <v>0</v>
      </c>
      <c r="K265" s="43">
        <f t="shared" si="93"/>
        <v>0</v>
      </c>
      <c r="L265" s="43">
        <f t="shared" si="93"/>
        <v>0</v>
      </c>
      <c r="M265" s="43">
        <f t="shared" si="93"/>
        <v>0</v>
      </c>
      <c r="N265" s="43">
        <f t="shared" si="93"/>
        <v>0</v>
      </c>
    </row>
    <row r="266" spans="1:14" ht="12.75">
      <c r="A266" s="4" t="str">
        <f>A231</f>
        <v>HGS Grading</v>
      </c>
      <c r="B266" s="43">
        <f aca="true" t="shared" si="94" ref="B266:N266">IF(AND(B$263&gt;=$J231,B$263&lt;=$K231),$C231+$C232,0)</f>
        <v>0</v>
      </c>
      <c r="C266" s="43">
        <f t="shared" si="94"/>
        <v>0</v>
      </c>
      <c r="D266" s="43">
        <f t="shared" si="94"/>
        <v>0</v>
      </c>
      <c r="E266" s="43">
        <f t="shared" si="94"/>
        <v>0</v>
      </c>
      <c r="F266" s="43">
        <f t="shared" si="94"/>
        <v>0</v>
      </c>
      <c r="G266" s="43">
        <f t="shared" si="94"/>
        <v>53.48216423280422</v>
      </c>
      <c r="H266" s="43">
        <f t="shared" si="94"/>
        <v>53.48216423280422</v>
      </c>
      <c r="I266" s="43">
        <f t="shared" si="94"/>
        <v>0</v>
      </c>
      <c r="J266" s="43">
        <f t="shared" si="94"/>
        <v>0</v>
      </c>
      <c r="K266" s="43">
        <f t="shared" si="94"/>
        <v>0</v>
      </c>
      <c r="L266" s="43">
        <f t="shared" si="94"/>
        <v>0</v>
      </c>
      <c r="M266" s="43">
        <f t="shared" si="94"/>
        <v>0</v>
      </c>
      <c r="N266" s="43">
        <f t="shared" si="94"/>
        <v>0</v>
      </c>
    </row>
    <row r="267" spans="1:14" ht="12.75">
      <c r="A267" s="4" t="str">
        <f>A233</f>
        <v>HGS Foundations </v>
      </c>
      <c r="B267" s="43">
        <f aca="true" t="shared" si="95" ref="B267:N267">IF(AND(B$263&gt;=$J233,B$263&lt;=$K233),$C233+$C234,0)</f>
        <v>0</v>
      </c>
      <c r="C267" s="43">
        <f t="shared" si="95"/>
        <v>0</v>
      </c>
      <c r="D267" s="43">
        <f t="shared" si="95"/>
        <v>0</v>
      </c>
      <c r="E267" s="43">
        <f t="shared" si="95"/>
        <v>0</v>
      </c>
      <c r="F267" s="43">
        <f t="shared" si="95"/>
        <v>0</v>
      </c>
      <c r="G267" s="43">
        <f t="shared" si="95"/>
        <v>0</v>
      </c>
      <c r="H267" s="43">
        <f t="shared" si="95"/>
        <v>0</v>
      </c>
      <c r="I267" s="43">
        <f t="shared" si="95"/>
        <v>404.5366405643739</v>
      </c>
      <c r="J267" s="43">
        <f t="shared" si="95"/>
        <v>404.5366405643739</v>
      </c>
      <c r="K267" s="43">
        <f t="shared" si="95"/>
        <v>404.5366405643739</v>
      </c>
      <c r="L267" s="43">
        <f t="shared" si="95"/>
        <v>404.5366405643739</v>
      </c>
      <c r="M267" s="43">
        <f t="shared" si="95"/>
        <v>0</v>
      </c>
      <c r="N267" s="43">
        <f t="shared" si="95"/>
        <v>0</v>
      </c>
    </row>
    <row r="268" spans="1:14" ht="12.75">
      <c r="A268" s="4" t="str">
        <f>A235</f>
        <v>HGS Paving</v>
      </c>
      <c r="B268" s="43">
        <f aca="true" t="shared" si="96" ref="B268:N268">IF(AND(B$263&gt;=$J235,B$263&lt;=$K235),$C235+$C236,0)</f>
        <v>0</v>
      </c>
      <c r="C268" s="43">
        <f t="shared" si="96"/>
        <v>0</v>
      </c>
      <c r="D268" s="43">
        <f t="shared" si="96"/>
        <v>0</v>
      </c>
      <c r="E268" s="43">
        <f t="shared" si="96"/>
        <v>0</v>
      </c>
      <c r="F268" s="43">
        <f t="shared" si="96"/>
        <v>0</v>
      </c>
      <c r="G268" s="43">
        <f t="shared" si="96"/>
        <v>0</v>
      </c>
      <c r="H268" s="43">
        <f t="shared" si="96"/>
        <v>0</v>
      </c>
      <c r="I268" s="43">
        <f t="shared" si="96"/>
        <v>69.11095407407407</v>
      </c>
      <c r="J268" s="43">
        <f t="shared" si="96"/>
        <v>69.11095407407407</v>
      </c>
      <c r="K268" s="43">
        <f t="shared" si="96"/>
        <v>69.11095407407407</v>
      </c>
      <c r="L268" s="43">
        <f t="shared" si="96"/>
        <v>69.11095407407407</v>
      </c>
      <c r="M268" s="43">
        <f t="shared" si="96"/>
        <v>0</v>
      </c>
      <c r="N268" s="43">
        <f t="shared" si="96"/>
        <v>0</v>
      </c>
    </row>
    <row r="269" spans="1:14" ht="12.75">
      <c r="A269" s="4" t="str">
        <f>A237</f>
        <v>HGS Equipment Installation</v>
      </c>
      <c r="B269" s="43">
        <f aca="true" t="shared" si="97" ref="B269:N269">IF(AND(B$263&gt;=$J237,B$263&lt;=$K237),$C237+$C238,0)</f>
        <v>0</v>
      </c>
      <c r="C269" s="43">
        <f t="shared" si="97"/>
        <v>0</v>
      </c>
      <c r="D269" s="43">
        <f t="shared" si="97"/>
        <v>0</v>
      </c>
      <c r="E269" s="43">
        <f t="shared" si="97"/>
        <v>0</v>
      </c>
      <c r="F269" s="43">
        <f t="shared" si="97"/>
        <v>0</v>
      </c>
      <c r="G269" s="43">
        <f t="shared" si="97"/>
        <v>0</v>
      </c>
      <c r="H269" s="43">
        <f t="shared" si="97"/>
        <v>0</v>
      </c>
      <c r="I269" s="43">
        <f t="shared" si="97"/>
        <v>0</v>
      </c>
      <c r="J269" s="43">
        <f t="shared" si="97"/>
        <v>0</v>
      </c>
      <c r="K269" s="43">
        <f t="shared" si="97"/>
        <v>0</v>
      </c>
      <c r="L269" s="43">
        <f t="shared" si="97"/>
        <v>0</v>
      </c>
      <c r="M269" s="43">
        <f t="shared" si="97"/>
        <v>382.36591125220457</v>
      </c>
      <c r="N269" s="43">
        <f t="shared" si="97"/>
        <v>382.36591125220457</v>
      </c>
    </row>
    <row r="270" spans="1:14" ht="12.75">
      <c r="A270" s="4" t="str">
        <f>A239</f>
        <v>SGS Slab Demolition</v>
      </c>
      <c r="B270" s="43">
        <f aca="true" t="shared" si="98" ref="B270:N270">IF(AND(B$263&gt;=$J239,B$263&lt;=$K239),$C239+$C240,0)</f>
        <v>57.05314977072311</v>
      </c>
      <c r="C270" s="43">
        <f t="shared" si="98"/>
        <v>57.05314977072311</v>
      </c>
      <c r="D270" s="43">
        <f t="shared" si="98"/>
        <v>0</v>
      </c>
      <c r="E270" s="43">
        <f t="shared" si="98"/>
        <v>0</v>
      </c>
      <c r="F270" s="43">
        <f t="shared" si="98"/>
        <v>0</v>
      </c>
      <c r="G270" s="43">
        <f t="shared" si="98"/>
        <v>0</v>
      </c>
      <c r="H270" s="43">
        <f t="shared" si="98"/>
        <v>0</v>
      </c>
      <c r="I270" s="43">
        <f t="shared" si="98"/>
        <v>0</v>
      </c>
      <c r="J270" s="43">
        <f t="shared" si="98"/>
        <v>0</v>
      </c>
      <c r="K270" s="43">
        <f t="shared" si="98"/>
        <v>0</v>
      </c>
      <c r="L270" s="43">
        <f t="shared" si="98"/>
        <v>0</v>
      </c>
      <c r="M270" s="43">
        <f t="shared" si="98"/>
        <v>0</v>
      </c>
      <c r="N270" s="43">
        <f t="shared" si="98"/>
        <v>0</v>
      </c>
    </row>
    <row r="271" spans="1:14" ht="12.75">
      <c r="A271" s="4" t="str">
        <f>A241</f>
        <v>SGS Grading</v>
      </c>
      <c r="B271" s="43">
        <f aca="true" t="shared" si="99" ref="B271:N271">IF(AND(B$263&gt;=$J241,B$263&lt;=$K241),$C241+$C242,0)</f>
        <v>0</v>
      </c>
      <c r="C271" s="43">
        <f t="shared" si="99"/>
        <v>0</v>
      </c>
      <c r="D271" s="43">
        <f t="shared" si="99"/>
        <v>0</v>
      </c>
      <c r="E271" s="43">
        <f t="shared" si="99"/>
        <v>0</v>
      </c>
      <c r="F271" s="43">
        <f t="shared" si="99"/>
        <v>0</v>
      </c>
      <c r="G271" s="43">
        <f t="shared" si="99"/>
        <v>23.4946891005291</v>
      </c>
      <c r="H271" s="43">
        <f t="shared" si="99"/>
        <v>23.4946891005291</v>
      </c>
      <c r="I271" s="43">
        <f t="shared" si="99"/>
        <v>0</v>
      </c>
      <c r="J271" s="43">
        <f t="shared" si="99"/>
        <v>0</v>
      </c>
      <c r="K271" s="43">
        <f t="shared" si="99"/>
        <v>0</v>
      </c>
      <c r="L271" s="43">
        <f t="shared" si="99"/>
        <v>0</v>
      </c>
      <c r="M271" s="43">
        <f t="shared" si="99"/>
        <v>0</v>
      </c>
      <c r="N271" s="43">
        <f t="shared" si="99"/>
        <v>0</v>
      </c>
    </row>
    <row r="272" spans="1:14" ht="12.75">
      <c r="A272" s="4" t="str">
        <f>A243</f>
        <v>SGS Foundations </v>
      </c>
      <c r="B272" s="43">
        <f aca="true" t="shared" si="100" ref="B272:N272">IF(AND(B$263&gt;=$J243,B$263&lt;=$K243),$C243+$C244,0)</f>
        <v>0</v>
      </c>
      <c r="C272" s="43">
        <f t="shared" si="100"/>
        <v>0</v>
      </c>
      <c r="D272" s="43">
        <f t="shared" si="100"/>
        <v>0</v>
      </c>
      <c r="E272" s="43">
        <f t="shared" si="100"/>
        <v>0</v>
      </c>
      <c r="F272" s="43">
        <f t="shared" si="100"/>
        <v>0</v>
      </c>
      <c r="G272" s="43">
        <f t="shared" si="100"/>
        <v>0</v>
      </c>
      <c r="H272" s="43">
        <f t="shared" si="100"/>
        <v>0</v>
      </c>
      <c r="I272" s="43">
        <f t="shared" si="100"/>
        <v>44.934977425044096</v>
      </c>
      <c r="J272" s="43">
        <f t="shared" si="100"/>
        <v>44.934977425044096</v>
      </c>
      <c r="K272" s="43">
        <f t="shared" si="100"/>
        <v>44.934977425044096</v>
      </c>
      <c r="L272" s="43">
        <f t="shared" si="100"/>
        <v>44.934977425044096</v>
      </c>
      <c r="M272" s="43">
        <f t="shared" si="100"/>
        <v>0</v>
      </c>
      <c r="N272" s="43">
        <f t="shared" si="100"/>
        <v>0</v>
      </c>
    </row>
    <row r="273" spans="1:14" ht="12.75">
      <c r="A273" s="4" t="str">
        <f>A245</f>
        <v>SGS Paving</v>
      </c>
      <c r="B273" s="43">
        <f aca="true" t="shared" si="101" ref="B273:N273">IF(AND(B$263&gt;=$J245,B$263&lt;=$K245),$C245+$C246,0)</f>
        <v>0</v>
      </c>
      <c r="C273" s="43">
        <f t="shared" si="101"/>
        <v>0</v>
      </c>
      <c r="D273" s="43">
        <f t="shared" si="101"/>
        <v>0</v>
      </c>
      <c r="E273" s="43">
        <f t="shared" si="101"/>
        <v>0</v>
      </c>
      <c r="F273" s="43">
        <f t="shared" si="101"/>
        <v>0</v>
      </c>
      <c r="G273" s="43">
        <f t="shared" si="101"/>
        <v>0</v>
      </c>
      <c r="H273" s="43">
        <f t="shared" si="101"/>
        <v>0</v>
      </c>
      <c r="I273" s="43">
        <f t="shared" si="101"/>
        <v>23.51025142857143</v>
      </c>
      <c r="J273" s="43">
        <f t="shared" si="101"/>
        <v>23.51025142857143</v>
      </c>
      <c r="K273" s="43">
        <f t="shared" si="101"/>
        <v>23.51025142857143</v>
      </c>
      <c r="L273" s="43">
        <f t="shared" si="101"/>
        <v>23.51025142857143</v>
      </c>
      <c r="M273" s="43">
        <f t="shared" si="101"/>
        <v>0</v>
      </c>
      <c r="N273" s="43">
        <f t="shared" si="101"/>
        <v>0</v>
      </c>
    </row>
    <row r="274" spans="1:14" ht="12.75">
      <c r="A274" s="4" t="str">
        <f>A247</f>
        <v>SGS Equipment Installation</v>
      </c>
      <c r="B274" s="43">
        <f aca="true" t="shared" si="102" ref="B274:N274">IF(AND(B$263&gt;=$J247,B$263&lt;=$K247),$C247+$C248,0)</f>
        <v>0</v>
      </c>
      <c r="C274" s="43">
        <f t="shared" si="102"/>
        <v>0</v>
      </c>
      <c r="D274" s="43">
        <f t="shared" si="102"/>
        <v>0</v>
      </c>
      <c r="E274" s="43">
        <f t="shared" si="102"/>
        <v>0</v>
      </c>
      <c r="F274" s="43">
        <f t="shared" si="102"/>
        <v>0</v>
      </c>
      <c r="G274" s="43">
        <f t="shared" si="102"/>
        <v>0</v>
      </c>
      <c r="H274" s="43">
        <f t="shared" si="102"/>
        <v>0</v>
      </c>
      <c r="I274" s="43">
        <f t="shared" si="102"/>
        <v>0</v>
      </c>
      <c r="J274" s="43">
        <f t="shared" si="102"/>
        <v>0</v>
      </c>
      <c r="K274" s="43">
        <f t="shared" si="102"/>
        <v>0</v>
      </c>
      <c r="L274" s="43">
        <f t="shared" si="102"/>
        <v>0</v>
      </c>
      <c r="M274" s="43">
        <f t="shared" si="102"/>
        <v>122.14447689594355</v>
      </c>
      <c r="N274" s="43">
        <f t="shared" si="102"/>
        <v>122.14447689594355</v>
      </c>
    </row>
    <row r="275" spans="1:14" ht="12.75">
      <c r="A275" s="4" t="str">
        <f>A249</f>
        <v>VGS Demolition</v>
      </c>
      <c r="B275" s="43">
        <f aca="true" t="shared" si="103" ref="B275:N275">IF(AND(B$263&gt;=$J249,B$263&lt;=$K249),$C249+$C250,0)</f>
        <v>71.1686681340388</v>
      </c>
      <c r="C275" s="43">
        <f t="shared" si="103"/>
        <v>71.1686681340388</v>
      </c>
      <c r="D275" s="43">
        <f t="shared" si="103"/>
        <v>0</v>
      </c>
      <c r="E275" s="43">
        <f t="shared" si="103"/>
        <v>0</v>
      </c>
      <c r="F275" s="43">
        <f t="shared" si="103"/>
        <v>0</v>
      </c>
      <c r="G275" s="43">
        <f t="shared" si="103"/>
        <v>0</v>
      </c>
      <c r="H275" s="43">
        <f t="shared" si="103"/>
        <v>0</v>
      </c>
      <c r="I275" s="43">
        <f t="shared" si="103"/>
        <v>0</v>
      </c>
      <c r="J275" s="43">
        <f t="shared" si="103"/>
        <v>0</v>
      </c>
      <c r="K275" s="43">
        <f t="shared" si="103"/>
        <v>0</v>
      </c>
      <c r="L275" s="43">
        <f t="shared" si="103"/>
        <v>0</v>
      </c>
      <c r="M275" s="43">
        <f t="shared" si="103"/>
        <v>0</v>
      </c>
      <c r="N275" s="43">
        <f t="shared" si="103"/>
        <v>0</v>
      </c>
    </row>
    <row r="276" spans="1:14" ht="12.75">
      <c r="A276" s="4" t="str">
        <f>A251</f>
        <v>VGS Grading</v>
      </c>
      <c r="B276" s="43">
        <f aca="true" t="shared" si="104" ref="B276:N276">IF(AND(B$263&gt;=$J251,B$263&lt;=$K251),$C251+$C252,0)</f>
        <v>0</v>
      </c>
      <c r="C276" s="43">
        <f t="shared" si="104"/>
        <v>0</v>
      </c>
      <c r="D276" s="43">
        <f t="shared" si="104"/>
        <v>23.126964232804234</v>
      </c>
      <c r="E276" s="43">
        <f t="shared" si="104"/>
        <v>23.126964232804234</v>
      </c>
      <c r="F276" s="43">
        <f t="shared" si="104"/>
        <v>0</v>
      </c>
      <c r="G276" s="43">
        <f t="shared" si="104"/>
        <v>0</v>
      </c>
      <c r="H276" s="43">
        <f t="shared" si="104"/>
        <v>0</v>
      </c>
      <c r="I276" s="43">
        <f t="shared" si="104"/>
        <v>0</v>
      </c>
      <c r="J276" s="43">
        <f t="shared" si="104"/>
        <v>0</v>
      </c>
      <c r="K276" s="43">
        <f t="shared" si="104"/>
        <v>0</v>
      </c>
      <c r="L276" s="43">
        <f t="shared" si="104"/>
        <v>0</v>
      </c>
      <c r="M276" s="43">
        <f t="shared" si="104"/>
        <v>0</v>
      </c>
      <c r="N276" s="43">
        <f t="shared" si="104"/>
        <v>0</v>
      </c>
    </row>
    <row r="277" spans="1:14" ht="12.75">
      <c r="A277" s="4" t="str">
        <f>A253</f>
        <v>VGS Foundations </v>
      </c>
      <c r="B277" s="43">
        <f aca="true" t="shared" si="105" ref="B277:N277">IF(AND(B$263&gt;=$J253,B$263&lt;=$K253),$C253+$C254,0)</f>
        <v>0</v>
      </c>
      <c r="C277" s="43">
        <f t="shared" si="105"/>
        <v>0</v>
      </c>
      <c r="D277" s="43">
        <f t="shared" si="105"/>
        <v>0</v>
      </c>
      <c r="E277" s="43">
        <f t="shared" si="105"/>
        <v>0</v>
      </c>
      <c r="F277" s="43">
        <f t="shared" si="105"/>
        <v>100.31936790123456</v>
      </c>
      <c r="G277" s="43">
        <f t="shared" si="105"/>
        <v>100.31936790123456</v>
      </c>
      <c r="H277" s="43">
        <f t="shared" si="105"/>
        <v>100.31936790123456</v>
      </c>
      <c r="I277" s="43">
        <f t="shared" si="105"/>
        <v>100.31936790123456</v>
      </c>
      <c r="J277" s="43">
        <f t="shared" si="105"/>
        <v>100.31936790123456</v>
      </c>
      <c r="K277" s="43">
        <f t="shared" si="105"/>
        <v>0</v>
      </c>
      <c r="L277" s="43">
        <f t="shared" si="105"/>
        <v>0</v>
      </c>
      <c r="M277" s="43">
        <f t="shared" si="105"/>
        <v>0</v>
      </c>
      <c r="N277" s="43">
        <f t="shared" si="105"/>
        <v>0</v>
      </c>
    </row>
    <row r="278" spans="1:14" ht="12.75">
      <c r="A278" s="4" t="str">
        <f>A255</f>
        <v>VGS Paving</v>
      </c>
      <c r="B278" s="43">
        <f aca="true" t="shared" si="106" ref="B278:N278">IF(AND(B$263&gt;=$J255,B$263&lt;=$K255),$C255+$C256,0)</f>
        <v>0</v>
      </c>
      <c r="C278" s="43">
        <f t="shared" si="106"/>
        <v>0</v>
      </c>
      <c r="D278" s="43">
        <f t="shared" si="106"/>
        <v>0</v>
      </c>
      <c r="E278" s="43">
        <f t="shared" si="106"/>
        <v>0</v>
      </c>
      <c r="F278" s="43">
        <f t="shared" si="106"/>
        <v>0</v>
      </c>
      <c r="G278" s="43">
        <f t="shared" si="106"/>
        <v>0</v>
      </c>
      <c r="H278" s="43">
        <f t="shared" si="106"/>
        <v>0</v>
      </c>
      <c r="I278" s="43">
        <f t="shared" si="106"/>
        <v>25.596406631393297</v>
      </c>
      <c r="J278" s="43">
        <f t="shared" si="106"/>
        <v>25.596406631393297</v>
      </c>
      <c r="K278" s="43">
        <f t="shared" si="106"/>
        <v>25.596406631393297</v>
      </c>
      <c r="L278" s="43">
        <f t="shared" si="106"/>
        <v>0</v>
      </c>
      <c r="M278" s="43">
        <f t="shared" si="106"/>
        <v>0</v>
      </c>
      <c r="N278" s="43">
        <f t="shared" si="106"/>
        <v>0</v>
      </c>
    </row>
    <row r="279" spans="1:14" ht="12.75">
      <c r="A279" s="4" t="str">
        <f>A257</f>
        <v>VGS Equipment Installation</v>
      </c>
      <c r="B279" s="43">
        <f aca="true" t="shared" si="107" ref="B279:N279">IF(AND(B$263&gt;=$J257,B$263&lt;=$K257),$C257+$C258,0)</f>
        <v>0</v>
      </c>
      <c r="C279" s="43">
        <f t="shared" si="107"/>
        <v>0</v>
      </c>
      <c r="D279" s="43">
        <f t="shared" si="107"/>
        <v>0</v>
      </c>
      <c r="E279" s="43">
        <f t="shared" si="107"/>
        <v>0</v>
      </c>
      <c r="F279" s="43">
        <f t="shared" si="107"/>
        <v>0</v>
      </c>
      <c r="G279" s="43">
        <f t="shared" si="107"/>
        <v>0</v>
      </c>
      <c r="H279" s="43">
        <f t="shared" si="107"/>
        <v>0</v>
      </c>
      <c r="I279" s="43">
        <f t="shared" si="107"/>
        <v>0</v>
      </c>
      <c r="J279" s="43">
        <f t="shared" si="107"/>
        <v>0</v>
      </c>
      <c r="K279" s="43">
        <f t="shared" si="107"/>
        <v>0</v>
      </c>
      <c r="L279" s="43">
        <f t="shared" si="107"/>
        <v>0</v>
      </c>
      <c r="M279" s="43" t="e">
        <f t="shared" si="107"/>
        <v>#REF!</v>
      </c>
      <c r="N279" s="43" t="e">
        <f t="shared" si="107"/>
        <v>#REF!</v>
      </c>
    </row>
    <row r="280" spans="1:14" ht="12.75">
      <c r="A280" s="15" t="s">
        <v>24</v>
      </c>
      <c r="B280" s="44">
        <f aca="true" t="shared" si="108" ref="B280:N280">SUM(B264:B279)</f>
        <v>290.68280722398583</v>
      </c>
      <c r="C280" s="44">
        <f t="shared" si="108"/>
        <v>290.68280722398583</v>
      </c>
      <c r="D280" s="44">
        <f t="shared" si="108"/>
        <v>223.89706906525572</v>
      </c>
      <c r="E280" s="44">
        <f t="shared" si="108"/>
        <v>223.89706906525572</v>
      </c>
      <c r="F280" s="44">
        <f t="shared" si="108"/>
        <v>301.0894727336861</v>
      </c>
      <c r="G280" s="44">
        <f t="shared" si="108"/>
        <v>378.06632606701936</v>
      </c>
      <c r="H280" s="44">
        <f t="shared" si="108"/>
        <v>378.06632606701936</v>
      </c>
      <c r="I280" s="44">
        <f t="shared" si="108"/>
        <v>668.0085980246914</v>
      </c>
      <c r="J280" s="44">
        <f t="shared" si="108"/>
        <v>668.0085980246914</v>
      </c>
      <c r="K280" s="44">
        <f t="shared" si="108"/>
        <v>567.6892301234568</v>
      </c>
      <c r="L280" s="44">
        <f t="shared" si="108"/>
        <v>542.0928234920635</v>
      </c>
      <c r="M280" s="44" t="e">
        <f t="shared" si="108"/>
        <v>#REF!</v>
      </c>
      <c r="N280" s="44" t="e">
        <f t="shared" si="108"/>
        <v>#REF!</v>
      </c>
    </row>
    <row r="281" spans="1:14" ht="12.75">
      <c r="A281" s="39" t="s">
        <v>132</v>
      </c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47"/>
      <c r="M281" s="47"/>
      <c r="N281" s="47"/>
    </row>
    <row r="282" spans="1:14" ht="12.75">
      <c r="A282" s="62" t="s">
        <v>276</v>
      </c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7"/>
      <c r="M282" s="47"/>
      <c r="N282" s="47"/>
    </row>
    <row r="283" spans="1:11" ht="12.75">
      <c r="A283" s="29"/>
      <c r="B283" s="48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1:11" ht="12.75">
      <c r="A284" s="29"/>
      <c r="B284" s="48"/>
      <c r="C284" s="49"/>
      <c r="D284" s="49"/>
      <c r="E284" s="49"/>
      <c r="F284" s="49"/>
      <c r="G284" s="49"/>
      <c r="H284" s="49"/>
      <c r="I284" s="49"/>
      <c r="J284" s="49"/>
      <c r="K284" s="49"/>
    </row>
    <row r="285" spans="1:14" ht="12.75">
      <c r="A285" s="86" t="s">
        <v>343</v>
      </c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</row>
    <row r="286" spans="1:14" ht="12.75">
      <c r="A286" s="85" t="s">
        <v>357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</row>
    <row r="287" spans="1:14" ht="12.75">
      <c r="A287" s="37" t="s">
        <v>87</v>
      </c>
      <c r="B287" s="69">
        <v>1</v>
      </c>
      <c r="C287" s="69">
        <v>10</v>
      </c>
      <c r="D287" s="69">
        <v>11</v>
      </c>
      <c r="E287" s="69">
        <v>15</v>
      </c>
      <c r="F287" s="69">
        <v>16</v>
      </c>
      <c r="G287" s="69">
        <v>18</v>
      </c>
      <c r="H287" s="69">
        <v>20</v>
      </c>
      <c r="I287" s="69">
        <v>21</v>
      </c>
      <c r="J287" s="69">
        <v>22</v>
      </c>
      <c r="K287" s="69">
        <v>25</v>
      </c>
      <c r="L287" s="69">
        <v>28</v>
      </c>
      <c r="M287" s="69">
        <v>29</v>
      </c>
      <c r="N287" s="69">
        <v>150</v>
      </c>
    </row>
    <row r="288" spans="1:14" ht="12.75">
      <c r="A288" s="4" t="str">
        <f>A227</f>
        <v>HGS Tank Demolition</v>
      </c>
      <c r="B288" s="43">
        <f aca="true" t="shared" si="109" ref="B288:N288">IF(AND(B$287&gt;=$J227,B$287&lt;=$K227),$D227+$D228,0)</f>
        <v>54.265900002070055</v>
      </c>
      <c r="C288" s="43">
        <f t="shared" si="109"/>
        <v>54.265900002070055</v>
      </c>
      <c r="D288" s="43">
        <f t="shared" si="109"/>
        <v>0</v>
      </c>
      <c r="E288" s="43">
        <f t="shared" si="109"/>
        <v>0</v>
      </c>
      <c r="F288" s="43">
        <f t="shared" si="109"/>
        <v>0</v>
      </c>
      <c r="G288" s="43">
        <f t="shared" si="109"/>
        <v>0</v>
      </c>
      <c r="H288" s="43">
        <f t="shared" si="109"/>
        <v>0</v>
      </c>
      <c r="I288" s="43">
        <f t="shared" si="109"/>
        <v>0</v>
      </c>
      <c r="J288" s="43">
        <f t="shared" si="109"/>
        <v>0</v>
      </c>
      <c r="K288" s="43">
        <f t="shared" si="109"/>
        <v>0</v>
      </c>
      <c r="L288" s="43">
        <f t="shared" si="109"/>
        <v>0</v>
      </c>
      <c r="M288" s="43">
        <f t="shared" si="109"/>
        <v>0</v>
      </c>
      <c r="N288" s="43">
        <f t="shared" si="109"/>
        <v>0</v>
      </c>
    </row>
    <row r="289" spans="1:14" ht="12.75">
      <c r="A289" s="4" t="str">
        <f>A229</f>
        <v>HGS Backfill</v>
      </c>
      <c r="B289" s="43">
        <f aca="true" t="shared" si="110" ref="B289:N289">IF(AND(B$287&gt;=$J229,B$287&lt;=$K229),$D229+$D230,0)</f>
        <v>0</v>
      </c>
      <c r="C289" s="43">
        <f t="shared" si="110"/>
        <v>0</v>
      </c>
      <c r="D289" s="43">
        <f t="shared" si="110"/>
        <v>38.30197796119929</v>
      </c>
      <c r="E289" s="43">
        <f t="shared" si="110"/>
        <v>38.30197796119929</v>
      </c>
      <c r="F289" s="43">
        <f t="shared" si="110"/>
        <v>38.30197796119929</v>
      </c>
      <c r="G289" s="43">
        <f t="shared" si="110"/>
        <v>38.30197796119929</v>
      </c>
      <c r="H289" s="43">
        <f t="shared" si="110"/>
        <v>38.30197796119929</v>
      </c>
      <c r="I289" s="43">
        <f t="shared" si="110"/>
        <v>0</v>
      </c>
      <c r="J289" s="43">
        <f t="shared" si="110"/>
        <v>0</v>
      </c>
      <c r="K289" s="43">
        <f t="shared" si="110"/>
        <v>0</v>
      </c>
      <c r="L289" s="43">
        <f t="shared" si="110"/>
        <v>0</v>
      </c>
      <c r="M289" s="43">
        <f t="shared" si="110"/>
        <v>0</v>
      </c>
      <c r="N289" s="43">
        <f t="shared" si="110"/>
        <v>0</v>
      </c>
    </row>
    <row r="290" spans="1:14" ht="12.75">
      <c r="A290" s="4" t="str">
        <f>A231</f>
        <v>HGS Grading</v>
      </c>
      <c r="B290" s="43">
        <f aca="true" t="shared" si="111" ref="B290:N290">IF(AND(B$287&gt;=$J231,B$287&lt;=$K231),$D231+$D232,0)</f>
        <v>0</v>
      </c>
      <c r="C290" s="43">
        <f t="shared" si="111"/>
        <v>0</v>
      </c>
      <c r="D290" s="43">
        <f t="shared" si="111"/>
        <v>0</v>
      </c>
      <c r="E290" s="43">
        <f t="shared" si="111"/>
        <v>0</v>
      </c>
      <c r="F290" s="43">
        <f t="shared" si="111"/>
        <v>0</v>
      </c>
      <c r="G290" s="43">
        <f t="shared" si="111"/>
        <v>10.067234885361552</v>
      </c>
      <c r="H290" s="43">
        <f t="shared" si="111"/>
        <v>10.067234885361552</v>
      </c>
      <c r="I290" s="43">
        <f t="shared" si="111"/>
        <v>0</v>
      </c>
      <c r="J290" s="43">
        <f t="shared" si="111"/>
        <v>0</v>
      </c>
      <c r="K290" s="43">
        <f t="shared" si="111"/>
        <v>0</v>
      </c>
      <c r="L290" s="43">
        <f t="shared" si="111"/>
        <v>0</v>
      </c>
      <c r="M290" s="43">
        <f t="shared" si="111"/>
        <v>0</v>
      </c>
      <c r="N290" s="43">
        <f t="shared" si="111"/>
        <v>0</v>
      </c>
    </row>
    <row r="291" spans="1:14" ht="12.75">
      <c r="A291" s="4" t="str">
        <f>A233</f>
        <v>HGS Foundations </v>
      </c>
      <c r="B291" s="43">
        <f aca="true" t="shared" si="112" ref="B291:N291">IF(AND(B$287&gt;=$J233,B$287&lt;=$K233),$D233+$D234,0)</f>
        <v>0</v>
      </c>
      <c r="C291" s="43">
        <f t="shared" si="112"/>
        <v>0</v>
      </c>
      <c r="D291" s="43">
        <f t="shared" si="112"/>
        <v>0</v>
      </c>
      <c r="E291" s="43">
        <f t="shared" si="112"/>
        <v>0</v>
      </c>
      <c r="F291" s="43">
        <f t="shared" si="112"/>
        <v>0</v>
      </c>
      <c r="G291" s="43">
        <f t="shared" si="112"/>
        <v>0</v>
      </c>
      <c r="H291" s="43">
        <f t="shared" si="112"/>
        <v>0</v>
      </c>
      <c r="I291" s="43">
        <f t="shared" si="112"/>
        <v>42.22593847619048</v>
      </c>
      <c r="J291" s="43">
        <f t="shared" si="112"/>
        <v>42.22593847619048</v>
      </c>
      <c r="K291" s="43">
        <f t="shared" si="112"/>
        <v>42.22593847619048</v>
      </c>
      <c r="L291" s="43">
        <f t="shared" si="112"/>
        <v>42.22593847619048</v>
      </c>
      <c r="M291" s="43">
        <f t="shared" si="112"/>
        <v>0</v>
      </c>
      <c r="N291" s="43">
        <f t="shared" si="112"/>
        <v>0</v>
      </c>
    </row>
    <row r="292" spans="1:14" ht="12.75">
      <c r="A292" s="4" t="str">
        <f>A235</f>
        <v>HGS Paving</v>
      </c>
      <c r="B292" s="43">
        <f aca="true" t="shared" si="113" ref="B292:N292">IF(AND(B$287&gt;=$J235,B$287&lt;=$K235),$D235+$D236,0)</f>
        <v>0</v>
      </c>
      <c r="C292" s="43">
        <f t="shared" si="113"/>
        <v>0</v>
      </c>
      <c r="D292" s="43">
        <f t="shared" si="113"/>
        <v>0</v>
      </c>
      <c r="E292" s="43">
        <f t="shared" si="113"/>
        <v>0</v>
      </c>
      <c r="F292" s="43">
        <f t="shared" si="113"/>
        <v>0</v>
      </c>
      <c r="G292" s="43">
        <f t="shared" si="113"/>
        <v>0</v>
      </c>
      <c r="H292" s="43">
        <f t="shared" si="113"/>
        <v>0</v>
      </c>
      <c r="I292" s="43">
        <f t="shared" si="113"/>
        <v>12.500106255095547</v>
      </c>
      <c r="J292" s="43">
        <f t="shared" si="113"/>
        <v>12.500106255095547</v>
      </c>
      <c r="K292" s="43">
        <f t="shared" si="113"/>
        <v>12.500106255095547</v>
      </c>
      <c r="L292" s="43">
        <f t="shared" si="113"/>
        <v>12.500106255095547</v>
      </c>
      <c r="M292" s="43">
        <f t="shared" si="113"/>
        <v>0</v>
      </c>
      <c r="N292" s="43">
        <f t="shared" si="113"/>
        <v>0</v>
      </c>
    </row>
    <row r="293" spans="1:14" ht="12.75">
      <c r="A293" s="4" t="str">
        <f>A237</f>
        <v>HGS Equipment Installation</v>
      </c>
      <c r="B293" s="43">
        <f aca="true" t="shared" si="114" ref="B293:N293">IF(AND(B$287&gt;=$J237,B$287&lt;=$K237),$D237+$D238,0)</f>
        <v>0</v>
      </c>
      <c r="C293" s="43">
        <f t="shared" si="114"/>
        <v>0</v>
      </c>
      <c r="D293" s="43">
        <f t="shared" si="114"/>
        <v>0</v>
      </c>
      <c r="E293" s="43">
        <f t="shared" si="114"/>
        <v>0</v>
      </c>
      <c r="F293" s="43">
        <f t="shared" si="114"/>
        <v>0</v>
      </c>
      <c r="G293" s="43">
        <f t="shared" si="114"/>
        <v>0</v>
      </c>
      <c r="H293" s="43">
        <f t="shared" si="114"/>
        <v>0</v>
      </c>
      <c r="I293" s="43">
        <f t="shared" si="114"/>
        <v>0</v>
      </c>
      <c r="J293" s="43">
        <f t="shared" si="114"/>
        <v>0</v>
      </c>
      <c r="K293" s="43">
        <f t="shared" si="114"/>
        <v>0</v>
      </c>
      <c r="L293" s="43">
        <f t="shared" si="114"/>
        <v>0</v>
      </c>
      <c r="M293" s="43">
        <f t="shared" si="114"/>
        <v>100.58247413051146</v>
      </c>
      <c r="N293" s="43">
        <f t="shared" si="114"/>
        <v>100.58247413051146</v>
      </c>
    </row>
    <row r="294" spans="1:14" ht="12.75">
      <c r="A294" s="4" t="str">
        <f>A239</f>
        <v>SGS Slab Demolition</v>
      </c>
      <c r="B294" s="43">
        <f aca="true" t="shared" si="115" ref="B294:N294">IF(AND(B$287&gt;=$J239,B$287&lt;=$K239),$D239+$D240,0)</f>
        <v>9.474384850088184</v>
      </c>
      <c r="C294" s="43">
        <f t="shared" si="115"/>
        <v>9.474384850088184</v>
      </c>
      <c r="D294" s="43">
        <f t="shared" si="115"/>
        <v>0</v>
      </c>
      <c r="E294" s="43">
        <f t="shared" si="115"/>
        <v>0</v>
      </c>
      <c r="F294" s="43">
        <f t="shared" si="115"/>
        <v>0</v>
      </c>
      <c r="G294" s="43">
        <f t="shared" si="115"/>
        <v>0</v>
      </c>
      <c r="H294" s="43">
        <f t="shared" si="115"/>
        <v>0</v>
      </c>
      <c r="I294" s="43">
        <f t="shared" si="115"/>
        <v>0</v>
      </c>
      <c r="J294" s="43">
        <f t="shared" si="115"/>
        <v>0</v>
      </c>
      <c r="K294" s="43">
        <f t="shared" si="115"/>
        <v>0</v>
      </c>
      <c r="L294" s="43">
        <f t="shared" si="115"/>
        <v>0</v>
      </c>
      <c r="M294" s="43">
        <f t="shared" si="115"/>
        <v>0</v>
      </c>
      <c r="N294" s="43">
        <f t="shared" si="115"/>
        <v>0</v>
      </c>
    </row>
    <row r="295" spans="1:14" ht="12.75">
      <c r="A295" s="4" t="str">
        <f>A241</f>
        <v>SGS Grading</v>
      </c>
      <c r="B295" s="43">
        <f aca="true" t="shared" si="116" ref="B295:N295">IF(AND(B$287&gt;=$J241,B$287&lt;=$K241),$D241+$D242,0)</f>
        <v>0</v>
      </c>
      <c r="C295" s="43">
        <f t="shared" si="116"/>
        <v>0</v>
      </c>
      <c r="D295" s="43">
        <f t="shared" si="116"/>
        <v>0</v>
      </c>
      <c r="E295" s="43">
        <f t="shared" si="116"/>
        <v>0</v>
      </c>
      <c r="F295" s="43">
        <f t="shared" si="116"/>
        <v>0</v>
      </c>
      <c r="G295" s="43">
        <f t="shared" si="116"/>
        <v>5.802838021164021</v>
      </c>
      <c r="H295" s="43">
        <f t="shared" si="116"/>
        <v>5.802838021164021</v>
      </c>
      <c r="I295" s="43">
        <f t="shared" si="116"/>
        <v>0</v>
      </c>
      <c r="J295" s="43">
        <f t="shared" si="116"/>
        <v>0</v>
      </c>
      <c r="K295" s="43">
        <f t="shared" si="116"/>
        <v>0</v>
      </c>
      <c r="L295" s="43">
        <f t="shared" si="116"/>
        <v>0</v>
      </c>
      <c r="M295" s="43">
        <f t="shared" si="116"/>
        <v>0</v>
      </c>
      <c r="N295" s="43">
        <f t="shared" si="116"/>
        <v>0</v>
      </c>
    </row>
    <row r="296" spans="1:14" ht="12.75">
      <c r="A296" s="4" t="str">
        <f>A243</f>
        <v>SGS Foundations </v>
      </c>
      <c r="B296" s="43">
        <f aca="true" t="shared" si="117" ref="B296:N296">IF(AND(B$287&gt;=$J243,B$287&lt;=$K243),$D243+$D244,0)</f>
        <v>0</v>
      </c>
      <c r="C296" s="43">
        <f t="shared" si="117"/>
        <v>0</v>
      </c>
      <c r="D296" s="43">
        <f t="shared" si="117"/>
        <v>0</v>
      </c>
      <c r="E296" s="43">
        <f t="shared" si="117"/>
        <v>0</v>
      </c>
      <c r="F296" s="43">
        <f t="shared" si="117"/>
        <v>0</v>
      </c>
      <c r="G296" s="43">
        <f t="shared" si="117"/>
        <v>0</v>
      </c>
      <c r="H296" s="43">
        <f t="shared" si="117"/>
        <v>0</v>
      </c>
      <c r="I296" s="43">
        <f t="shared" si="117"/>
        <v>4.955801262786596</v>
      </c>
      <c r="J296" s="43">
        <f t="shared" si="117"/>
        <v>4.955801262786596</v>
      </c>
      <c r="K296" s="43">
        <f t="shared" si="117"/>
        <v>4.955801262786596</v>
      </c>
      <c r="L296" s="43">
        <f t="shared" si="117"/>
        <v>4.955801262786596</v>
      </c>
      <c r="M296" s="43">
        <f t="shared" si="117"/>
        <v>0</v>
      </c>
      <c r="N296" s="43">
        <f t="shared" si="117"/>
        <v>0</v>
      </c>
    </row>
    <row r="297" spans="1:14" ht="12.75">
      <c r="A297" s="4" t="str">
        <f>A245</f>
        <v>SGS Paving</v>
      </c>
      <c r="B297" s="43">
        <f aca="true" t="shared" si="118" ref="B297:N297">IF(AND(B$287&gt;=$J245,B$287&lt;=$K245),$D245+$D246,0)</f>
        <v>0</v>
      </c>
      <c r="C297" s="43">
        <f t="shared" si="118"/>
        <v>0</v>
      </c>
      <c r="D297" s="43">
        <f t="shared" si="118"/>
        <v>0</v>
      </c>
      <c r="E297" s="43">
        <f t="shared" si="118"/>
        <v>0</v>
      </c>
      <c r="F297" s="43">
        <f t="shared" si="118"/>
        <v>0</v>
      </c>
      <c r="G297" s="43">
        <f t="shared" si="118"/>
        <v>0</v>
      </c>
      <c r="H297" s="43">
        <f t="shared" si="118"/>
        <v>0</v>
      </c>
      <c r="I297" s="43">
        <f t="shared" si="118"/>
        <v>3.4003049971817667</v>
      </c>
      <c r="J297" s="43">
        <f t="shared" si="118"/>
        <v>3.4003049971817667</v>
      </c>
      <c r="K297" s="43">
        <f t="shared" si="118"/>
        <v>3.4003049971817667</v>
      </c>
      <c r="L297" s="43">
        <f t="shared" si="118"/>
        <v>3.4003049971817667</v>
      </c>
      <c r="M297" s="43">
        <f t="shared" si="118"/>
        <v>0</v>
      </c>
      <c r="N297" s="43">
        <f t="shared" si="118"/>
        <v>0</v>
      </c>
    </row>
    <row r="298" spans="1:14" ht="12.75">
      <c r="A298" s="4" t="str">
        <f>A247</f>
        <v>SGS Equipment Installation</v>
      </c>
      <c r="B298" s="43">
        <f aca="true" t="shared" si="119" ref="B298:N298">IF(AND(B$287&gt;=$J247,B$287&lt;=$K247),$D247+$D248,0)</f>
        <v>0</v>
      </c>
      <c r="C298" s="43">
        <f t="shared" si="119"/>
        <v>0</v>
      </c>
      <c r="D298" s="43">
        <f t="shared" si="119"/>
        <v>0</v>
      </c>
      <c r="E298" s="43">
        <f t="shared" si="119"/>
        <v>0</v>
      </c>
      <c r="F298" s="43">
        <f t="shared" si="119"/>
        <v>0</v>
      </c>
      <c r="G298" s="43">
        <f t="shared" si="119"/>
        <v>0</v>
      </c>
      <c r="H298" s="43">
        <f t="shared" si="119"/>
        <v>0</v>
      </c>
      <c r="I298" s="43">
        <f t="shared" si="119"/>
        <v>0</v>
      </c>
      <c r="J298" s="43">
        <f t="shared" si="119"/>
        <v>0</v>
      </c>
      <c r="K298" s="43">
        <f t="shared" si="119"/>
        <v>0</v>
      </c>
      <c r="L298" s="43">
        <f t="shared" si="119"/>
        <v>0</v>
      </c>
      <c r="M298" s="43">
        <f t="shared" si="119"/>
        <v>55.9766088430335</v>
      </c>
      <c r="N298" s="43">
        <f t="shared" si="119"/>
        <v>55.9766088430335</v>
      </c>
    </row>
    <row r="299" spans="1:14" ht="12.75">
      <c r="A299" s="4" t="str">
        <f>A249</f>
        <v>VGS Demolition</v>
      </c>
      <c r="B299" s="43">
        <f aca="true" t="shared" si="120" ref="B299:N299">IF(AND(B$287&gt;=$J249,B$287&lt;=$K249),$D249+$D250,0)</f>
        <v>10.75160670617284</v>
      </c>
      <c r="C299" s="43">
        <f t="shared" si="120"/>
        <v>10.75160670617284</v>
      </c>
      <c r="D299" s="43">
        <f t="shared" si="120"/>
        <v>0</v>
      </c>
      <c r="E299" s="43">
        <f t="shared" si="120"/>
        <v>0</v>
      </c>
      <c r="F299" s="43">
        <f t="shared" si="120"/>
        <v>0</v>
      </c>
      <c r="G299" s="43">
        <f t="shared" si="120"/>
        <v>0</v>
      </c>
      <c r="H299" s="43">
        <f t="shared" si="120"/>
        <v>0</v>
      </c>
      <c r="I299" s="43">
        <f t="shared" si="120"/>
        <v>0</v>
      </c>
      <c r="J299" s="43">
        <f t="shared" si="120"/>
        <v>0</v>
      </c>
      <c r="K299" s="43">
        <f t="shared" si="120"/>
        <v>0</v>
      </c>
      <c r="L299" s="43">
        <f t="shared" si="120"/>
        <v>0</v>
      </c>
      <c r="M299" s="43">
        <f t="shared" si="120"/>
        <v>0</v>
      </c>
      <c r="N299" s="43">
        <f t="shared" si="120"/>
        <v>0</v>
      </c>
    </row>
    <row r="300" spans="1:14" ht="12.75">
      <c r="A300" s="4" t="str">
        <f>A251</f>
        <v>VGS Grading</v>
      </c>
      <c r="B300" s="43">
        <f aca="true" t="shared" si="121" ref="B300:N300">IF(AND(B$287&gt;=$J251,B$287&lt;=$K251),$D251+$D252,0)</f>
        <v>0</v>
      </c>
      <c r="C300" s="43">
        <f t="shared" si="121"/>
        <v>0</v>
      </c>
      <c r="D300" s="43">
        <f t="shared" si="121"/>
        <v>5.741618885361552</v>
      </c>
      <c r="E300" s="43">
        <f t="shared" si="121"/>
        <v>5.741618885361552</v>
      </c>
      <c r="F300" s="43">
        <f t="shared" si="121"/>
        <v>0</v>
      </c>
      <c r="G300" s="43">
        <f t="shared" si="121"/>
        <v>0</v>
      </c>
      <c r="H300" s="43">
        <f t="shared" si="121"/>
        <v>0</v>
      </c>
      <c r="I300" s="43">
        <f t="shared" si="121"/>
        <v>0</v>
      </c>
      <c r="J300" s="43">
        <f t="shared" si="121"/>
        <v>0</v>
      </c>
      <c r="K300" s="43">
        <f t="shared" si="121"/>
        <v>0</v>
      </c>
      <c r="L300" s="43">
        <f t="shared" si="121"/>
        <v>0</v>
      </c>
      <c r="M300" s="43">
        <f t="shared" si="121"/>
        <v>0</v>
      </c>
      <c r="N300" s="43">
        <f t="shared" si="121"/>
        <v>0</v>
      </c>
    </row>
    <row r="301" spans="1:14" ht="12.75">
      <c r="A301" s="4" t="str">
        <f>A253</f>
        <v>VGS Foundations </v>
      </c>
      <c r="B301" s="43">
        <f aca="true" t="shared" si="122" ref="B301:N301">IF(AND(B$287&gt;=$J253,B$287&lt;=$K253),$D253+$D254,0)</f>
        <v>0</v>
      </c>
      <c r="C301" s="43">
        <f t="shared" si="122"/>
        <v>0</v>
      </c>
      <c r="D301" s="43">
        <f t="shared" si="122"/>
        <v>0</v>
      </c>
      <c r="E301" s="43">
        <f t="shared" si="122"/>
        <v>0</v>
      </c>
      <c r="F301" s="43">
        <f t="shared" si="122"/>
        <v>11.300250807760142</v>
      </c>
      <c r="G301" s="43">
        <f t="shared" si="122"/>
        <v>11.300250807760142</v>
      </c>
      <c r="H301" s="43">
        <f t="shared" si="122"/>
        <v>11.300250807760142</v>
      </c>
      <c r="I301" s="43">
        <f t="shared" si="122"/>
        <v>11.300250807760142</v>
      </c>
      <c r="J301" s="43">
        <f t="shared" si="122"/>
        <v>11.300250807760142</v>
      </c>
      <c r="K301" s="43">
        <f t="shared" si="122"/>
        <v>0</v>
      </c>
      <c r="L301" s="43">
        <f t="shared" si="122"/>
        <v>0</v>
      </c>
      <c r="M301" s="43">
        <f t="shared" si="122"/>
        <v>0</v>
      </c>
      <c r="N301" s="43">
        <f t="shared" si="122"/>
        <v>0</v>
      </c>
    </row>
    <row r="302" spans="1:14" ht="12.75">
      <c r="A302" s="4" t="str">
        <f>A255</f>
        <v>VGS Paving</v>
      </c>
      <c r="B302" s="43">
        <f aca="true" t="shared" si="123" ref="B302:N302">IF(AND(B$287&gt;=$J255,B$287&lt;=$K255),$D255+$D256,0)</f>
        <v>0</v>
      </c>
      <c r="C302" s="43">
        <f t="shared" si="123"/>
        <v>0</v>
      </c>
      <c r="D302" s="43">
        <f t="shared" si="123"/>
        <v>0</v>
      </c>
      <c r="E302" s="43">
        <f t="shared" si="123"/>
        <v>0</v>
      </c>
      <c r="F302" s="43">
        <f t="shared" si="123"/>
        <v>0</v>
      </c>
      <c r="G302" s="43">
        <f t="shared" si="123"/>
        <v>0</v>
      </c>
      <c r="H302" s="43">
        <f t="shared" si="123"/>
        <v>0</v>
      </c>
      <c r="I302" s="43">
        <f t="shared" si="123"/>
        <v>4.156183158602883</v>
      </c>
      <c r="J302" s="43">
        <f t="shared" si="123"/>
        <v>4.156183158602883</v>
      </c>
      <c r="K302" s="43">
        <f t="shared" si="123"/>
        <v>4.156183158602883</v>
      </c>
      <c r="L302" s="43">
        <f t="shared" si="123"/>
        <v>0</v>
      </c>
      <c r="M302" s="43">
        <f t="shared" si="123"/>
        <v>0</v>
      </c>
      <c r="N302" s="43">
        <f t="shared" si="123"/>
        <v>0</v>
      </c>
    </row>
    <row r="303" spans="1:14" ht="12.75">
      <c r="A303" s="4" t="str">
        <f>A257</f>
        <v>VGS Equipment Installation</v>
      </c>
      <c r="B303" s="43">
        <f aca="true" t="shared" si="124" ref="B303:N303">IF(AND(B$287&gt;=$J257,B$287&lt;=$K257),$D257+$D258,0)</f>
        <v>0</v>
      </c>
      <c r="C303" s="43">
        <f t="shared" si="124"/>
        <v>0</v>
      </c>
      <c r="D303" s="43">
        <f t="shared" si="124"/>
        <v>0</v>
      </c>
      <c r="E303" s="43">
        <f t="shared" si="124"/>
        <v>0</v>
      </c>
      <c r="F303" s="43">
        <f t="shared" si="124"/>
        <v>0</v>
      </c>
      <c r="G303" s="43">
        <f t="shared" si="124"/>
        <v>0</v>
      </c>
      <c r="H303" s="43">
        <f t="shared" si="124"/>
        <v>0</v>
      </c>
      <c r="I303" s="43">
        <f t="shared" si="124"/>
        <v>0</v>
      </c>
      <c r="J303" s="43">
        <f t="shared" si="124"/>
        <v>0</v>
      </c>
      <c r="K303" s="43">
        <f t="shared" si="124"/>
        <v>0</v>
      </c>
      <c r="L303" s="43">
        <f t="shared" si="124"/>
        <v>0</v>
      </c>
      <c r="M303" s="43" t="e">
        <f t="shared" si="124"/>
        <v>#REF!</v>
      </c>
      <c r="N303" s="43" t="e">
        <f t="shared" si="124"/>
        <v>#REF!</v>
      </c>
    </row>
    <row r="304" spans="1:14" ht="12.75">
      <c r="A304" s="15" t="s">
        <v>24</v>
      </c>
      <c r="B304" s="44">
        <f aca="true" t="shared" si="125" ref="B304:N304">SUM(B288:B303)</f>
        <v>74.49189155833108</v>
      </c>
      <c r="C304" s="44">
        <f t="shared" si="125"/>
        <v>74.49189155833108</v>
      </c>
      <c r="D304" s="44">
        <f t="shared" si="125"/>
        <v>44.043596846560845</v>
      </c>
      <c r="E304" s="44">
        <f t="shared" si="125"/>
        <v>44.043596846560845</v>
      </c>
      <c r="F304" s="44">
        <f t="shared" si="125"/>
        <v>49.602228768959435</v>
      </c>
      <c r="G304" s="44">
        <f t="shared" si="125"/>
        <v>65.472301675485</v>
      </c>
      <c r="H304" s="44">
        <f t="shared" si="125"/>
        <v>65.472301675485</v>
      </c>
      <c r="I304" s="44">
        <f t="shared" si="125"/>
        <v>78.5385849576174</v>
      </c>
      <c r="J304" s="44">
        <f t="shared" si="125"/>
        <v>78.5385849576174</v>
      </c>
      <c r="K304" s="44">
        <f t="shared" si="125"/>
        <v>67.23833414985727</v>
      </c>
      <c r="L304" s="44">
        <f t="shared" si="125"/>
        <v>63.08215099125438</v>
      </c>
      <c r="M304" s="44" t="e">
        <f t="shared" si="125"/>
        <v>#REF!</v>
      </c>
      <c r="N304" s="44" t="e">
        <f t="shared" si="125"/>
        <v>#REF!</v>
      </c>
    </row>
    <row r="305" spans="1:14" ht="12.75">
      <c r="A305" s="39" t="s">
        <v>132</v>
      </c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7"/>
      <c r="M305" s="47"/>
      <c r="N305" s="47"/>
    </row>
    <row r="306" spans="1:14" ht="12.75">
      <c r="A306" s="62" t="s">
        <v>276</v>
      </c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47"/>
      <c r="M306" s="47"/>
      <c r="N306" s="47"/>
    </row>
    <row r="307" spans="1:11" ht="12.75">
      <c r="A307" s="29"/>
      <c r="B307" s="48"/>
      <c r="C307" s="49"/>
      <c r="D307" s="49"/>
      <c r="E307" s="49"/>
      <c r="F307" s="49"/>
      <c r="G307" s="49"/>
      <c r="H307" s="49"/>
      <c r="I307" s="49"/>
      <c r="J307" s="49"/>
      <c r="K307" s="49"/>
    </row>
    <row r="308" spans="1:11" ht="12.75">
      <c r="A308" s="29"/>
      <c r="B308" s="48"/>
      <c r="C308" s="49"/>
      <c r="D308" s="49"/>
      <c r="E308" s="49"/>
      <c r="F308" s="49"/>
      <c r="G308" s="49"/>
      <c r="H308" s="49"/>
      <c r="I308" s="49"/>
      <c r="J308" s="49"/>
      <c r="K308" s="49"/>
    </row>
    <row r="309" spans="1:14" ht="12.75">
      <c r="A309" s="86" t="s">
        <v>344</v>
      </c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</row>
    <row r="310" spans="1:14" ht="15">
      <c r="A310" s="85" t="s">
        <v>358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</row>
    <row r="311" spans="1:14" ht="12.75">
      <c r="A311" s="37" t="s">
        <v>87</v>
      </c>
      <c r="B311" s="69">
        <v>1</v>
      </c>
      <c r="C311" s="69">
        <v>10</v>
      </c>
      <c r="D311" s="69">
        <v>11</v>
      </c>
      <c r="E311" s="69">
        <v>15</v>
      </c>
      <c r="F311" s="69">
        <v>16</v>
      </c>
      <c r="G311" s="69">
        <v>18</v>
      </c>
      <c r="H311" s="69">
        <v>20</v>
      </c>
      <c r="I311" s="69">
        <v>21</v>
      </c>
      <c r="J311" s="69">
        <v>22</v>
      </c>
      <c r="K311" s="69">
        <v>25</v>
      </c>
      <c r="L311" s="69">
        <v>28</v>
      </c>
      <c r="M311" s="69">
        <v>29</v>
      </c>
      <c r="N311" s="69">
        <v>150</v>
      </c>
    </row>
    <row r="312" spans="1:14" ht="12.75">
      <c r="A312" s="4" t="str">
        <f>A227</f>
        <v>HGS Tank Demolition</v>
      </c>
      <c r="B312" s="43">
        <f aca="true" t="shared" si="126" ref="B312:N312">IF(AND(B$311&gt;=$J227,B$311&lt;=$K227),$E227+$E228,0)</f>
        <v>248.5055624606702</v>
      </c>
      <c r="C312" s="43">
        <f t="shared" si="126"/>
        <v>248.5055624606702</v>
      </c>
      <c r="D312" s="43">
        <f t="shared" si="126"/>
        <v>0</v>
      </c>
      <c r="E312" s="43">
        <f t="shared" si="126"/>
        <v>0</v>
      </c>
      <c r="F312" s="43">
        <f t="shared" si="126"/>
        <v>0</v>
      </c>
      <c r="G312" s="43">
        <f t="shared" si="126"/>
        <v>0</v>
      </c>
      <c r="H312" s="43">
        <f t="shared" si="126"/>
        <v>0</v>
      </c>
      <c r="I312" s="43">
        <f t="shared" si="126"/>
        <v>0</v>
      </c>
      <c r="J312" s="43">
        <f t="shared" si="126"/>
        <v>0</v>
      </c>
      <c r="K312" s="43">
        <f t="shared" si="126"/>
        <v>0</v>
      </c>
      <c r="L312" s="43">
        <f t="shared" si="126"/>
        <v>0</v>
      </c>
      <c r="M312" s="43">
        <f t="shared" si="126"/>
        <v>0</v>
      </c>
      <c r="N312" s="43">
        <f t="shared" si="126"/>
        <v>0</v>
      </c>
    </row>
    <row r="313" spans="1:14" ht="12.75">
      <c r="A313" s="4" t="str">
        <f>A229</f>
        <v>HGS Backfill</v>
      </c>
      <c r="B313" s="43">
        <f aca="true" t="shared" si="127" ref="B313:N313">IF(AND(B$311&gt;=$J229,B$311&lt;=$K229),$E229+$E230,0)</f>
        <v>0</v>
      </c>
      <c r="C313" s="43">
        <f t="shared" si="127"/>
        <v>0</v>
      </c>
      <c r="D313" s="43">
        <f t="shared" si="127"/>
        <v>329.3154871675485</v>
      </c>
      <c r="E313" s="43">
        <f t="shared" si="127"/>
        <v>329.3154871675485</v>
      </c>
      <c r="F313" s="43">
        <f t="shared" si="127"/>
        <v>329.3154871675485</v>
      </c>
      <c r="G313" s="43">
        <f t="shared" si="127"/>
        <v>329.3154871675485</v>
      </c>
      <c r="H313" s="43">
        <f t="shared" si="127"/>
        <v>329.3154871675485</v>
      </c>
      <c r="I313" s="43">
        <f t="shared" si="127"/>
        <v>0</v>
      </c>
      <c r="J313" s="43">
        <f t="shared" si="127"/>
        <v>0</v>
      </c>
      <c r="K313" s="43">
        <f t="shared" si="127"/>
        <v>0</v>
      </c>
      <c r="L313" s="43">
        <f t="shared" si="127"/>
        <v>0</v>
      </c>
      <c r="M313" s="43">
        <f t="shared" si="127"/>
        <v>0</v>
      </c>
      <c r="N313" s="43">
        <f t="shared" si="127"/>
        <v>0</v>
      </c>
    </row>
    <row r="314" spans="1:14" ht="12.75">
      <c r="A314" s="4" t="str">
        <f>A231</f>
        <v>HGS Grading</v>
      </c>
      <c r="B314" s="43">
        <f aca="true" t="shared" si="128" ref="B314:N314">IF(AND(B$311&gt;=$J231,B$311&lt;=$K231),$E231+$E232,0)</f>
        <v>0</v>
      </c>
      <c r="C314" s="43">
        <f t="shared" si="128"/>
        <v>0</v>
      </c>
      <c r="D314" s="43">
        <f t="shared" si="128"/>
        <v>0</v>
      </c>
      <c r="E314" s="43">
        <f t="shared" si="128"/>
        <v>0</v>
      </c>
      <c r="F314" s="43">
        <f t="shared" si="128"/>
        <v>0</v>
      </c>
      <c r="G314" s="43">
        <f t="shared" si="128"/>
        <v>75.11020009876545</v>
      </c>
      <c r="H314" s="43">
        <f t="shared" si="128"/>
        <v>75.11020009876545</v>
      </c>
      <c r="I314" s="43">
        <f t="shared" si="128"/>
        <v>0</v>
      </c>
      <c r="J314" s="43">
        <f t="shared" si="128"/>
        <v>0</v>
      </c>
      <c r="K314" s="43">
        <f t="shared" si="128"/>
        <v>0</v>
      </c>
      <c r="L314" s="43">
        <f t="shared" si="128"/>
        <v>0</v>
      </c>
      <c r="M314" s="43">
        <f t="shared" si="128"/>
        <v>0</v>
      </c>
      <c r="N314" s="43">
        <f t="shared" si="128"/>
        <v>0</v>
      </c>
    </row>
    <row r="315" spans="1:14" ht="12.75">
      <c r="A315" s="4" t="str">
        <f>A233</f>
        <v>HGS Foundations </v>
      </c>
      <c r="B315" s="43">
        <f aca="true" t="shared" si="129" ref="B315:N315">IF(AND(B$311&gt;=$J233,B$311&lt;=$K233),$E233+$E234,0)</f>
        <v>0</v>
      </c>
      <c r="C315" s="43">
        <f t="shared" si="129"/>
        <v>0</v>
      </c>
      <c r="D315" s="43">
        <f t="shared" si="129"/>
        <v>0</v>
      </c>
      <c r="E315" s="43">
        <f t="shared" si="129"/>
        <v>0</v>
      </c>
      <c r="F315" s="43">
        <f t="shared" si="129"/>
        <v>0</v>
      </c>
      <c r="G315" s="43">
        <f t="shared" si="129"/>
        <v>0</v>
      </c>
      <c r="H315" s="43">
        <f t="shared" si="129"/>
        <v>0</v>
      </c>
      <c r="I315" s="43">
        <f t="shared" si="129"/>
        <v>169.48320833862434</v>
      </c>
      <c r="J315" s="43">
        <f t="shared" si="129"/>
        <v>169.48320833862434</v>
      </c>
      <c r="K315" s="43">
        <f t="shared" si="129"/>
        <v>169.48320833862434</v>
      </c>
      <c r="L315" s="43">
        <f t="shared" si="129"/>
        <v>169.48320833862434</v>
      </c>
      <c r="M315" s="43">
        <f t="shared" si="129"/>
        <v>0</v>
      </c>
      <c r="N315" s="43">
        <f t="shared" si="129"/>
        <v>0</v>
      </c>
    </row>
    <row r="316" spans="1:14" ht="12.75">
      <c r="A316" s="4" t="str">
        <f>A235</f>
        <v>HGS Paving</v>
      </c>
      <c r="B316" s="43">
        <f aca="true" t="shared" si="130" ref="B316:N316">IF(AND(B$311&gt;=$J235,B$311&lt;=$K235),$E235+$E236,0)</f>
        <v>0</v>
      </c>
      <c r="C316" s="43">
        <f t="shared" si="130"/>
        <v>0</v>
      </c>
      <c r="D316" s="43">
        <f t="shared" si="130"/>
        <v>0</v>
      </c>
      <c r="E316" s="43">
        <f t="shared" si="130"/>
        <v>0</v>
      </c>
      <c r="F316" s="43">
        <f t="shared" si="130"/>
        <v>0</v>
      </c>
      <c r="G316" s="43">
        <f t="shared" si="130"/>
        <v>0</v>
      </c>
      <c r="H316" s="43">
        <f t="shared" si="130"/>
        <v>0</v>
      </c>
      <c r="I316" s="43">
        <f t="shared" si="130"/>
        <v>82.96535128042328</v>
      </c>
      <c r="J316" s="43">
        <f t="shared" si="130"/>
        <v>82.96535128042328</v>
      </c>
      <c r="K316" s="43">
        <f t="shared" si="130"/>
        <v>82.96535128042328</v>
      </c>
      <c r="L316" s="43">
        <f t="shared" si="130"/>
        <v>82.96535128042328</v>
      </c>
      <c r="M316" s="43">
        <f t="shared" si="130"/>
        <v>0</v>
      </c>
      <c r="N316" s="43">
        <f t="shared" si="130"/>
        <v>0</v>
      </c>
    </row>
    <row r="317" spans="1:14" ht="12.75">
      <c r="A317" s="4" t="str">
        <f>A237</f>
        <v>HGS Equipment Installation</v>
      </c>
      <c r="B317" s="43">
        <f aca="true" t="shared" si="131" ref="B317:N317">IF(AND(B$311&gt;=$J237,B$311&lt;=$K237),$E237+$E238,0)</f>
        <v>0</v>
      </c>
      <c r="C317" s="43">
        <f t="shared" si="131"/>
        <v>0</v>
      </c>
      <c r="D317" s="43">
        <f t="shared" si="131"/>
        <v>0</v>
      </c>
      <c r="E317" s="43">
        <f t="shared" si="131"/>
        <v>0</v>
      </c>
      <c r="F317" s="43">
        <f t="shared" si="131"/>
        <v>0</v>
      </c>
      <c r="G317" s="43">
        <f t="shared" si="131"/>
        <v>0</v>
      </c>
      <c r="H317" s="43">
        <f t="shared" si="131"/>
        <v>0</v>
      </c>
      <c r="I317" s="43">
        <f t="shared" si="131"/>
        <v>0</v>
      </c>
      <c r="J317" s="43">
        <f t="shared" si="131"/>
        <v>0</v>
      </c>
      <c r="K317" s="43">
        <f t="shared" si="131"/>
        <v>0</v>
      </c>
      <c r="L317" s="43">
        <f t="shared" si="131"/>
        <v>0</v>
      </c>
      <c r="M317" s="43">
        <f t="shared" si="131"/>
        <v>360.6394449805996</v>
      </c>
      <c r="N317" s="43">
        <f t="shared" si="131"/>
        <v>360.6394449805996</v>
      </c>
    </row>
    <row r="318" spans="1:14" ht="12.75">
      <c r="A318" s="4" t="str">
        <f>A239</f>
        <v>SGS Slab Demolition</v>
      </c>
      <c r="B318" s="43">
        <f aca="true" t="shared" si="132" ref="B318:N318">IF(AND(B$311&gt;=$J239,B$311&lt;=$K239),$E239+$E240,0)</f>
        <v>65.56202369664904</v>
      </c>
      <c r="C318" s="43">
        <f t="shared" si="132"/>
        <v>65.56202369664904</v>
      </c>
      <c r="D318" s="43">
        <f t="shared" si="132"/>
        <v>0</v>
      </c>
      <c r="E318" s="43">
        <f t="shared" si="132"/>
        <v>0</v>
      </c>
      <c r="F318" s="43">
        <f t="shared" si="132"/>
        <v>0</v>
      </c>
      <c r="G318" s="43">
        <f t="shared" si="132"/>
        <v>0</v>
      </c>
      <c r="H318" s="43">
        <f t="shared" si="132"/>
        <v>0</v>
      </c>
      <c r="I318" s="43">
        <f t="shared" si="132"/>
        <v>0</v>
      </c>
      <c r="J318" s="43">
        <f t="shared" si="132"/>
        <v>0</v>
      </c>
      <c r="K318" s="43">
        <f t="shared" si="132"/>
        <v>0</v>
      </c>
      <c r="L318" s="43">
        <f t="shared" si="132"/>
        <v>0</v>
      </c>
      <c r="M318" s="43">
        <f t="shared" si="132"/>
        <v>0</v>
      </c>
      <c r="N318" s="43">
        <f t="shared" si="132"/>
        <v>0</v>
      </c>
    </row>
    <row r="319" spans="1:14" ht="12.75">
      <c r="A319" s="4" t="str">
        <f>A241</f>
        <v>SGS Grading</v>
      </c>
      <c r="B319" s="43">
        <f aca="true" t="shared" si="133" ref="B319:N319">IF(AND(B$311&gt;=$J241,B$311&lt;=$K241),$E241+$E242,0)</f>
        <v>0</v>
      </c>
      <c r="C319" s="43">
        <f t="shared" si="133"/>
        <v>0</v>
      </c>
      <c r="D319" s="43">
        <f t="shared" si="133"/>
        <v>0</v>
      </c>
      <c r="E319" s="43">
        <f t="shared" si="133"/>
        <v>0</v>
      </c>
      <c r="F319" s="43">
        <f t="shared" si="133"/>
        <v>0</v>
      </c>
      <c r="G319" s="43">
        <f t="shared" si="133"/>
        <v>40.53430649029982</v>
      </c>
      <c r="H319" s="43">
        <f t="shared" si="133"/>
        <v>40.53430649029982</v>
      </c>
      <c r="I319" s="43">
        <f t="shared" si="133"/>
        <v>0</v>
      </c>
      <c r="J319" s="43">
        <f t="shared" si="133"/>
        <v>0</v>
      </c>
      <c r="K319" s="43">
        <f t="shared" si="133"/>
        <v>0</v>
      </c>
      <c r="L319" s="43">
        <f t="shared" si="133"/>
        <v>0</v>
      </c>
      <c r="M319" s="43">
        <f t="shared" si="133"/>
        <v>0</v>
      </c>
      <c r="N319" s="43">
        <f t="shared" si="133"/>
        <v>0</v>
      </c>
    </row>
    <row r="320" spans="1:14" ht="12.75">
      <c r="A320" s="4" t="str">
        <f>A243</f>
        <v>SGS Foundations </v>
      </c>
      <c r="B320" s="43">
        <f aca="true" t="shared" si="134" ref="B320:N320">IF(AND(B$311&gt;=$J243,B$311&lt;=$K243),$E243+$E244,0)</f>
        <v>0</v>
      </c>
      <c r="C320" s="43">
        <f t="shared" si="134"/>
        <v>0</v>
      </c>
      <c r="D320" s="43">
        <f t="shared" si="134"/>
        <v>0</v>
      </c>
      <c r="E320" s="43">
        <f t="shared" si="134"/>
        <v>0</v>
      </c>
      <c r="F320" s="43">
        <f t="shared" si="134"/>
        <v>0</v>
      </c>
      <c r="G320" s="43">
        <f t="shared" si="134"/>
        <v>0</v>
      </c>
      <c r="H320" s="43">
        <f t="shared" si="134"/>
        <v>0</v>
      </c>
      <c r="I320" s="43">
        <f t="shared" si="134"/>
        <v>27.00732671604938</v>
      </c>
      <c r="J320" s="43">
        <f t="shared" si="134"/>
        <v>27.00732671604938</v>
      </c>
      <c r="K320" s="43">
        <f t="shared" si="134"/>
        <v>27.00732671604938</v>
      </c>
      <c r="L320" s="43">
        <f t="shared" si="134"/>
        <v>27.00732671604938</v>
      </c>
      <c r="M320" s="43">
        <f t="shared" si="134"/>
        <v>0</v>
      </c>
      <c r="N320" s="43">
        <f t="shared" si="134"/>
        <v>0</v>
      </c>
    </row>
    <row r="321" spans="1:14" ht="12.75">
      <c r="A321" s="4" t="str">
        <f>A245</f>
        <v>SGS Paving</v>
      </c>
      <c r="B321" s="43">
        <f aca="true" t="shared" si="135" ref="B321:N321">IF(AND(B$311&gt;=$J245,B$311&lt;=$K245),$E245+$E246,0)</f>
        <v>0</v>
      </c>
      <c r="C321" s="43">
        <f t="shared" si="135"/>
        <v>0</v>
      </c>
      <c r="D321" s="43">
        <f t="shared" si="135"/>
        <v>0</v>
      </c>
      <c r="E321" s="43">
        <f t="shared" si="135"/>
        <v>0</v>
      </c>
      <c r="F321" s="43">
        <f t="shared" si="135"/>
        <v>0</v>
      </c>
      <c r="G321" s="43">
        <f t="shared" si="135"/>
        <v>0</v>
      </c>
      <c r="H321" s="43">
        <f t="shared" si="135"/>
        <v>0</v>
      </c>
      <c r="I321" s="43">
        <f t="shared" si="135"/>
        <v>35.63674603174603</v>
      </c>
      <c r="J321" s="43">
        <f t="shared" si="135"/>
        <v>35.63674603174603</v>
      </c>
      <c r="K321" s="43">
        <f t="shared" si="135"/>
        <v>35.63674603174603</v>
      </c>
      <c r="L321" s="43">
        <f t="shared" si="135"/>
        <v>35.63674603174603</v>
      </c>
      <c r="M321" s="43">
        <f t="shared" si="135"/>
        <v>0</v>
      </c>
      <c r="N321" s="43">
        <f t="shared" si="135"/>
        <v>0</v>
      </c>
    </row>
    <row r="322" spans="1:14" ht="12.75">
      <c r="A322" s="4" t="str">
        <f>A247</f>
        <v>SGS Equipment Installation</v>
      </c>
      <c r="B322" s="43">
        <f aca="true" t="shared" si="136" ref="B322:N322">IF(AND(B$311&gt;=$J247,B$311&lt;=$K247),$E247+$E248,0)</f>
        <v>0</v>
      </c>
      <c r="C322" s="43">
        <f t="shared" si="136"/>
        <v>0</v>
      </c>
      <c r="D322" s="43">
        <f t="shared" si="136"/>
        <v>0</v>
      </c>
      <c r="E322" s="43">
        <f t="shared" si="136"/>
        <v>0</v>
      </c>
      <c r="F322" s="43">
        <f t="shared" si="136"/>
        <v>0</v>
      </c>
      <c r="G322" s="43">
        <f t="shared" si="136"/>
        <v>0</v>
      </c>
      <c r="H322" s="43">
        <f t="shared" si="136"/>
        <v>0</v>
      </c>
      <c r="I322" s="43">
        <f t="shared" si="136"/>
        <v>0</v>
      </c>
      <c r="J322" s="43">
        <f t="shared" si="136"/>
        <v>0</v>
      </c>
      <c r="K322" s="43">
        <f t="shared" si="136"/>
        <v>0</v>
      </c>
      <c r="L322" s="43">
        <f t="shared" si="136"/>
        <v>0</v>
      </c>
      <c r="M322" s="43">
        <f t="shared" si="136"/>
        <v>129.9240615520282</v>
      </c>
      <c r="N322" s="43">
        <f t="shared" si="136"/>
        <v>129.9240615520282</v>
      </c>
    </row>
    <row r="323" spans="1:14" ht="12.75">
      <c r="A323" s="4" t="str">
        <f>A249</f>
        <v>VGS Demolition</v>
      </c>
      <c r="B323" s="43">
        <f aca="true" t="shared" si="137" ref="B323:N323">IF(AND(B$311&gt;=$J249,B$311&lt;=$K249),$E249+$E250,0)</f>
        <v>93.21579797813048</v>
      </c>
      <c r="C323" s="43">
        <f t="shared" si="137"/>
        <v>93.21579797813048</v>
      </c>
      <c r="D323" s="43">
        <f t="shared" si="137"/>
        <v>0</v>
      </c>
      <c r="E323" s="43">
        <f t="shared" si="137"/>
        <v>0</v>
      </c>
      <c r="F323" s="43">
        <f t="shared" si="137"/>
        <v>0</v>
      </c>
      <c r="G323" s="43">
        <f t="shared" si="137"/>
        <v>0</v>
      </c>
      <c r="H323" s="43">
        <f t="shared" si="137"/>
        <v>0</v>
      </c>
      <c r="I323" s="43">
        <f t="shared" si="137"/>
        <v>0</v>
      </c>
      <c r="J323" s="43">
        <f t="shared" si="137"/>
        <v>0</v>
      </c>
      <c r="K323" s="43">
        <f t="shared" si="137"/>
        <v>0</v>
      </c>
      <c r="L323" s="43">
        <f t="shared" si="137"/>
        <v>0</v>
      </c>
      <c r="M323" s="43">
        <f t="shared" si="137"/>
        <v>0</v>
      </c>
      <c r="N323" s="43">
        <f t="shared" si="137"/>
        <v>0</v>
      </c>
    </row>
    <row r="324" spans="1:14" ht="12.75">
      <c r="A324" s="4" t="str">
        <f>A251</f>
        <v>VGS Grading</v>
      </c>
      <c r="B324" s="43">
        <f aca="true" t="shared" si="138" ref="B324:N324">IF(AND(B$311&gt;=$J251,B$311&lt;=$K251),$E251+$E252,0)</f>
        <v>0</v>
      </c>
      <c r="C324" s="43">
        <f t="shared" si="138"/>
        <v>0</v>
      </c>
      <c r="D324" s="43">
        <f t="shared" si="138"/>
        <v>40.50527209876543</v>
      </c>
      <c r="E324" s="43">
        <f t="shared" si="138"/>
        <v>40.50527209876543</v>
      </c>
      <c r="F324" s="43">
        <f t="shared" si="138"/>
        <v>0</v>
      </c>
      <c r="G324" s="43">
        <f t="shared" si="138"/>
        <v>0</v>
      </c>
      <c r="H324" s="43">
        <f t="shared" si="138"/>
        <v>0</v>
      </c>
      <c r="I324" s="43">
        <f t="shared" si="138"/>
        <v>0</v>
      </c>
      <c r="J324" s="43">
        <f t="shared" si="138"/>
        <v>0</v>
      </c>
      <c r="K324" s="43">
        <f t="shared" si="138"/>
        <v>0</v>
      </c>
      <c r="L324" s="43">
        <f t="shared" si="138"/>
        <v>0</v>
      </c>
      <c r="M324" s="43">
        <f t="shared" si="138"/>
        <v>0</v>
      </c>
      <c r="N324" s="43">
        <f t="shared" si="138"/>
        <v>0</v>
      </c>
    </row>
    <row r="325" spans="1:14" ht="12.75">
      <c r="A325" s="4" t="str">
        <f>A253</f>
        <v>VGS Foundations </v>
      </c>
      <c r="B325" s="43">
        <f aca="true" t="shared" si="139" ref="B325:N325">IF(AND(B$311&gt;=$J253,B$311&lt;=$K253),$E253+$E254,0)</f>
        <v>0</v>
      </c>
      <c r="C325" s="43">
        <f t="shared" si="139"/>
        <v>0</v>
      </c>
      <c r="D325" s="43">
        <f t="shared" si="139"/>
        <v>0</v>
      </c>
      <c r="E325" s="43">
        <f t="shared" si="139"/>
        <v>0</v>
      </c>
      <c r="F325" s="43">
        <f t="shared" si="139"/>
        <v>51.81151164726631</v>
      </c>
      <c r="G325" s="43">
        <f t="shared" si="139"/>
        <v>51.81151164726631</v>
      </c>
      <c r="H325" s="43">
        <f t="shared" si="139"/>
        <v>51.81151164726631</v>
      </c>
      <c r="I325" s="43">
        <f t="shared" si="139"/>
        <v>51.81151164726631</v>
      </c>
      <c r="J325" s="43">
        <f t="shared" si="139"/>
        <v>51.81151164726631</v>
      </c>
      <c r="K325" s="43">
        <f t="shared" si="139"/>
        <v>0</v>
      </c>
      <c r="L325" s="43">
        <f t="shared" si="139"/>
        <v>0</v>
      </c>
      <c r="M325" s="43">
        <f t="shared" si="139"/>
        <v>0</v>
      </c>
      <c r="N325" s="43">
        <f t="shared" si="139"/>
        <v>0</v>
      </c>
    </row>
    <row r="326" spans="1:14" ht="12.75">
      <c r="A326" s="4" t="str">
        <f>A255</f>
        <v>VGS Paving</v>
      </c>
      <c r="B326" s="43">
        <f aca="true" t="shared" si="140" ref="B326:N326">IF(AND(B$311&gt;=$J255,B$311&lt;=$K255),$E255+$E256,0)</f>
        <v>0</v>
      </c>
      <c r="C326" s="43">
        <f t="shared" si="140"/>
        <v>0</v>
      </c>
      <c r="D326" s="43">
        <f t="shared" si="140"/>
        <v>0</v>
      </c>
      <c r="E326" s="43">
        <f t="shared" si="140"/>
        <v>0</v>
      </c>
      <c r="F326" s="43">
        <f t="shared" si="140"/>
        <v>0</v>
      </c>
      <c r="G326" s="43">
        <f t="shared" si="140"/>
        <v>0</v>
      </c>
      <c r="H326" s="43">
        <f t="shared" si="140"/>
        <v>0</v>
      </c>
      <c r="I326" s="43">
        <f t="shared" si="140"/>
        <v>37.35076719576719</v>
      </c>
      <c r="J326" s="43">
        <f t="shared" si="140"/>
        <v>37.35076719576719</v>
      </c>
      <c r="K326" s="43">
        <f t="shared" si="140"/>
        <v>37.35076719576719</v>
      </c>
      <c r="L326" s="43">
        <f t="shared" si="140"/>
        <v>0</v>
      </c>
      <c r="M326" s="43">
        <f t="shared" si="140"/>
        <v>0</v>
      </c>
      <c r="N326" s="43">
        <f t="shared" si="140"/>
        <v>0</v>
      </c>
    </row>
    <row r="327" spans="1:14" ht="12.75">
      <c r="A327" s="4" t="str">
        <f>A257</f>
        <v>VGS Equipment Installation</v>
      </c>
      <c r="B327" s="43">
        <f aca="true" t="shared" si="141" ref="B327:N327">IF(AND(B$311&gt;=$J257,B$311&lt;=$K257),$E257+$E258,0)</f>
        <v>0</v>
      </c>
      <c r="C327" s="43">
        <f t="shared" si="141"/>
        <v>0</v>
      </c>
      <c r="D327" s="43">
        <f t="shared" si="141"/>
        <v>0</v>
      </c>
      <c r="E327" s="43">
        <f t="shared" si="141"/>
        <v>0</v>
      </c>
      <c r="F327" s="43">
        <f t="shared" si="141"/>
        <v>0</v>
      </c>
      <c r="G327" s="43">
        <f t="shared" si="141"/>
        <v>0</v>
      </c>
      <c r="H327" s="43">
        <f t="shared" si="141"/>
        <v>0</v>
      </c>
      <c r="I327" s="43">
        <f t="shared" si="141"/>
        <v>0</v>
      </c>
      <c r="J327" s="43">
        <f t="shared" si="141"/>
        <v>0</v>
      </c>
      <c r="K327" s="43">
        <f t="shared" si="141"/>
        <v>0</v>
      </c>
      <c r="L327" s="43">
        <f t="shared" si="141"/>
        <v>0</v>
      </c>
      <c r="M327" s="43" t="e">
        <f t="shared" si="141"/>
        <v>#REF!</v>
      </c>
      <c r="N327" s="43" t="e">
        <f t="shared" si="141"/>
        <v>#REF!</v>
      </c>
    </row>
    <row r="328" spans="1:14" ht="12.75">
      <c r="A328" s="15" t="s">
        <v>24</v>
      </c>
      <c r="B328" s="44">
        <f aca="true" t="shared" si="142" ref="B328:N328">SUM(B312:B327)</f>
        <v>407.2833841354497</v>
      </c>
      <c r="C328" s="44">
        <f t="shared" si="142"/>
        <v>407.2833841354497</v>
      </c>
      <c r="D328" s="44">
        <f t="shared" si="142"/>
        <v>369.8207592663139</v>
      </c>
      <c r="E328" s="44">
        <f t="shared" si="142"/>
        <v>369.8207592663139</v>
      </c>
      <c r="F328" s="44">
        <f t="shared" si="142"/>
        <v>381.1269988148148</v>
      </c>
      <c r="G328" s="44">
        <f t="shared" si="142"/>
        <v>496.77150540388004</v>
      </c>
      <c r="H328" s="44">
        <f t="shared" si="142"/>
        <v>496.77150540388004</v>
      </c>
      <c r="I328" s="44">
        <f t="shared" si="142"/>
        <v>404.25491120987647</v>
      </c>
      <c r="J328" s="44">
        <f t="shared" si="142"/>
        <v>404.25491120987647</v>
      </c>
      <c r="K328" s="44">
        <f t="shared" si="142"/>
        <v>352.44339956261024</v>
      </c>
      <c r="L328" s="44">
        <f t="shared" si="142"/>
        <v>315.092632366843</v>
      </c>
      <c r="M328" s="44" t="e">
        <f t="shared" si="142"/>
        <v>#REF!</v>
      </c>
      <c r="N328" s="44" t="e">
        <f t="shared" si="142"/>
        <v>#REF!</v>
      </c>
    </row>
    <row r="329" spans="1:14" ht="12.75">
      <c r="A329" s="39" t="s">
        <v>132</v>
      </c>
      <c r="B329" s="48"/>
      <c r="C329" s="49"/>
      <c r="D329" s="49"/>
      <c r="E329" s="49"/>
      <c r="F329" s="49"/>
      <c r="G329" s="49"/>
      <c r="H329" s="49"/>
      <c r="I329" s="49"/>
      <c r="J329" s="49"/>
      <c r="K329" s="49"/>
      <c r="L329" s="47"/>
      <c r="M329" s="47"/>
      <c r="N329" s="47"/>
    </row>
    <row r="330" spans="1:14" ht="12.75">
      <c r="A330" s="62" t="s">
        <v>276</v>
      </c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47"/>
      <c r="M330" s="47"/>
      <c r="N330" s="47"/>
    </row>
    <row r="331" spans="1:14" ht="12.75">
      <c r="A331" s="39"/>
      <c r="B331" s="48"/>
      <c r="C331" s="49"/>
      <c r="D331" s="49"/>
      <c r="E331" s="49"/>
      <c r="F331" s="49"/>
      <c r="G331" s="49"/>
      <c r="H331" s="49"/>
      <c r="I331" s="49"/>
      <c r="J331" s="49"/>
      <c r="K331" s="49"/>
      <c r="L331" s="47"/>
      <c r="M331" s="47"/>
      <c r="N331" s="47"/>
    </row>
    <row r="332" spans="1:14" ht="12.75">
      <c r="A332" s="39"/>
      <c r="B332" s="48"/>
      <c r="C332" s="49"/>
      <c r="D332" s="49"/>
      <c r="E332" s="49"/>
      <c r="F332" s="49"/>
      <c r="G332" s="49"/>
      <c r="H332" s="49"/>
      <c r="I332" s="49"/>
      <c r="J332" s="49"/>
      <c r="K332" s="49"/>
      <c r="L332" s="47"/>
      <c r="M332" s="47"/>
      <c r="N332" s="47"/>
    </row>
    <row r="333" spans="1:14" ht="12.75">
      <c r="A333" s="87" t="s">
        <v>345</v>
      </c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</row>
    <row r="334" spans="1:14" ht="15">
      <c r="A334" s="85" t="s">
        <v>359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</row>
    <row r="335" spans="1:14" ht="12.75">
      <c r="A335" s="37" t="s">
        <v>87</v>
      </c>
      <c r="B335" s="69">
        <v>1</v>
      </c>
      <c r="C335" s="69">
        <v>10</v>
      </c>
      <c r="D335" s="69">
        <v>11</v>
      </c>
      <c r="E335" s="69">
        <v>15</v>
      </c>
      <c r="F335" s="69">
        <v>16</v>
      </c>
      <c r="G335" s="69">
        <v>18</v>
      </c>
      <c r="H335" s="69">
        <v>20</v>
      </c>
      <c r="I335" s="69">
        <v>21</v>
      </c>
      <c r="J335" s="69">
        <v>22</v>
      </c>
      <c r="K335" s="69">
        <v>25</v>
      </c>
      <c r="L335" s="69">
        <v>28</v>
      </c>
      <c r="M335" s="69">
        <v>29</v>
      </c>
      <c r="N335" s="69">
        <v>150</v>
      </c>
    </row>
    <row r="336" spans="1:14" ht="12.75">
      <c r="A336" s="4" t="str">
        <f>A227</f>
        <v>HGS Tank Demolition</v>
      </c>
      <c r="B336" s="43">
        <f aca="true" t="shared" si="143" ref="B336:N336">IF(AND(B$335&gt;=$J227,B$335&lt;=$K227),$F227+$F228,0)</f>
        <v>19.3039088</v>
      </c>
      <c r="C336" s="43">
        <f t="shared" si="143"/>
        <v>19.3039088</v>
      </c>
      <c r="D336" s="43">
        <f t="shared" si="143"/>
        <v>0</v>
      </c>
      <c r="E336" s="43">
        <f t="shared" si="143"/>
        <v>0</v>
      </c>
      <c r="F336" s="43">
        <f t="shared" si="143"/>
        <v>0</v>
      </c>
      <c r="G336" s="43">
        <f t="shared" si="143"/>
        <v>0</v>
      </c>
      <c r="H336" s="43">
        <f t="shared" si="143"/>
        <v>0</v>
      </c>
      <c r="I336" s="43">
        <f t="shared" si="143"/>
        <v>0</v>
      </c>
      <c r="J336" s="43">
        <f t="shared" si="143"/>
        <v>0</v>
      </c>
      <c r="K336" s="43">
        <f t="shared" si="143"/>
        <v>0</v>
      </c>
      <c r="L336" s="43">
        <f t="shared" si="143"/>
        <v>0</v>
      </c>
      <c r="M336" s="43">
        <f t="shared" si="143"/>
        <v>0</v>
      </c>
      <c r="N336" s="43">
        <f t="shared" si="143"/>
        <v>0</v>
      </c>
    </row>
    <row r="337" spans="1:14" ht="12.75">
      <c r="A337" s="4" t="str">
        <f>A229</f>
        <v>HGS Backfill</v>
      </c>
      <c r="B337" s="43">
        <f aca="true" t="shared" si="144" ref="B337:N337">IF(AND(B$335&gt;=$J229,B$335&lt;=$K229),$F229+$F230,0)</f>
        <v>0</v>
      </c>
      <c r="C337" s="43">
        <f t="shared" si="144"/>
        <v>0</v>
      </c>
      <c r="D337" s="43">
        <f t="shared" si="144"/>
        <v>25.889248000000002</v>
      </c>
      <c r="E337" s="43">
        <f t="shared" si="144"/>
        <v>25.889248000000002</v>
      </c>
      <c r="F337" s="43">
        <f t="shared" si="144"/>
        <v>25.889248000000002</v>
      </c>
      <c r="G337" s="43">
        <f t="shared" si="144"/>
        <v>25.889248000000002</v>
      </c>
      <c r="H337" s="43">
        <f t="shared" si="144"/>
        <v>25.889248000000002</v>
      </c>
      <c r="I337" s="43">
        <f t="shared" si="144"/>
        <v>0</v>
      </c>
      <c r="J337" s="43">
        <f t="shared" si="144"/>
        <v>0</v>
      </c>
      <c r="K337" s="43">
        <f t="shared" si="144"/>
        <v>0</v>
      </c>
      <c r="L337" s="43">
        <f t="shared" si="144"/>
        <v>0</v>
      </c>
      <c r="M337" s="43">
        <f t="shared" si="144"/>
        <v>0</v>
      </c>
      <c r="N337" s="43">
        <f t="shared" si="144"/>
        <v>0</v>
      </c>
    </row>
    <row r="338" spans="1:14" ht="12.75">
      <c r="A338" s="4" t="str">
        <f>A231</f>
        <v>HGS Grading</v>
      </c>
      <c r="B338" s="43">
        <f aca="true" t="shared" si="145" ref="B338:N338">IF(AND(B$335&gt;=$J231,B$335&lt;=$K231),$F231+$F232,0)</f>
        <v>0</v>
      </c>
      <c r="C338" s="43">
        <f t="shared" si="145"/>
        <v>0</v>
      </c>
      <c r="D338" s="43">
        <f t="shared" si="145"/>
        <v>0</v>
      </c>
      <c r="E338" s="43">
        <f t="shared" si="145"/>
        <v>0</v>
      </c>
      <c r="F338" s="43">
        <f t="shared" si="145"/>
        <v>0</v>
      </c>
      <c r="G338" s="43">
        <f t="shared" si="145"/>
        <v>6.58236</v>
      </c>
      <c r="H338" s="43">
        <f t="shared" si="145"/>
        <v>6.58236</v>
      </c>
      <c r="I338" s="43">
        <f t="shared" si="145"/>
        <v>0</v>
      </c>
      <c r="J338" s="43">
        <f t="shared" si="145"/>
        <v>0</v>
      </c>
      <c r="K338" s="43">
        <f t="shared" si="145"/>
        <v>0</v>
      </c>
      <c r="L338" s="43">
        <f t="shared" si="145"/>
        <v>0</v>
      </c>
      <c r="M338" s="43">
        <f t="shared" si="145"/>
        <v>0</v>
      </c>
      <c r="N338" s="43">
        <f t="shared" si="145"/>
        <v>0</v>
      </c>
    </row>
    <row r="339" spans="1:14" ht="12.75">
      <c r="A339" s="4" t="str">
        <f>A233</f>
        <v>HGS Foundations </v>
      </c>
      <c r="B339" s="43">
        <f aca="true" t="shared" si="146" ref="B339:N339">IF(AND(B$335&gt;=$J233,B$335&lt;=$K233),$F233+$F234,0)</f>
        <v>0</v>
      </c>
      <c r="C339" s="43">
        <f t="shared" si="146"/>
        <v>0</v>
      </c>
      <c r="D339" s="43">
        <f t="shared" si="146"/>
        <v>0</v>
      </c>
      <c r="E339" s="43">
        <f t="shared" si="146"/>
        <v>0</v>
      </c>
      <c r="F339" s="43">
        <f t="shared" si="146"/>
        <v>0</v>
      </c>
      <c r="G339" s="43">
        <f t="shared" si="146"/>
        <v>0</v>
      </c>
      <c r="H339" s="43">
        <f t="shared" si="146"/>
        <v>0</v>
      </c>
      <c r="I339" s="43">
        <f t="shared" si="146"/>
        <v>10.182632</v>
      </c>
      <c r="J339" s="43">
        <f t="shared" si="146"/>
        <v>10.182632</v>
      </c>
      <c r="K339" s="43">
        <f t="shared" si="146"/>
        <v>10.182632</v>
      </c>
      <c r="L339" s="43">
        <f t="shared" si="146"/>
        <v>10.182632</v>
      </c>
      <c r="M339" s="43">
        <f t="shared" si="146"/>
        <v>0</v>
      </c>
      <c r="N339" s="43">
        <f t="shared" si="146"/>
        <v>0</v>
      </c>
    </row>
    <row r="340" spans="1:14" ht="12.75">
      <c r="A340" s="4" t="str">
        <f>A235</f>
        <v>HGS Paving</v>
      </c>
      <c r="B340" s="43">
        <f aca="true" t="shared" si="147" ref="B340:N340">IF(AND(B$335&gt;=$J235,B$335&lt;=$K235),$F235+$F236,0)</f>
        <v>0</v>
      </c>
      <c r="C340" s="43">
        <f t="shared" si="147"/>
        <v>0</v>
      </c>
      <c r="D340" s="43">
        <f t="shared" si="147"/>
        <v>0</v>
      </c>
      <c r="E340" s="43">
        <f t="shared" si="147"/>
        <v>0</v>
      </c>
      <c r="F340" s="43">
        <f t="shared" si="147"/>
        <v>0</v>
      </c>
      <c r="G340" s="43">
        <f t="shared" si="147"/>
        <v>0</v>
      </c>
      <c r="H340" s="43">
        <f t="shared" si="147"/>
        <v>0</v>
      </c>
      <c r="I340" s="43">
        <f t="shared" si="147"/>
        <v>5.477168</v>
      </c>
      <c r="J340" s="43">
        <f t="shared" si="147"/>
        <v>5.477168</v>
      </c>
      <c r="K340" s="43">
        <f t="shared" si="147"/>
        <v>5.477168</v>
      </c>
      <c r="L340" s="43">
        <f t="shared" si="147"/>
        <v>5.477168</v>
      </c>
      <c r="M340" s="43">
        <f t="shared" si="147"/>
        <v>0</v>
      </c>
      <c r="N340" s="43">
        <f t="shared" si="147"/>
        <v>0</v>
      </c>
    </row>
    <row r="341" spans="1:14" ht="12.75">
      <c r="A341" s="4" t="str">
        <f>A237</f>
        <v>HGS Equipment Installation</v>
      </c>
      <c r="B341" s="43">
        <f aca="true" t="shared" si="148" ref="B341:N341">IF(AND(B$335&gt;=$J237,B$335&lt;=$K237),$F237+$F238,0)</f>
        <v>0</v>
      </c>
      <c r="C341" s="43">
        <f t="shared" si="148"/>
        <v>0</v>
      </c>
      <c r="D341" s="43">
        <f t="shared" si="148"/>
        <v>0</v>
      </c>
      <c r="E341" s="43">
        <f t="shared" si="148"/>
        <v>0</v>
      </c>
      <c r="F341" s="43">
        <f t="shared" si="148"/>
        <v>0</v>
      </c>
      <c r="G341" s="43">
        <f t="shared" si="148"/>
        <v>0</v>
      </c>
      <c r="H341" s="43">
        <f t="shared" si="148"/>
        <v>0</v>
      </c>
      <c r="I341" s="43">
        <f t="shared" si="148"/>
        <v>0</v>
      </c>
      <c r="J341" s="43">
        <f t="shared" si="148"/>
        <v>0</v>
      </c>
      <c r="K341" s="43">
        <f t="shared" si="148"/>
        <v>0</v>
      </c>
      <c r="L341" s="43">
        <f t="shared" si="148"/>
        <v>0</v>
      </c>
      <c r="M341" s="43">
        <f t="shared" si="148"/>
        <v>25.894719999999996</v>
      </c>
      <c r="N341" s="43">
        <f t="shared" si="148"/>
        <v>25.894719999999996</v>
      </c>
    </row>
    <row r="342" spans="1:14" ht="12.75">
      <c r="A342" s="4" t="str">
        <f>A239</f>
        <v>SGS Slab Demolition</v>
      </c>
      <c r="B342" s="43">
        <f aca="true" t="shared" si="149" ref="B342:N342">IF(AND(B$335&gt;=$J239,B$335&lt;=$K239),$F239+$F240,0)</f>
        <v>4.695888</v>
      </c>
      <c r="C342" s="43">
        <f t="shared" si="149"/>
        <v>4.695888</v>
      </c>
      <c r="D342" s="43">
        <f t="shared" si="149"/>
        <v>0</v>
      </c>
      <c r="E342" s="43">
        <f t="shared" si="149"/>
        <v>0</v>
      </c>
      <c r="F342" s="43">
        <f t="shared" si="149"/>
        <v>0</v>
      </c>
      <c r="G342" s="43">
        <f t="shared" si="149"/>
        <v>0</v>
      </c>
      <c r="H342" s="43">
        <f t="shared" si="149"/>
        <v>0</v>
      </c>
      <c r="I342" s="43">
        <f t="shared" si="149"/>
        <v>0</v>
      </c>
      <c r="J342" s="43">
        <f t="shared" si="149"/>
        <v>0</v>
      </c>
      <c r="K342" s="43">
        <f t="shared" si="149"/>
        <v>0</v>
      </c>
      <c r="L342" s="43">
        <f t="shared" si="149"/>
        <v>0</v>
      </c>
      <c r="M342" s="43">
        <f t="shared" si="149"/>
        <v>0</v>
      </c>
      <c r="N342" s="43">
        <f t="shared" si="149"/>
        <v>0</v>
      </c>
    </row>
    <row r="343" spans="1:14" ht="12.75">
      <c r="A343" s="4" t="str">
        <f>A241</f>
        <v>SGS Grading</v>
      </c>
      <c r="B343" s="43">
        <f aca="true" t="shared" si="150" ref="B343:N343">IF(AND(B$335&gt;=$J241,B$335&lt;=$K241),$F241+$F242,0)</f>
        <v>0</v>
      </c>
      <c r="C343" s="43">
        <f t="shared" si="150"/>
        <v>0</v>
      </c>
      <c r="D343" s="43">
        <f t="shared" si="150"/>
        <v>0</v>
      </c>
      <c r="E343" s="43">
        <f t="shared" si="150"/>
        <v>0</v>
      </c>
      <c r="F343" s="43">
        <f t="shared" si="150"/>
        <v>0</v>
      </c>
      <c r="G343" s="43">
        <f t="shared" si="150"/>
        <v>3.698616</v>
      </c>
      <c r="H343" s="43">
        <f t="shared" si="150"/>
        <v>3.698616</v>
      </c>
      <c r="I343" s="43">
        <f t="shared" si="150"/>
        <v>0</v>
      </c>
      <c r="J343" s="43">
        <f t="shared" si="150"/>
        <v>0</v>
      </c>
      <c r="K343" s="43">
        <f t="shared" si="150"/>
        <v>0</v>
      </c>
      <c r="L343" s="43">
        <f t="shared" si="150"/>
        <v>0</v>
      </c>
      <c r="M343" s="43">
        <f t="shared" si="150"/>
        <v>0</v>
      </c>
      <c r="N343" s="43">
        <f t="shared" si="150"/>
        <v>0</v>
      </c>
    </row>
    <row r="344" spans="1:14" ht="12.75">
      <c r="A344" s="4" t="str">
        <f>A243</f>
        <v>SGS Foundations </v>
      </c>
      <c r="B344" s="43">
        <f aca="true" t="shared" si="151" ref="B344:N344">IF(AND(B$335&gt;=$J243,B$335&lt;=$K243),$F243+$F244,0)</f>
        <v>0</v>
      </c>
      <c r="C344" s="43">
        <f t="shared" si="151"/>
        <v>0</v>
      </c>
      <c r="D344" s="43">
        <f t="shared" si="151"/>
        <v>0</v>
      </c>
      <c r="E344" s="43">
        <f t="shared" si="151"/>
        <v>0</v>
      </c>
      <c r="F344" s="43">
        <f t="shared" si="151"/>
        <v>0</v>
      </c>
      <c r="G344" s="43">
        <f t="shared" si="151"/>
        <v>0</v>
      </c>
      <c r="H344" s="43">
        <f t="shared" si="151"/>
        <v>0</v>
      </c>
      <c r="I344" s="43">
        <f t="shared" si="151"/>
        <v>1.595012</v>
      </c>
      <c r="J344" s="43">
        <f t="shared" si="151"/>
        <v>1.595012</v>
      </c>
      <c r="K344" s="43">
        <f t="shared" si="151"/>
        <v>1.595012</v>
      </c>
      <c r="L344" s="43">
        <f t="shared" si="151"/>
        <v>1.595012</v>
      </c>
      <c r="M344" s="43">
        <f t="shared" si="151"/>
        <v>0</v>
      </c>
      <c r="N344" s="43">
        <f t="shared" si="151"/>
        <v>0</v>
      </c>
    </row>
    <row r="345" spans="1:14" ht="12.75">
      <c r="A345" s="4" t="str">
        <f>A245</f>
        <v>SGS Paving</v>
      </c>
      <c r="B345" s="43">
        <f aca="true" t="shared" si="152" ref="B345:N345">IF(AND(B$335&gt;=$J245,B$335&lt;=$K245),$F245+$F246,0)</f>
        <v>0</v>
      </c>
      <c r="C345" s="43">
        <f t="shared" si="152"/>
        <v>0</v>
      </c>
      <c r="D345" s="43">
        <f t="shared" si="152"/>
        <v>0</v>
      </c>
      <c r="E345" s="43">
        <f t="shared" si="152"/>
        <v>0</v>
      </c>
      <c r="F345" s="43">
        <f t="shared" si="152"/>
        <v>0</v>
      </c>
      <c r="G345" s="43">
        <f t="shared" si="152"/>
        <v>0</v>
      </c>
      <c r="H345" s="43">
        <f t="shared" si="152"/>
        <v>0</v>
      </c>
      <c r="I345" s="43">
        <f t="shared" si="152"/>
        <v>2.5934239999999997</v>
      </c>
      <c r="J345" s="43">
        <f t="shared" si="152"/>
        <v>2.5934239999999997</v>
      </c>
      <c r="K345" s="43">
        <f t="shared" si="152"/>
        <v>2.5934239999999997</v>
      </c>
      <c r="L345" s="43">
        <f t="shared" si="152"/>
        <v>2.5934239999999997</v>
      </c>
      <c r="M345" s="43">
        <f t="shared" si="152"/>
        <v>0</v>
      </c>
      <c r="N345" s="43">
        <f t="shared" si="152"/>
        <v>0</v>
      </c>
    </row>
    <row r="346" spans="1:14" ht="12.75">
      <c r="A346" s="4" t="str">
        <f>A247</f>
        <v>SGS Equipment Installation</v>
      </c>
      <c r="B346" s="43">
        <f aca="true" t="shared" si="153" ref="B346:N346">IF(AND(B$335&gt;=$J247,B$335&lt;=$K247),$F247+$F248,0)</f>
        <v>0</v>
      </c>
      <c r="C346" s="43">
        <f t="shared" si="153"/>
        <v>0</v>
      </c>
      <c r="D346" s="43">
        <f t="shared" si="153"/>
        <v>0</v>
      </c>
      <c r="E346" s="43">
        <f t="shared" si="153"/>
        <v>0</v>
      </c>
      <c r="F346" s="43">
        <f t="shared" si="153"/>
        <v>0</v>
      </c>
      <c r="G346" s="43">
        <f t="shared" si="153"/>
        <v>0</v>
      </c>
      <c r="H346" s="43">
        <f t="shared" si="153"/>
        <v>0</v>
      </c>
      <c r="I346" s="43">
        <f t="shared" si="153"/>
        <v>0</v>
      </c>
      <c r="J346" s="43">
        <f t="shared" si="153"/>
        <v>0</v>
      </c>
      <c r="K346" s="43">
        <f t="shared" si="153"/>
        <v>0</v>
      </c>
      <c r="L346" s="43">
        <f t="shared" si="153"/>
        <v>0</v>
      </c>
      <c r="M346" s="43">
        <f t="shared" si="153"/>
        <v>9.846864</v>
      </c>
      <c r="N346" s="43">
        <f t="shared" si="153"/>
        <v>9.846864</v>
      </c>
    </row>
    <row r="347" spans="1:14" ht="12.75">
      <c r="A347" s="4" t="str">
        <f>A249</f>
        <v>VGS Demolition</v>
      </c>
      <c r="B347" s="43">
        <f aca="true" t="shared" si="154" ref="B347:N347">IF(AND(B$335&gt;=$J249,B$335&lt;=$K249),$F249+$F250,0)</f>
        <v>7.3706624</v>
      </c>
      <c r="C347" s="43">
        <f t="shared" si="154"/>
        <v>7.3706624</v>
      </c>
      <c r="D347" s="43">
        <f t="shared" si="154"/>
        <v>0</v>
      </c>
      <c r="E347" s="43">
        <f t="shared" si="154"/>
        <v>0</v>
      </c>
      <c r="F347" s="43">
        <f t="shared" si="154"/>
        <v>0</v>
      </c>
      <c r="G347" s="43">
        <f t="shared" si="154"/>
        <v>0</v>
      </c>
      <c r="H347" s="43">
        <f t="shared" si="154"/>
        <v>0</v>
      </c>
      <c r="I347" s="43">
        <f t="shared" si="154"/>
        <v>0</v>
      </c>
      <c r="J347" s="43">
        <f t="shared" si="154"/>
        <v>0</v>
      </c>
      <c r="K347" s="43">
        <f t="shared" si="154"/>
        <v>0</v>
      </c>
      <c r="L347" s="43">
        <f t="shared" si="154"/>
        <v>0</v>
      </c>
      <c r="M347" s="43">
        <f t="shared" si="154"/>
        <v>0</v>
      </c>
      <c r="N347" s="43">
        <f t="shared" si="154"/>
        <v>0</v>
      </c>
    </row>
    <row r="348" spans="1:14" ht="12.75">
      <c r="A348" s="4" t="str">
        <f>A251</f>
        <v>VGS Grading</v>
      </c>
      <c r="B348" s="43">
        <f aca="true" t="shared" si="155" ref="B348:N348">IF(AND(B$335&gt;=$J251,B$335&lt;=$K251),$F251+$F252,0)</f>
        <v>0</v>
      </c>
      <c r="C348" s="43">
        <f t="shared" si="155"/>
        <v>0</v>
      </c>
      <c r="D348" s="43">
        <f t="shared" si="155"/>
        <v>3.698616</v>
      </c>
      <c r="E348" s="43">
        <f t="shared" si="155"/>
        <v>3.698616</v>
      </c>
      <c r="F348" s="43">
        <f t="shared" si="155"/>
        <v>0</v>
      </c>
      <c r="G348" s="43">
        <f t="shared" si="155"/>
        <v>0</v>
      </c>
      <c r="H348" s="43">
        <f t="shared" si="155"/>
        <v>0</v>
      </c>
      <c r="I348" s="43">
        <f t="shared" si="155"/>
        <v>0</v>
      </c>
      <c r="J348" s="43">
        <f t="shared" si="155"/>
        <v>0</v>
      </c>
      <c r="K348" s="43">
        <f t="shared" si="155"/>
        <v>0</v>
      </c>
      <c r="L348" s="43">
        <f t="shared" si="155"/>
        <v>0</v>
      </c>
      <c r="M348" s="43">
        <f t="shared" si="155"/>
        <v>0</v>
      </c>
      <c r="N348" s="43">
        <f t="shared" si="155"/>
        <v>0</v>
      </c>
    </row>
    <row r="349" spans="1:14" ht="12.75">
      <c r="A349" s="4" t="str">
        <f>A253</f>
        <v>VGS Foundations </v>
      </c>
      <c r="B349" s="43">
        <f aca="true" t="shared" si="156" ref="B349:N349">IF(AND(B$335&gt;=$J253,B$335&lt;=$K253),$F253+$F254,0)</f>
        <v>0</v>
      </c>
      <c r="C349" s="43">
        <f t="shared" si="156"/>
        <v>0</v>
      </c>
      <c r="D349" s="43">
        <f t="shared" si="156"/>
        <v>0</v>
      </c>
      <c r="E349" s="43">
        <f t="shared" si="156"/>
        <v>0</v>
      </c>
      <c r="F349" s="43">
        <f t="shared" si="156"/>
        <v>2.2287760000000003</v>
      </c>
      <c r="G349" s="43">
        <f t="shared" si="156"/>
        <v>2.2287760000000003</v>
      </c>
      <c r="H349" s="43">
        <f t="shared" si="156"/>
        <v>2.2287760000000003</v>
      </c>
      <c r="I349" s="43">
        <f t="shared" si="156"/>
        <v>2.2287760000000003</v>
      </c>
      <c r="J349" s="43">
        <f t="shared" si="156"/>
        <v>2.2287760000000003</v>
      </c>
      <c r="K349" s="43">
        <f t="shared" si="156"/>
        <v>0</v>
      </c>
      <c r="L349" s="43">
        <f t="shared" si="156"/>
        <v>0</v>
      </c>
      <c r="M349" s="43">
        <f t="shared" si="156"/>
        <v>0</v>
      </c>
      <c r="N349" s="43">
        <f t="shared" si="156"/>
        <v>0</v>
      </c>
    </row>
    <row r="350" spans="1:14" ht="12.75">
      <c r="A350" s="4" t="str">
        <f>A255</f>
        <v>VGS Paving</v>
      </c>
      <c r="B350" s="43">
        <f aca="true" t="shared" si="157" ref="B350:N350">IF(AND(B$335&gt;=$J255,B$335&lt;=$K255),$F255+$F256,0)</f>
        <v>0</v>
      </c>
      <c r="C350" s="43">
        <f t="shared" si="157"/>
        <v>0</v>
      </c>
      <c r="D350" s="43">
        <f t="shared" si="157"/>
        <v>0</v>
      </c>
      <c r="E350" s="43">
        <f t="shared" si="157"/>
        <v>0</v>
      </c>
      <c r="F350" s="43">
        <f t="shared" si="157"/>
        <v>0</v>
      </c>
      <c r="G350" s="43">
        <f t="shared" si="157"/>
        <v>0</v>
      </c>
      <c r="H350" s="43">
        <f t="shared" si="157"/>
        <v>0</v>
      </c>
      <c r="I350" s="43">
        <f t="shared" si="157"/>
        <v>2.5934239999999997</v>
      </c>
      <c r="J350" s="43">
        <f t="shared" si="157"/>
        <v>2.5934239999999997</v>
      </c>
      <c r="K350" s="43">
        <f t="shared" si="157"/>
        <v>2.5934239999999997</v>
      </c>
      <c r="L350" s="43">
        <f t="shared" si="157"/>
        <v>0</v>
      </c>
      <c r="M350" s="43">
        <f t="shared" si="157"/>
        <v>0</v>
      </c>
      <c r="N350" s="43">
        <f t="shared" si="157"/>
        <v>0</v>
      </c>
    </row>
    <row r="351" spans="1:14" ht="12.75">
      <c r="A351" s="4" t="str">
        <f>A257</f>
        <v>VGS Equipment Installation</v>
      </c>
      <c r="B351" s="43">
        <f aca="true" t="shared" si="158" ref="B351:N351">IF(AND(B$335&gt;=$J257,B$335&lt;=$K257),$F257+$F258,0)</f>
        <v>0</v>
      </c>
      <c r="C351" s="43">
        <f t="shared" si="158"/>
        <v>0</v>
      </c>
      <c r="D351" s="43">
        <f t="shared" si="158"/>
        <v>0</v>
      </c>
      <c r="E351" s="43">
        <f t="shared" si="158"/>
        <v>0</v>
      </c>
      <c r="F351" s="43">
        <f t="shared" si="158"/>
        <v>0</v>
      </c>
      <c r="G351" s="43">
        <f t="shared" si="158"/>
        <v>0</v>
      </c>
      <c r="H351" s="43">
        <f t="shared" si="158"/>
        <v>0</v>
      </c>
      <c r="I351" s="43">
        <f t="shared" si="158"/>
        <v>0</v>
      </c>
      <c r="J351" s="43">
        <f t="shared" si="158"/>
        <v>0</v>
      </c>
      <c r="K351" s="43">
        <f t="shared" si="158"/>
        <v>0</v>
      </c>
      <c r="L351" s="43">
        <f t="shared" si="158"/>
        <v>0</v>
      </c>
      <c r="M351" s="43" t="e">
        <f t="shared" si="158"/>
        <v>#REF!</v>
      </c>
      <c r="N351" s="43" t="e">
        <f t="shared" si="158"/>
        <v>#REF!</v>
      </c>
    </row>
    <row r="352" spans="1:14" ht="12.75">
      <c r="A352" s="15" t="s">
        <v>24</v>
      </c>
      <c r="B352" s="44">
        <f aca="true" t="shared" si="159" ref="B352:N352">SUM(B336:B351)</f>
        <v>31.3704592</v>
      </c>
      <c r="C352" s="44">
        <f t="shared" si="159"/>
        <v>31.3704592</v>
      </c>
      <c r="D352" s="44">
        <f t="shared" si="159"/>
        <v>29.587864000000003</v>
      </c>
      <c r="E352" s="44">
        <f t="shared" si="159"/>
        <v>29.587864000000003</v>
      </c>
      <c r="F352" s="44">
        <f t="shared" si="159"/>
        <v>28.118024000000002</v>
      </c>
      <c r="G352" s="44">
        <f t="shared" si="159"/>
        <v>38.39900000000001</v>
      </c>
      <c r="H352" s="44">
        <f t="shared" si="159"/>
        <v>38.39900000000001</v>
      </c>
      <c r="I352" s="44">
        <f t="shared" si="159"/>
        <v>24.670436</v>
      </c>
      <c r="J352" s="44">
        <f t="shared" si="159"/>
        <v>24.670436</v>
      </c>
      <c r="K352" s="44">
        <f t="shared" si="159"/>
        <v>22.44166</v>
      </c>
      <c r="L352" s="44">
        <f t="shared" si="159"/>
        <v>19.848236</v>
      </c>
      <c r="M352" s="44" t="e">
        <f t="shared" si="159"/>
        <v>#REF!</v>
      </c>
      <c r="N352" s="44" t="e">
        <f t="shared" si="159"/>
        <v>#REF!</v>
      </c>
    </row>
    <row r="353" spans="1:14" ht="12.75">
      <c r="A353" s="39" t="s">
        <v>132</v>
      </c>
      <c r="B353" s="48"/>
      <c r="C353" s="49"/>
      <c r="D353" s="49"/>
      <c r="E353" s="49"/>
      <c r="F353" s="49"/>
      <c r="G353" s="49"/>
      <c r="H353" s="49"/>
      <c r="I353" s="49"/>
      <c r="J353" s="49"/>
      <c r="K353" s="49"/>
      <c r="L353" s="47"/>
      <c r="M353" s="47"/>
      <c r="N353" s="47"/>
    </row>
    <row r="354" spans="1:14" ht="12.75">
      <c r="A354" s="62" t="s">
        <v>276</v>
      </c>
      <c r="B354" s="48"/>
      <c r="C354" s="49"/>
      <c r="D354" s="49"/>
      <c r="E354" s="49"/>
      <c r="F354" s="49"/>
      <c r="G354" s="49"/>
      <c r="H354" s="49"/>
      <c r="I354" s="49"/>
      <c r="J354" s="49"/>
      <c r="K354" s="49"/>
      <c r="L354" s="47"/>
      <c r="M354" s="47"/>
      <c r="N354" s="47"/>
    </row>
    <row r="355" spans="1:11" ht="12.75">
      <c r="A355" s="29"/>
      <c r="B355" s="48"/>
      <c r="C355" s="49"/>
      <c r="D355" s="49"/>
      <c r="E355" s="49"/>
      <c r="F355" s="49"/>
      <c r="G355" s="49"/>
      <c r="H355" s="49"/>
      <c r="I355" s="49"/>
      <c r="J355" s="49"/>
      <c r="K355" s="49"/>
    </row>
    <row r="356" spans="1:11" ht="12.75">
      <c r="A356" s="29"/>
      <c r="B356" s="48"/>
      <c r="C356" s="49"/>
      <c r="D356" s="49"/>
      <c r="E356" s="49"/>
      <c r="F356" s="49"/>
      <c r="G356" s="49"/>
      <c r="H356" s="49"/>
      <c r="I356" s="49"/>
      <c r="J356" s="49"/>
      <c r="K356" s="49"/>
    </row>
    <row r="357" spans="1:14" ht="12.75">
      <c r="A357" s="86" t="s">
        <v>346</v>
      </c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</row>
    <row r="358" spans="1:14" ht="15">
      <c r="A358" s="85" t="s">
        <v>360</v>
      </c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</row>
    <row r="359" spans="1:14" ht="12.75">
      <c r="A359" s="37" t="s">
        <v>87</v>
      </c>
      <c r="B359" s="69">
        <v>1</v>
      </c>
      <c r="C359" s="69">
        <v>10</v>
      </c>
      <c r="D359" s="69">
        <v>11</v>
      </c>
      <c r="E359" s="69">
        <v>15</v>
      </c>
      <c r="F359" s="69">
        <v>16</v>
      </c>
      <c r="G359" s="69">
        <v>18</v>
      </c>
      <c r="H359" s="69">
        <v>20</v>
      </c>
      <c r="I359" s="69">
        <v>21</v>
      </c>
      <c r="J359" s="69">
        <v>22</v>
      </c>
      <c r="K359" s="69">
        <v>25</v>
      </c>
      <c r="L359" s="69">
        <v>28</v>
      </c>
      <c r="M359" s="69">
        <v>29</v>
      </c>
      <c r="N359" s="69">
        <v>150</v>
      </c>
    </row>
    <row r="360" spans="1:14" ht="12.75">
      <c r="A360" s="4" t="str">
        <f>A227</f>
        <v>HGS Tank Demolition</v>
      </c>
      <c r="B360" s="43">
        <f aca="true" t="shared" si="160" ref="B360:N360">IF(AND(B$359&gt;=$J227,B$359&lt;=$K227),$I227+$I228,0)</f>
        <v>97.78695268200377</v>
      </c>
      <c r="C360" s="43">
        <f t="shared" si="160"/>
        <v>97.78695268200377</v>
      </c>
      <c r="D360" s="43">
        <f t="shared" si="160"/>
        <v>0</v>
      </c>
      <c r="E360" s="43">
        <f t="shared" si="160"/>
        <v>0</v>
      </c>
      <c r="F360" s="43">
        <f t="shared" si="160"/>
        <v>0</v>
      </c>
      <c r="G360" s="43">
        <f t="shared" si="160"/>
        <v>0</v>
      </c>
      <c r="H360" s="43">
        <f t="shared" si="160"/>
        <v>0</v>
      </c>
      <c r="I360" s="43">
        <f t="shared" si="160"/>
        <v>0</v>
      </c>
      <c r="J360" s="43">
        <f t="shared" si="160"/>
        <v>0</v>
      </c>
      <c r="K360" s="43">
        <f t="shared" si="160"/>
        <v>0</v>
      </c>
      <c r="L360" s="43">
        <f t="shared" si="160"/>
        <v>0</v>
      </c>
      <c r="M360" s="43">
        <f t="shared" si="160"/>
        <v>0</v>
      </c>
      <c r="N360" s="43">
        <f t="shared" si="160"/>
        <v>0</v>
      </c>
    </row>
    <row r="361" spans="1:14" ht="12.75">
      <c r="A361" s="4" t="str">
        <f>A229</f>
        <v>HGS Backfill</v>
      </c>
      <c r="B361" s="43">
        <f aca="true" t="shared" si="161" ref="B361:N361">IF(AND(B$359&gt;=$J229,B$359&lt;=$K229),$I229+$I230,0)</f>
        <v>0</v>
      </c>
      <c r="C361" s="43">
        <f t="shared" si="161"/>
        <v>0</v>
      </c>
      <c r="D361" s="43">
        <f t="shared" si="161"/>
        <v>227.97289616407107</v>
      </c>
      <c r="E361" s="43">
        <f t="shared" si="161"/>
        <v>227.97289616407107</v>
      </c>
      <c r="F361" s="43">
        <f t="shared" si="161"/>
        <v>227.97289616407107</v>
      </c>
      <c r="G361" s="43">
        <f t="shared" si="161"/>
        <v>227.97289616407107</v>
      </c>
      <c r="H361" s="43">
        <f t="shared" si="161"/>
        <v>227.97289616407107</v>
      </c>
      <c r="I361" s="43">
        <f t="shared" si="161"/>
        <v>0</v>
      </c>
      <c r="J361" s="43">
        <f t="shared" si="161"/>
        <v>0</v>
      </c>
      <c r="K361" s="43">
        <f t="shared" si="161"/>
        <v>0</v>
      </c>
      <c r="L361" s="43">
        <f t="shared" si="161"/>
        <v>0</v>
      </c>
      <c r="M361" s="43">
        <f t="shared" si="161"/>
        <v>0</v>
      </c>
      <c r="N361" s="43">
        <f t="shared" si="161"/>
        <v>0</v>
      </c>
    </row>
    <row r="362" spans="1:14" ht="12.75">
      <c r="A362" s="4" t="str">
        <f>A231</f>
        <v>HGS Grading</v>
      </c>
      <c r="B362" s="43">
        <f aca="true" t="shared" si="162" ref="B362:N362">IF(AND(B$359&gt;=$J231,B$359&lt;=$K231),$I231+$I232,0)</f>
        <v>0</v>
      </c>
      <c r="C362" s="43">
        <f t="shared" si="162"/>
        <v>0</v>
      </c>
      <c r="D362" s="43">
        <f t="shared" si="162"/>
        <v>0</v>
      </c>
      <c r="E362" s="43">
        <f t="shared" si="162"/>
        <v>0</v>
      </c>
      <c r="F362" s="43">
        <f t="shared" si="162"/>
        <v>0</v>
      </c>
      <c r="G362" s="43">
        <f t="shared" si="162"/>
        <v>6.686364355303537</v>
      </c>
      <c r="H362" s="43">
        <f t="shared" si="162"/>
        <v>6.686364355303537</v>
      </c>
      <c r="I362" s="43">
        <f t="shared" si="162"/>
        <v>0</v>
      </c>
      <c r="J362" s="43">
        <f t="shared" si="162"/>
        <v>0</v>
      </c>
      <c r="K362" s="43">
        <f t="shared" si="162"/>
        <v>0</v>
      </c>
      <c r="L362" s="43">
        <f t="shared" si="162"/>
        <v>0</v>
      </c>
      <c r="M362" s="43">
        <f t="shared" si="162"/>
        <v>0</v>
      </c>
      <c r="N362" s="43">
        <f t="shared" si="162"/>
        <v>0</v>
      </c>
    </row>
    <row r="363" spans="1:14" ht="12.75">
      <c r="A363" s="4" t="str">
        <f>A233</f>
        <v>HGS Foundations </v>
      </c>
      <c r="B363" s="43">
        <f aca="true" t="shared" si="163" ref="B363:N363">IF(AND(B$359&gt;=$J233,B$359&lt;=$K233),$I233+$I234,0)</f>
        <v>0</v>
      </c>
      <c r="C363" s="43">
        <f t="shared" si="163"/>
        <v>0</v>
      </c>
      <c r="D363" s="43">
        <f t="shared" si="163"/>
        <v>0</v>
      </c>
      <c r="E363" s="43">
        <f t="shared" si="163"/>
        <v>0</v>
      </c>
      <c r="F363" s="43">
        <f t="shared" si="163"/>
        <v>0</v>
      </c>
      <c r="G363" s="43">
        <f t="shared" si="163"/>
        <v>0</v>
      </c>
      <c r="H363" s="43">
        <f t="shared" si="163"/>
        <v>0</v>
      </c>
      <c r="I363" s="43">
        <f t="shared" si="163"/>
        <v>132.3023784801454</v>
      </c>
      <c r="J363" s="43">
        <f t="shared" si="163"/>
        <v>132.3023784801454</v>
      </c>
      <c r="K363" s="43">
        <f t="shared" si="163"/>
        <v>132.3023784801454</v>
      </c>
      <c r="L363" s="43">
        <f t="shared" si="163"/>
        <v>132.3023784801454</v>
      </c>
      <c r="M363" s="43">
        <f t="shared" si="163"/>
        <v>0</v>
      </c>
      <c r="N363" s="43">
        <f t="shared" si="163"/>
        <v>0</v>
      </c>
    </row>
    <row r="364" spans="1:14" ht="12.75">
      <c r="A364" s="4" t="str">
        <f>A235</f>
        <v>HGS Paving</v>
      </c>
      <c r="B364" s="43">
        <f aca="true" t="shared" si="164" ref="B364:N364">IF(AND(B$359&gt;=$J235,B$359&lt;=$K235),$I235+$I236,0)</f>
        <v>0</v>
      </c>
      <c r="C364" s="43">
        <f t="shared" si="164"/>
        <v>0</v>
      </c>
      <c r="D364" s="43">
        <f t="shared" si="164"/>
        <v>0</v>
      </c>
      <c r="E364" s="43">
        <f t="shared" si="164"/>
        <v>0</v>
      </c>
      <c r="F364" s="43">
        <f t="shared" si="164"/>
        <v>0</v>
      </c>
      <c r="G364" s="43">
        <f t="shared" si="164"/>
        <v>0</v>
      </c>
      <c r="H364" s="43">
        <f t="shared" si="164"/>
        <v>0</v>
      </c>
      <c r="I364" s="43">
        <f t="shared" si="164"/>
        <v>58.43200475041253</v>
      </c>
      <c r="J364" s="43">
        <f t="shared" si="164"/>
        <v>58.43200475041253</v>
      </c>
      <c r="K364" s="43">
        <f t="shared" si="164"/>
        <v>58.43200475041253</v>
      </c>
      <c r="L364" s="43">
        <f t="shared" si="164"/>
        <v>58.43200475041253</v>
      </c>
      <c r="M364" s="43">
        <f t="shared" si="164"/>
        <v>0</v>
      </c>
      <c r="N364" s="43">
        <f t="shared" si="164"/>
        <v>0</v>
      </c>
    </row>
    <row r="365" spans="1:14" ht="12.75">
      <c r="A365" s="4" t="str">
        <f>A237</f>
        <v>HGS Equipment Installation</v>
      </c>
      <c r="B365" s="43">
        <f aca="true" t="shared" si="165" ref="B365:N365">IF(AND(B$359&gt;=$J237,B$359&lt;=$K237),$I237+$I238,0)</f>
        <v>0</v>
      </c>
      <c r="C365" s="43">
        <f t="shared" si="165"/>
        <v>0</v>
      </c>
      <c r="D365" s="43">
        <f t="shared" si="165"/>
        <v>0</v>
      </c>
      <c r="E365" s="43">
        <f t="shared" si="165"/>
        <v>0</v>
      </c>
      <c r="F365" s="43">
        <f t="shared" si="165"/>
        <v>0</v>
      </c>
      <c r="G365" s="43">
        <f t="shared" si="165"/>
        <v>0</v>
      </c>
      <c r="H365" s="43">
        <f t="shared" si="165"/>
        <v>0</v>
      </c>
      <c r="I365" s="43">
        <f t="shared" si="165"/>
        <v>0</v>
      </c>
      <c r="J365" s="43">
        <f t="shared" si="165"/>
        <v>0</v>
      </c>
      <c r="K365" s="43">
        <f t="shared" si="165"/>
        <v>0</v>
      </c>
      <c r="L365" s="43">
        <f t="shared" si="165"/>
        <v>0</v>
      </c>
      <c r="M365" s="43">
        <f t="shared" si="165"/>
        <v>78.01596415620983</v>
      </c>
      <c r="N365" s="43">
        <f t="shared" si="165"/>
        <v>78.01596415620983</v>
      </c>
    </row>
    <row r="366" spans="1:14" ht="12.75">
      <c r="A366" s="4" t="str">
        <f>A239</f>
        <v>SGS Slab Demolition</v>
      </c>
      <c r="B366" s="43">
        <f aca="true" t="shared" si="166" ref="B366:N366">IF(AND(B$359&gt;=$J239,B$359&lt;=$K239),$I239+$I240,0)</f>
        <v>51.00451039386885</v>
      </c>
      <c r="C366" s="43">
        <f t="shared" si="166"/>
        <v>51.00451039386885</v>
      </c>
      <c r="D366" s="43">
        <f t="shared" si="166"/>
        <v>0</v>
      </c>
      <c r="E366" s="43">
        <f t="shared" si="166"/>
        <v>0</v>
      </c>
      <c r="F366" s="43">
        <f t="shared" si="166"/>
        <v>0</v>
      </c>
      <c r="G366" s="43">
        <f t="shared" si="166"/>
        <v>0</v>
      </c>
      <c r="H366" s="43">
        <f t="shared" si="166"/>
        <v>0</v>
      </c>
      <c r="I366" s="43">
        <f t="shared" si="166"/>
        <v>0</v>
      </c>
      <c r="J366" s="43">
        <f t="shared" si="166"/>
        <v>0</v>
      </c>
      <c r="K366" s="43">
        <f t="shared" si="166"/>
        <v>0</v>
      </c>
      <c r="L366" s="43">
        <f t="shared" si="166"/>
        <v>0</v>
      </c>
      <c r="M366" s="43">
        <f t="shared" si="166"/>
        <v>0</v>
      </c>
      <c r="N366" s="43">
        <f t="shared" si="166"/>
        <v>0</v>
      </c>
    </row>
    <row r="367" spans="1:14" ht="12.75">
      <c r="A367" s="4" t="str">
        <f>A241</f>
        <v>SGS Grading</v>
      </c>
      <c r="B367" s="43">
        <f aca="true" t="shared" si="167" ref="B367:N367">IF(AND(B$359&gt;=$J241,B$359&lt;=$K241),$I241+$I242,0)</f>
        <v>0</v>
      </c>
      <c r="C367" s="43">
        <f t="shared" si="167"/>
        <v>0</v>
      </c>
      <c r="D367" s="43">
        <f t="shared" si="167"/>
        <v>0</v>
      </c>
      <c r="E367" s="43">
        <f t="shared" si="167"/>
        <v>0</v>
      </c>
      <c r="F367" s="43">
        <f t="shared" si="167"/>
        <v>0</v>
      </c>
      <c r="G367" s="43">
        <f t="shared" si="167"/>
        <v>5.304704652500198</v>
      </c>
      <c r="H367" s="43">
        <f t="shared" si="167"/>
        <v>5.304704652500198</v>
      </c>
      <c r="I367" s="43">
        <f t="shared" si="167"/>
        <v>0</v>
      </c>
      <c r="J367" s="43">
        <f t="shared" si="167"/>
        <v>0</v>
      </c>
      <c r="K367" s="43">
        <f t="shared" si="167"/>
        <v>0</v>
      </c>
      <c r="L367" s="43">
        <f t="shared" si="167"/>
        <v>0</v>
      </c>
      <c r="M367" s="43">
        <f t="shared" si="167"/>
        <v>0</v>
      </c>
      <c r="N367" s="43">
        <f t="shared" si="167"/>
        <v>0</v>
      </c>
    </row>
    <row r="368" spans="1:14" ht="12.75">
      <c r="A368" s="4" t="str">
        <f>A243</f>
        <v>SGS Foundations </v>
      </c>
      <c r="B368" s="43">
        <f aca="true" t="shared" si="168" ref="B368:N368">IF(AND(B$359&gt;=$J243,B$359&lt;=$K243),$I243+$I244,0)</f>
        <v>0</v>
      </c>
      <c r="C368" s="43">
        <f t="shared" si="168"/>
        <v>0</v>
      </c>
      <c r="D368" s="43">
        <f t="shared" si="168"/>
        <v>0</v>
      </c>
      <c r="E368" s="43">
        <f t="shared" si="168"/>
        <v>0</v>
      </c>
      <c r="F368" s="43">
        <f t="shared" si="168"/>
        <v>0</v>
      </c>
      <c r="G368" s="43">
        <f t="shared" si="168"/>
        <v>0</v>
      </c>
      <c r="H368" s="43">
        <f t="shared" si="168"/>
        <v>0</v>
      </c>
      <c r="I368" s="43">
        <f t="shared" si="168"/>
        <v>25.480378363426937</v>
      </c>
      <c r="J368" s="43">
        <f t="shared" si="168"/>
        <v>25.480378363426937</v>
      </c>
      <c r="K368" s="43">
        <f t="shared" si="168"/>
        <v>25.480378363426937</v>
      </c>
      <c r="L368" s="43">
        <f t="shared" si="168"/>
        <v>25.480378363426937</v>
      </c>
      <c r="M368" s="43">
        <f t="shared" si="168"/>
        <v>0</v>
      </c>
      <c r="N368" s="43">
        <f t="shared" si="168"/>
        <v>0</v>
      </c>
    </row>
    <row r="369" spans="1:14" ht="12.75">
      <c r="A369" s="4" t="str">
        <f>A245</f>
        <v>SGS Paving</v>
      </c>
      <c r="B369" s="43">
        <f aca="true" t="shared" si="169" ref="B369:N369">IF(AND(B$359&gt;=$J245,B$359&lt;=$K245),$I245+$I246,0)</f>
        <v>0</v>
      </c>
      <c r="C369" s="43">
        <f t="shared" si="169"/>
        <v>0</v>
      </c>
      <c r="D369" s="43">
        <f t="shared" si="169"/>
        <v>0</v>
      </c>
      <c r="E369" s="43">
        <f t="shared" si="169"/>
        <v>0</v>
      </c>
      <c r="F369" s="43">
        <f t="shared" si="169"/>
        <v>0</v>
      </c>
      <c r="G369" s="43">
        <f t="shared" si="169"/>
        <v>0</v>
      </c>
      <c r="H369" s="43">
        <f t="shared" si="169"/>
        <v>0</v>
      </c>
      <c r="I369" s="43">
        <f t="shared" si="169"/>
        <v>18.290973203778908</v>
      </c>
      <c r="J369" s="43">
        <f t="shared" si="169"/>
        <v>18.290973203778908</v>
      </c>
      <c r="K369" s="43">
        <f t="shared" si="169"/>
        <v>18.290973203778908</v>
      </c>
      <c r="L369" s="43">
        <f t="shared" si="169"/>
        <v>18.290973203778908</v>
      </c>
      <c r="M369" s="43">
        <f t="shared" si="169"/>
        <v>0</v>
      </c>
      <c r="N369" s="43">
        <f t="shared" si="169"/>
        <v>0</v>
      </c>
    </row>
    <row r="370" spans="1:14" ht="12.75">
      <c r="A370" s="4" t="str">
        <f>A247</f>
        <v>SGS Equipment Installation</v>
      </c>
      <c r="B370" s="43">
        <f aca="true" t="shared" si="170" ref="B370:N370">IF(AND(B$359&gt;=$J247,B$359&lt;=$K247),$I247+$I248,0)</f>
        <v>0</v>
      </c>
      <c r="C370" s="43">
        <f t="shared" si="170"/>
        <v>0</v>
      </c>
      <c r="D370" s="43">
        <f t="shared" si="170"/>
        <v>0</v>
      </c>
      <c r="E370" s="43">
        <f t="shared" si="170"/>
        <v>0</v>
      </c>
      <c r="F370" s="43">
        <f t="shared" si="170"/>
        <v>0</v>
      </c>
      <c r="G370" s="43">
        <f t="shared" si="170"/>
        <v>0</v>
      </c>
      <c r="H370" s="43">
        <f t="shared" si="170"/>
        <v>0</v>
      </c>
      <c r="I370" s="43">
        <f t="shared" si="170"/>
        <v>0</v>
      </c>
      <c r="J370" s="43">
        <f t="shared" si="170"/>
        <v>0</v>
      </c>
      <c r="K370" s="43">
        <f t="shared" si="170"/>
        <v>0</v>
      </c>
      <c r="L370" s="43">
        <f t="shared" si="170"/>
        <v>0</v>
      </c>
      <c r="M370" s="43">
        <f t="shared" si="170"/>
        <v>43.8100109282929</v>
      </c>
      <c r="N370" s="43">
        <f t="shared" si="170"/>
        <v>43.8100109282929</v>
      </c>
    </row>
    <row r="371" spans="1:14" ht="12.75">
      <c r="A371" s="4" t="str">
        <f>A249</f>
        <v>VGS Demolition</v>
      </c>
      <c r="B371" s="43">
        <f aca="true" t="shared" si="171" ref="B371:N371">IF(AND(B$359&gt;=$J249,B$359&lt;=$K249),$I249+$I250,0)</f>
        <v>36.17715911412406</v>
      </c>
      <c r="C371" s="43">
        <f t="shared" si="171"/>
        <v>36.17715911412406</v>
      </c>
      <c r="D371" s="43">
        <f t="shared" si="171"/>
        <v>0</v>
      </c>
      <c r="E371" s="43">
        <f t="shared" si="171"/>
        <v>0</v>
      </c>
      <c r="F371" s="43">
        <f t="shared" si="171"/>
        <v>0</v>
      </c>
      <c r="G371" s="43">
        <f t="shared" si="171"/>
        <v>0</v>
      </c>
      <c r="H371" s="43">
        <f t="shared" si="171"/>
        <v>0</v>
      </c>
      <c r="I371" s="43">
        <f t="shared" si="171"/>
        <v>0</v>
      </c>
      <c r="J371" s="43">
        <f t="shared" si="171"/>
        <v>0</v>
      </c>
      <c r="K371" s="43">
        <f t="shared" si="171"/>
        <v>0</v>
      </c>
      <c r="L371" s="43">
        <f t="shared" si="171"/>
        <v>0</v>
      </c>
      <c r="M371" s="43">
        <f t="shared" si="171"/>
        <v>0</v>
      </c>
      <c r="N371" s="43">
        <f t="shared" si="171"/>
        <v>0</v>
      </c>
    </row>
    <row r="372" spans="1:14" ht="12.75">
      <c r="A372" s="4" t="str">
        <f>A251</f>
        <v>VGS Grading</v>
      </c>
      <c r="B372" s="43">
        <f aca="true" t="shared" si="172" ref="B372:N372">IF(AND(B$359&gt;=$J251,B$359&lt;=$K251),$I251+$I252,0)</f>
        <v>0</v>
      </c>
      <c r="C372" s="43">
        <f t="shared" si="172"/>
        <v>0</v>
      </c>
      <c r="D372" s="43">
        <f t="shared" si="172"/>
        <v>4.523556355303537</v>
      </c>
      <c r="E372" s="43">
        <f t="shared" si="172"/>
        <v>4.523556355303537</v>
      </c>
      <c r="F372" s="43">
        <f t="shared" si="172"/>
        <v>0</v>
      </c>
      <c r="G372" s="43">
        <f t="shared" si="172"/>
        <v>0</v>
      </c>
      <c r="H372" s="43">
        <f t="shared" si="172"/>
        <v>0</v>
      </c>
      <c r="I372" s="43">
        <f t="shared" si="172"/>
        <v>0</v>
      </c>
      <c r="J372" s="43">
        <f t="shared" si="172"/>
        <v>0</v>
      </c>
      <c r="K372" s="43">
        <f t="shared" si="172"/>
        <v>0</v>
      </c>
      <c r="L372" s="43">
        <f t="shared" si="172"/>
        <v>0</v>
      </c>
      <c r="M372" s="43">
        <f t="shared" si="172"/>
        <v>0</v>
      </c>
      <c r="N372" s="43">
        <f t="shared" si="172"/>
        <v>0</v>
      </c>
    </row>
    <row r="373" spans="1:14" ht="12.75">
      <c r="A373" s="4" t="str">
        <f>A253</f>
        <v>VGS Foundations </v>
      </c>
      <c r="B373" s="43">
        <f aca="true" t="shared" si="173" ref="B373:N373">IF(AND(B$359&gt;=$J253,B$359&lt;=$K253),$I253+$I254,0)</f>
        <v>0</v>
      </c>
      <c r="C373" s="43">
        <f t="shared" si="173"/>
        <v>0</v>
      </c>
      <c r="D373" s="43">
        <f t="shared" si="173"/>
        <v>0</v>
      </c>
      <c r="E373" s="43">
        <f t="shared" si="173"/>
        <v>0</v>
      </c>
      <c r="F373" s="43">
        <f t="shared" si="173"/>
        <v>71.6738579165405</v>
      </c>
      <c r="G373" s="43">
        <f t="shared" si="173"/>
        <v>71.6738579165405</v>
      </c>
      <c r="H373" s="43">
        <f t="shared" si="173"/>
        <v>71.6738579165405</v>
      </c>
      <c r="I373" s="43">
        <f t="shared" si="173"/>
        <v>71.6738579165405</v>
      </c>
      <c r="J373" s="43">
        <f t="shared" si="173"/>
        <v>71.6738579165405</v>
      </c>
      <c r="K373" s="43">
        <f t="shared" si="173"/>
        <v>0</v>
      </c>
      <c r="L373" s="43">
        <f t="shared" si="173"/>
        <v>0</v>
      </c>
      <c r="M373" s="43">
        <f t="shared" si="173"/>
        <v>0</v>
      </c>
      <c r="N373" s="43">
        <f t="shared" si="173"/>
        <v>0</v>
      </c>
    </row>
    <row r="374" spans="1:14" ht="12.75">
      <c r="A374" s="4" t="str">
        <f>A255</f>
        <v>VGS Paving</v>
      </c>
      <c r="B374" s="43">
        <f aca="true" t="shared" si="174" ref="B374:N374">IF(AND(B$359&gt;=$J255,B$359&lt;=$K255),$I255+$I256,0)</f>
        <v>0</v>
      </c>
      <c r="C374" s="43">
        <f t="shared" si="174"/>
        <v>0</v>
      </c>
      <c r="D374" s="43">
        <f t="shared" si="174"/>
        <v>0</v>
      </c>
      <c r="E374" s="43">
        <f t="shared" si="174"/>
        <v>0</v>
      </c>
      <c r="F374" s="43">
        <f t="shared" si="174"/>
        <v>0</v>
      </c>
      <c r="G374" s="43">
        <f t="shared" si="174"/>
        <v>0</v>
      </c>
      <c r="H374" s="43">
        <f t="shared" si="174"/>
        <v>0</v>
      </c>
      <c r="I374" s="43">
        <f t="shared" si="174"/>
        <v>23.57305388360019</v>
      </c>
      <c r="J374" s="43">
        <f t="shared" si="174"/>
        <v>23.57305388360019</v>
      </c>
      <c r="K374" s="43">
        <f t="shared" si="174"/>
        <v>23.57305388360019</v>
      </c>
      <c r="L374" s="43">
        <f t="shared" si="174"/>
        <v>0</v>
      </c>
      <c r="M374" s="43">
        <f t="shared" si="174"/>
        <v>0</v>
      </c>
      <c r="N374" s="43">
        <f t="shared" si="174"/>
        <v>0</v>
      </c>
    </row>
    <row r="375" spans="1:14" ht="12.75">
      <c r="A375" s="4" t="str">
        <f>A257</f>
        <v>VGS Equipment Installation</v>
      </c>
      <c r="B375" s="43">
        <f aca="true" t="shared" si="175" ref="B375:N375">IF(AND(B$359&gt;=$J257,B$359&lt;=$K257),$I257+$I258,0)</f>
        <v>0</v>
      </c>
      <c r="C375" s="43">
        <f t="shared" si="175"/>
        <v>0</v>
      </c>
      <c r="D375" s="43">
        <f t="shared" si="175"/>
        <v>0</v>
      </c>
      <c r="E375" s="43">
        <f t="shared" si="175"/>
        <v>0</v>
      </c>
      <c r="F375" s="43">
        <f t="shared" si="175"/>
        <v>0</v>
      </c>
      <c r="G375" s="43">
        <f t="shared" si="175"/>
        <v>0</v>
      </c>
      <c r="H375" s="43">
        <f t="shared" si="175"/>
        <v>0</v>
      </c>
      <c r="I375" s="43">
        <f t="shared" si="175"/>
        <v>0</v>
      </c>
      <c r="J375" s="43">
        <f t="shared" si="175"/>
        <v>0</v>
      </c>
      <c r="K375" s="43">
        <f t="shared" si="175"/>
        <v>0</v>
      </c>
      <c r="L375" s="43">
        <f t="shared" si="175"/>
        <v>0</v>
      </c>
      <c r="M375" s="43" t="e">
        <f t="shared" si="175"/>
        <v>#REF!</v>
      </c>
      <c r="N375" s="43" t="e">
        <f t="shared" si="175"/>
        <v>#REF!</v>
      </c>
    </row>
    <row r="376" spans="1:14" ht="12.75">
      <c r="A376" s="15" t="s">
        <v>24</v>
      </c>
      <c r="B376" s="44">
        <f aca="true" t="shared" si="176" ref="B376:N376">SUM(B360:B375)</f>
        <v>184.9686221899967</v>
      </c>
      <c r="C376" s="44">
        <f t="shared" si="176"/>
        <v>184.9686221899967</v>
      </c>
      <c r="D376" s="44">
        <f t="shared" si="176"/>
        <v>232.4964525193746</v>
      </c>
      <c r="E376" s="44">
        <f t="shared" si="176"/>
        <v>232.4964525193746</v>
      </c>
      <c r="F376" s="44">
        <f t="shared" si="176"/>
        <v>299.6467540806116</v>
      </c>
      <c r="G376" s="44">
        <f t="shared" si="176"/>
        <v>311.6378230884153</v>
      </c>
      <c r="H376" s="44">
        <f t="shared" si="176"/>
        <v>311.6378230884153</v>
      </c>
      <c r="I376" s="44">
        <f t="shared" si="176"/>
        <v>329.75264659790446</v>
      </c>
      <c r="J376" s="44">
        <f t="shared" si="176"/>
        <v>329.75264659790446</v>
      </c>
      <c r="K376" s="44">
        <f t="shared" si="176"/>
        <v>258.07878868136396</v>
      </c>
      <c r="L376" s="44">
        <f t="shared" si="176"/>
        <v>234.50573479776378</v>
      </c>
      <c r="M376" s="44" t="e">
        <f t="shared" si="176"/>
        <v>#REF!</v>
      </c>
      <c r="N376" s="44" t="e">
        <f t="shared" si="176"/>
        <v>#REF!</v>
      </c>
    </row>
    <row r="377" spans="1:14" ht="12.75">
      <c r="A377" s="39" t="s">
        <v>132</v>
      </c>
      <c r="B377" s="48"/>
      <c r="C377" s="49"/>
      <c r="D377" s="49"/>
      <c r="E377" s="49"/>
      <c r="F377" s="49"/>
      <c r="G377" s="49"/>
      <c r="H377" s="49"/>
      <c r="I377" s="49"/>
      <c r="J377" s="49"/>
      <c r="K377" s="49"/>
      <c r="L377" s="47"/>
      <c r="M377" s="47"/>
      <c r="N377" s="47"/>
    </row>
    <row r="378" spans="1:11" ht="12.75">
      <c r="A378" s="62" t="s">
        <v>276</v>
      </c>
      <c r="B378" s="48"/>
      <c r="C378" s="49"/>
      <c r="D378" s="49"/>
      <c r="E378" s="49"/>
      <c r="F378" s="49"/>
      <c r="G378" s="49"/>
      <c r="H378" s="49"/>
      <c r="I378" s="49"/>
      <c r="J378" s="49"/>
      <c r="K378" s="49"/>
    </row>
    <row r="379" spans="1:11" ht="12.75">
      <c r="A379" s="29"/>
      <c r="B379" s="48"/>
      <c r="C379" s="49"/>
      <c r="D379" s="49"/>
      <c r="E379" s="49"/>
      <c r="F379" s="49"/>
      <c r="G379" s="49"/>
      <c r="H379" s="49"/>
      <c r="I379" s="49"/>
      <c r="J379" s="49"/>
      <c r="K379" s="49"/>
    </row>
  </sheetData>
  <sheetProtection/>
  <mergeCells count="28">
    <mergeCell ref="A60:N60"/>
    <mergeCell ref="A59:N59"/>
    <mergeCell ref="A2:H2"/>
    <mergeCell ref="A1:H1"/>
    <mergeCell ref="A23:K23"/>
    <mergeCell ref="A22:K22"/>
    <mergeCell ref="A84:N84"/>
    <mergeCell ref="A83:N83"/>
    <mergeCell ref="A108:N108"/>
    <mergeCell ref="A107:N107"/>
    <mergeCell ref="A132:N132"/>
    <mergeCell ref="A131:N131"/>
    <mergeCell ref="A156:N156"/>
    <mergeCell ref="A155:N155"/>
    <mergeCell ref="A180:H180"/>
    <mergeCell ref="A179:H179"/>
    <mergeCell ref="A225:K225"/>
    <mergeCell ref="A224:K224"/>
    <mergeCell ref="A262:N262"/>
    <mergeCell ref="A261:N261"/>
    <mergeCell ref="A286:N286"/>
    <mergeCell ref="A285:N285"/>
    <mergeCell ref="A358:N358"/>
    <mergeCell ref="A357:N357"/>
    <mergeCell ref="A310:N310"/>
    <mergeCell ref="A309:N309"/>
    <mergeCell ref="A334:N334"/>
    <mergeCell ref="A333:N333"/>
  </mergeCells>
  <printOptions horizontalCentered="1"/>
  <pageMargins left="0.75" right="0.75" top="1" bottom="1" header="0.5" footer="0.5"/>
  <pageSetup fitToHeight="100" orientation="landscape" scale="76" r:id="rId1"/>
  <headerFooter alignWithMargins="0">
    <oddFooter>&amp;R&amp;D</oddFooter>
  </headerFooter>
  <rowBreaks count="9" manualBreakCount="9">
    <brk id="21" max="255" man="1"/>
    <brk id="58" max="255" man="1"/>
    <brk id="106" max="255" man="1"/>
    <brk id="154" max="255" man="1"/>
    <brk id="178" max="255" man="1"/>
    <brk id="223" max="255" man="1"/>
    <brk id="260" max="255" man="1"/>
    <brk id="308" max="255" man="1"/>
    <brk id="35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111"/>
  <dimension ref="A1:N132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3" width="11.00390625" style="0" customWidth="1"/>
    <col min="4" max="4" width="9.8515625" style="0" customWidth="1"/>
    <col min="6" max="6" width="10.140625" style="0" customWidth="1"/>
    <col min="10" max="10" width="8.7109375" style="0" customWidth="1"/>
    <col min="13" max="15" width="0" style="0" hidden="1" customWidth="1"/>
  </cols>
  <sheetData>
    <row r="1" ht="12.75" hidden="1">
      <c r="A1" s="17" t="s">
        <v>361</v>
      </c>
    </row>
    <row r="2" ht="12.75" hidden="1">
      <c r="A2" s="52">
        <v>41</v>
      </c>
    </row>
    <row r="3" spans="1:12" ht="12.75">
      <c r="A3" s="87" t="str">
        <f>"Table "&amp;A$2&amp;"-A"</f>
        <v>Table 41-A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Alternative C VGS Demolition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42"/>
      <c r="H7" s="42"/>
      <c r="I7" s="42"/>
      <c r="J7" s="42"/>
      <c r="K7" s="42"/>
      <c r="L7" s="2"/>
    </row>
    <row r="8" spans="1:12" ht="12.75">
      <c r="A8" s="4" t="s">
        <v>43</v>
      </c>
      <c r="B8" s="2"/>
      <c r="C8" s="2"/>
      <c r="D8" s="2"/>
      <c r="E8" s="2"/>
      <c r="F8" s="2"/>
      <c r="G8" s="42"/>
      <c r="H8" s="42"/>
      <c r="I8" s="42"/>
      <c r="J8" s="42"/>
      <c r="K8" s="42"/>
      <c r="L8" s="43"/>
    </row>
    <row r="9" spans="1:12" ht="12.75">
      <c r="A9" s="4" t="s">
        <v>33</v>
      </c>
      <c r="B9" s="2">
        <v>1</v>
      </c>
      <c r="C9" s="2">
        <v>16</v>
      </c>
      <c r="D9" s="2">
        <f>B9*C9</f>
        <v>16</v>
      </c>
      <c r="E9" s="2">
        <v>1</v>
      </c>
      <c r="F9" s="2">
        <f>IF(E9&lt;&gt;"N/A",B9*E9,"N/A")</f>
        <v>1</v>
      </c>
      <c r="G9" s="42">
        <f>$D9*VLOOKUP($A9,'Const. Equip. Emission Factors'!$A$5:$N$25,10,FALSE)</f>
        <v>16.4052</v>
      </c>
      <c r="H9" s="42">
        <f>$D9*VLOOKUP($A9,'Const. Equip. Emission Factors'!$A$5:$N$25,11,FALSE)</f>
        <v>3.28104</v>
      </c>
      <c r="I9" s="42">
        <f>$D9*VLOOKUP($A9,'Const. Equip. Emission Factors'!$A$5:$N$25,12,FALSE)</f>
        <v>24.06096</v>
      </c>
      <c r="J9" s="42">
        <f>$D9*VLOOKUP($A9,'Const. Equip. Emission Factors'!$A$5:$N$25,13,FALSE)</f>
        <v>2.18736</v>
      </c>
      <c r="K9" s="42">
        <f>$D9*VLOOKUP($A9,'Const. Equip. Emission Factors'!$A$5:$N$25,14,FALSE)</f>
        <v>1.09368</v>
      </c>
      <c r="L9" s="43">
        <f>VLOOKUP(A9,'Const. Equip. Emission Factors'!$A$5:$P$23,16,FALSE)*D9</f>
        <v>54.684000000000005</v>
      </c>
    </row>
    <row r="10" spans="1:12" ht="12.75">
      <c r="A10" s="4" t="s">
        <v>48</v>
      </c>
      <c r="B10" s="2"/>
      <c r="C10" s="2"/>
      <c r="D10" s="2"/>
      <c r="E10" s="2"/>
      <c r="F10" s="2"/>
      <c r="G10" s="42"/>
      <c r="H10" s="42"/>
      <c r="I10" s="42"/>
      <c r="J10" s="42"/>
      <c r="K10" s="42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42"/>
      <c r="H11" s="42"/>
      <c r="I11" s="42"/>
      <c r="J11" s="42"/>
      <c r="K11" s="42"/>
      <c r="L11" s="2"/>
    </row>
    <row r="12" spans="1:12" ht="12.75">
      <c r="A12" s="4" t="s">
        <v>50</v>
      </c>
      <c r="B12" s="2">
        <v>1</v>
      </c>
      <c r="C12" s="2">
        <v>16</v>
      </c>
      <c r="D12" s="2">
        <f>B12*C12</f>
        <v>16</v>
      </c>
      <c r="E12" s="2" t="s">
        <v>84</v>
      </c>
      <c r="F12" s="2" t="str">
        <f>IF(E12&lt;&gt;"N/A",B12*E12,"N/A")</f>
        <v>N/A</v>
      </c>
      <c r="G12" s="42">
        <f>$D12*VLOOKUP($A12,'Const. Equip. Emission Factors'!$A$5:$N$25,10,FALSE)</f>
        <v>15.485535999999998</v>
      </c>
      <c r="H12" s="42">
        <f>$D12*VLOOKUP($A12,'Const. Equip. Emission Factors'!$A$5:$N$25,11,FALSE)</f>
        <v>1.4077759999999997</v>
      </c>
      <c r="I12" s="42">
        <f>$D12*VLOOKUP($A12,'Const. Equip. Emission Factors'!$A$5:$N$25,12,FALSE)</f>
        <v>33.786623999999996</v>
      </c>
      <c r="J12" s="42">
        <f>$D12*VLOOKUP($A12,'Const. Equip. Emission Factors'!$A$5:$N$25,13,FALSE)</f>
        <v>2.8155519999999994</v>
      </c>
      <c r="K12" s="42">
        <f>$D12*VLOOKUP($A12,'Const. Equip. Emission Factors'!$A$5:$N$25,14,FALSE)</f>
        <v>2.1116639999999998</v>
      </c>
      <c r="L12" s="43">
        <f>VLOOKUP(A12,'Const. Equip. Emission Factors'!$A$5:$P$23,16,FALSE)*D12</f>
        <v>70.3888</v>
      </c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>
        <v>1</v>
      </c>
      <c r="C14" s="2">
        <v>16</v>
      </c>
      <c r="D14" s="2">
        <f>B14*C14</f>
        <v>16</v>
      </c>
      <c r="E14" s="2">
        <v>1</v>
      </c>
      <c r="F14" s="2">
        <f>IF(E14&lt;&gt;"N/A",B14*E14,"N/A")</f>
        <v>1</v>
      </c>
      <c r="G14" s="42">
        <f>$D14*VLOOKUP($A14,'Const. Equip. Emission Factors'!$A$5:$N$25,10,FALSE)</f>
        <v>8.8164</v>
      </c>
      <c r="H14" s="42">
        <f>$D14*VLOOKUP($A14,'Const. Equip. Emission Factors'!$A$5:$N$25,11,FALSE)</f>
        <v>1.76328</v>
      </c>
      <c r="I14" s="42">
        <f>$D14*VLOOKUP($A14,'Const. Equip. Emission Factors'!$A$5:$N$25,12,FALSE)</f>
        <v>12.930719999999999</v>
      </c>
      <c r="J14" s="42">
        <f>$D14*VLOOKUP($A14,'Const. Equip. Emission Factors'!$A$5:$N$25,13,FALSE)</f>
        <v>1.1755200000000001</v>
      </c>
      <c r="K14" s="42">
        <f>$D14*VLOOKUP($A14,'Const. Equip. Emission Factors'!$A$5:$N$25,14,FALSE)</f>
        <v>0.5877600000000001</v>
      </c>
      <c r="L14" s="43">
        <f>VLOOKUP(A14,'Const. Equip. Emission Factors'!$A$5:$P$23,16,FALSE)*D14</f>
        <v>29.388</v>
      </c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>
        <v>1</v>
      </c>
      <c r="C18" s="2">
        <v>16</v>
      </c>
      <c r="D18" s="2">
        <f>B18*C18</f>
        <v>16</v>
      </c>
      <c r="E18" s="2" t="s">
        <v>84</v>
      </c>
      <c r="F18" s="2" t="str">
        <f>IF(E18&lt;&gt;"N/A",B18*E18,"N/A")</f>
        <v>N/A</v>
      </c>
      <c r="G18" s="42">
        <f>$D18*VLOOKUP($A18,'Const. Equip. Emission Factors'!$A$5:$N$25,10,FALSE)</f>
        <v>3.1257599999999996</v>
      </c>
      <c r="H18" s="42">
        <f>$D18*VLOOKUP($A18,'Const. Equip. Emission Factors'!$A$5:$N$25,11,FALSE)</f>
        <v>0.56832</v>
      </c>
      <c r="I18" s="42">
        <f>$D18*VLOOKUP($A18,'Const. Equip. Emission Factors'!$A$5:$N$25,12,FALSE)</f>
        <v>5.114879999999999</v>
      </c>
      <c r="J18" s="42">
        <f>$D18*VLOOKUP($A18,'Const. Equip. Emission Factors'!$A$5:$N$25,13,FALSE)</f>
        <v>0.56832</v>
      </c>
      <c r="K18" s="42">
        <f>$D18*VLOOKUP($A18,'Const. Equip. Emission Factors'!$A$5:$N$25,14,FALSE)</f>
        <v>0.28416</v>
      </c>
      <c r="L18" s="43">
        <f>VLOOKUP(A18,'Const. Equip. Emission Factors'!$A$5:$P$23,16,FALSE)*D18</f>
        <v>14.208000000000002</v>
      </c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42"/>
      <c r="H22" s="42"/>
      <c r="I22" s="42"/>
      <c r="J22" s="42"/>
      <c r="K22" s="42"/>
      <c r="L22" s="43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53.951296</v>
      </c>
      <c r="H23" s="46">
        <f t="shared" si="0"/>
        <v>8.538176</v>
      </c>
      <c r="I23" s="46">
        <f t="shared" si="0"/>
        <v>88.03526399999998</v>
      </c>
      <c r="J23" s="46">
        <f t="shared" si="0"/>
        <v>7.758591999999999</v>
      </c>
      <c r="K23" s="46">
        <f t="shared" si="0"/>
        <v>4.836143999999999</v>
      </c>
      <c r="L23" s="46">
        <f t="shared" si="0"/>
        <v>193.9648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41-B</v>
      </c>
      <c r="B26" s="87"/>
      <c r="C26" s="87"/>
      <c r="D26" s="87"/>
    </row>
    <row r="27" spans="1:4" ht="12.75">
      <c r="A27" s="85" t="str">
        <f>A$1&amp;" Fugitive Dust Emissions (Pre-Mitigation)"</f>
        <v>Alternative C VGS Demolition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SUM(F6:F22)-F8+E65+E66+E67+E68</f>
        <v>14</v>
      </c>
      <c r="C31" s="2" t="s">
        <v>46</v>
      </c>
      <c r="D31" s="43">
        <f>B31*'Fug. Dust Emission Factors'!C50</f>
        <v>4.252879101352072</v>
      </c>
    </row>
    <row r="32" spans="1:4" ht="12.75">
      <c r="A32" s="4" t="s">
        <v>110</v>
      </c>
      <c r="B32" s="14">
        <f>E64</f>
        <v>1</v>
      </c>
      <c r="C32" s="2" t="s">
        <v>46</v>
      </c>
      <c r="D32" s="43">
        <f>B32*'Fug. Dust Emission Factors'!C65</f>
        <v>0.29982544505479114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14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B71</f>
        <v>10</v>
      </c>
      <c r="C35" s="2" t="s">
        <v>166</v>
      </c>
      <c r="D35" s="43">
        <f>B35*'Fug. Dust Emission Factors'!C130</f>
        <v>16.026727138257996</v>
      </c>
    </row>
    <row r="36" spans="1:4" ht="12.75">
      <c r="A36" s="15" t="s">
        <v>24</v>
      </c>
      <c r="B36" s="4"/>
      <c r="C36" s="4"/>
      <c r="D36" s="44">
        <f>SUM(D29:D35)</f>
        <v>20.57943168466486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41-C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Alternative C VGS Demolition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41-D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Alternative C VGS Demolition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0" spans="1:7" ht="12.75">
      <c r="A50" s="50"/>
      <c r="B50" s="49"/>
      <c r="C50" s="29"/>
      <c r="D50" s="29"/>
      <c r="E50" s="29"/>
      <c r="F50" s="29"/>
      <c r="G50" s="29"/>
    </row>
    <row r="51" spans="1:7" ht="12.75">
      <c r="A51" s="87" t="str">
        <f>"Table "&amp;A$2&amp;"-E"</f>
        <v>Table 41-E</v>
      </c>
      <c r="B51" s="87"/>
      <c r="C51" s="87"/>
      <c r="D51" s="87"/>
      <c r="E51" s="87"/>
      <c r="F51" s="87"/>
      <c r="G51" s="87"/>
    </row>
    <row r="52" spans="1:7" ht="12.75">
      <c r="A52" s="85" t="str">
        <f>A$1&amp;" Tank Degassing (Pre-Mitigation)"</f>
        <v>Alternative C VGS Demolition Tank Degassing (Pre-Mitigation)</v>
      </c>
      <c r="B52" s="85"/>
      <c r="C52" s="86"/>
      <c r="D52" s="86"/>
      <c r="E52" s="86"/>
      <c r="F52" s="86"/>
      <c r="G52" s="86"/>
    </row>
    <row r="53" spans="1:8" ht="12.75">
      <c r="A53" s="51" t="s">
        <v>212</v>
      </c>
      <c r="B53" s="63"/>
      <c r="C53" s="33"/>
      <c r="D53" s="31"/>
      <c r="E53" s="31"/>
      <c r="F53" s="31"/>
      <c r="G53" s="31"/>
      <c r="H53" s="32"/>
    </row>
    <row r="54" spans="1:8" ht="12.75">
      <c r="A54" s="51" t="s">
        <v>177</v>
      </c>
      <c r="B54" s="66"/>
      <c r="C54" s="33"/>
      <c r="D54" s="31"/>
      <c r="E54" s="31"/>
      <c r="F54" s="31"/>
      <c r="G54" s="31"/>
      <c r="H54" s="32"/>
    </row>
    <row r="55" spans="1:8" ht="12.75">
      <c r="A55" s="51" t="s">
        <v>178</v>
      </c>
      <c r="B55" s="65"/>
      <c r="C55" s="33"/>
      <c r="D55" s="31"/>
      <c r="E55" s="31"/>
      <c r="F55" s="31"/>
      <c r="G55" s="31"/>
      <c r="H55" s="32"/>
    </row>
    <row r="56" spans="1:8" ht="12.75">
      <c r="A56" s="15" t="s">
        <v>92</v>
      </c>
      <c r="B56" s="44">
        <f>B54/14.7*B55/0.1301/(453.6+80)*B53</f>
        <v>0</v>
      </c>
      <c r="C56" s="33"/>
      <c r="D56" s="31"/>
      <c r="E56" s="31"/>
      <c r="F56" s="31"/>
      <c r="G56" s="31"/>
      <c r="H56" s="32"/>
    </row>
    <row r="57" spans="1:7" ht="12.75">
      <c r="A57" s="50"/>
      <c r="B57" s="49"/>
      <c r="C57" s="29"/>
      <c r="D57" s="29"/>
      <c r="E57" s="29"/>
      <c r="F57" s="29"/>
      <c r="G57" s="29"/>
    </row>
    <row r="58" spans="1:7" ht="12.75">
      <c r="A58" s="62" t="s">
        <v>280</v>
      </c>
      <c r="B58" s="49"/>
      <c r="C58" s="29"/>
      <c r="D58" s="29"/>
      <c r="E58" s="29"/>
      <c r="F58" s="29"/>
      <c r="G58" s="29"/>
    </row>
    <row r="59" spans="1:7" ht="12.75">
      <c r="A59" s="50"/>
      <c r="B59" s="49"/>
      <c r="C59" s="29"/>
      <c r="D59" s="29"/>
      <c r="E59" s="29"/>
      <c r="F59" s="29"/>
      <c r="G59" s="29"/>
    </row>
    <row r="60" spans="1:7" ht="12.75">
      <c r="A60" s="50"/>
      <c r="B60" s="49"/>
      <c r="C60" s="29"/>
      <c r="D60" s="29"/>
      <c r="E60" s="29"/>
      <c r="F60" s="29"/>
      <c r="G60" s="29"/>
    </row>
    <row r="61" spans="1:12" ht="12.75">
      <c r="A61" s="87" t="str">
        <f>"Table "&amp;A$2&amp;"-F"</f>
        <v>Table 41-F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12.75">
      <c r="A62" s="85" t="str">
        <f>A$1&amp;" Motor Vehicle Emissions (Pre-Mitigation)"</f>
        <v>Alternative C VGS Demolition Motor Vehicle Emissions (Pre-Mitigation)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 ht="42">
      <c r="A63" s="9" t="s">
        <v>0</v>
      </c>
      <c r="B63" s="9" t="s">
        <v>202</v>
      </c>
      <c r="C63" s="9" t="s">
        <v>203</v>
      </c>
      <c r="D63" s="9" t="s">
        <v>204</v>
      </c>
      <c r="E63" s="9" t="s">
        <v>198</v>
      </c>
      <c r="F63" s="9" t="s">
        <v>205</v>
      </c>
      <c r="G63" s="9" t="s">
        <v>193</v>
      </c>
      <c r="H63" s="9" t="s">
        <v>206</v>
      </c>
      <c r="I63" s="9" t="s">
        <v>207</v>
      </c>
      <c r="J63" s="9" t="s">
        <v>208</v>
      </c>
      <c r="K63" s="9" t="s">
        <v>209</v>
      </c>
      <c r="L63" s="3" t="s">
        <v>210</v>
      </c>
    </row>
    <row r="64" spans="1:12" ht="12.75">
      <c r="A64" s="4" t="s">
        <v>104</v>
      </c>
      <c r="B64" s="2">
        <v>1</v>
      </c>
      <c r="C64" s="2">
        <v>1</v>
      </c>
      <c r="D64" s="2">
        <v>10</v>
      </c>
      <c r="E64" s="14">
        <f>B64*C64</f>
        <v>1</v>
      </c>
      <c r="F64" s="14">
        <f>B64*D64</f>
        <v>10</v>
      </c>
      <c r="G64" s="42">
        <f>(E64*VLOOKUP(A64,'Motor Vehicle Emission Factors'!$A$6:$T$42,7,FALSE)+F64*VLOOKUP(A64,'Motor Vehicle Emission Factors'!$A$6:$T$42,8,FALSE))/453.6</f>
        <v>0.9013227513227513</v>
      </c>
      <c r="H64" s="42">
        <f>(E64*VLOOKUP(A64,'Motor Vehicle Emission Factors'!$A$6:$T$42,9,FALSE)+F64*VLOOKUP(A64,'Motor Vehicle Emission Factors'!$A$6:$T$42,10,FALSE)+F64*VLOOKUP(A64,'Motor Vehicle Emission Factors'!$A$6:$T$42,11,FALSE)+B64*12*VLOOKUP(A64,'Motor Vehicle Emission Factors'!$A$6:$T$42,12,FALSE)+E64*VLOOKUP(A64,'Motor Vehicle Emission Factors'!$A$6:$T$42,13,FALSE)+B64*12*VLOOKUP(A64,'Motor Vehicle Emission Factors'!$A$6:$T$42,14,FALSE))/453.6</f>
        <v>0.13053130511463842</v>
      </c>
      <c r="I64" s="42">
        <f>(E64*VLOOKUP(A64,'Motor Vehicle Emission Factors'!$A$6:$T$42,15,FALSE)+F64*VLOOKUP(A64,'Motor Vehicle Emission Factors'!$A$6:$T$42,16,FALSE))/453.6</f>
        <v>0.06818783068783069</v>
      </c>
      <c r="J64" s="42">
        <f>E64*VLOOKUP(A64,'Motor Vehicle Emission Factors'!$A$6:$T$42,17,FALSE)/453.6</f>
        <v>0</v>
      </c>
      <c r="K64" s="42">
        <f>E64*(VLOOKUP(A64,'Motor Vehicle Emission Factors'!$A$6:$T$42,18,FALSE)+VLOOKUP(A64,'Motor Vehicle Emission Factors'!$A$6:$T$42,19,FALSE)+VLOOKUP(A64,'Motor Vehicle Emission Factors'!$A$6:$T$42,20,FALSE))/453.6</f>
        <v>2.204585537918871E-05</v>
      </c>
      <c r="L64" s="42">
        <f>J64+K64</f>
        <v>2.204585537918871E-05</v>
      </c>
    </row>
    <row r="65" spans="1:12" ht="12.75">
      <c r="A65" s="4" t="s">
        <v>52</v>
      </c>
      <c r="B65" s="2"/>
      <c r="C65" s="2"/>
      <c r="D65" s="2"/>
      <c r="E65" s="14"/>
      <c r="F65" s="14"/>
      <c r="G65" s="42"/>
      <c r="H65" s="42"/>
      <c r="I65" s="42"/>
      <c r="J65" s="42"/>
      <c r="K65" s="42"/>
      <c r="L65" s="42"/>
    </row>
    <row r="66" spans="1:12" ht="12.75">
      <c r="A66" s="4" t="s">
        <v>130</v>
      </c>
      <c r="B66" s="2">
        <v>2</v>
      </c>
      <c r="C66" s="2">
        <v>2</v>
      </c>
      <c r="D66" s="2">
        <v>8</v>
      </c>
      <c r="E66" s="14">
        <f>B66*C66</f>
        <v>4</v>
      </c>
      <c r="F66" s="14">
        <f>B66*D66</f>
        <v>16</v>
      </c>
      <c r="G66" s="42">
        <f>(E66*VLOOKUP(A66,'Motor Vehicle Emission Factors'!$A$6:$T$42,7,FALSE)+F66*VLOOKUP(A66,'Motor Vehicle Emission Factors'!$A$6:$T$42,8,FALSE))/453.6</f>
        <v>0.14744268077601408</v>
      </c>
      <c r="H66" s="42">
        <f>(E66*VLOOKUP(A66,'Motor Vehicle Emission Factors'!$A$6:$T$42,9,FALSE)+F66*VLOOKUP(A66,'Motor Vehicle Emission Factors'!$A$6:$T$42,10,FALSE)+F66*VLOOKUP(A66,'Motor Vehicle Emission Factors'!$A$6:$T$42,11,FALSE)+B66*12*VLOOKUP(A66,'Motor Vehicle Emission Factors'!$A$6:$T$42,12,FALSE)+E66*VLOOKUP(A66,'Motor Vehicle Emission Factors'!$A$6:$T$42,13,FALSE)+B66*12*VLOOKUP(A66,'Motor Vehicle Emission Factors'!$A$6:$T$42,14,FALSE))/453.6</f>
        <v>0.019400352733686066</v>
      </c>
      <c r="I66" s="42">
        <f>(E66*VLOOKUP(A66,'Motor Vehicle Emission Factors'!$A$6:$T$42,15,FALSE)+F66*VLOOKUP(A66,'Motor Vehicle Emission Factors'!$A$6:$T$42,16,FALSE))/453.6</f>
        <v>0.0992063492063492</v>
      </c>
      <c r="J66" s="42">
        <f>E66*VLOOKUP(A66,'Motor Vehicle Emission Factors'!$A$6:$T$42,17,FALSE)/453.6</f>
        <v>0.005202821869488536</v>
      </c>
      <c r="K66" s="42">
        <f>E66*(VLOOKUP(A66,'Motor Vehicle Emission Factors'!$A$6:$T$42,18,FALSE)+VLOOKUP(A66,'Motor Vehicle Emission Factors'!$A$6:$T$42,19,FALSE)+VLOOKUP(A66,'Motor Vehicle Emission Factors'!$A$6:$T$42,20,FALSE))/453.6</f>
        <v>8.818342151675484E-05</v>
      </c>
      <c r="L66" s="42">
        <f>J66+K66</f>
        <v>0.005291005291005291</v>
      </c>
    </row>
    <row r="67" spans="1:12" ht="12.75">
      <c r="A67" s="4" t="s">
        <v>118</v>
      </c>
      <c r="B67" s="2">
        <v>8</v>
      </c>
      <c r="C67" s="2">
        <v>1</v>
      </c>
      <c r="D67" s="2">
        <v>1</v>
      </c>
      <c r="E67" s="14">
        <f>B67*C67</f>
        <v>8</v>
      </c>
      <c r="F67" s="14">
        <f>B67*D67</f>
        <v>8</v>
      </c>
      <c r="G67" s="42">
        <f>(E67*VLOOKUP(A67,'Motor Vehicle Emission Factors'!$A$6:$T$42,7,FALSE)+F67*VLOOKUP(A67,'Motor Vehicle Emission Factors'!$A$6:$T$42,8,FALSE))/453.6</f>
        <v>0.5925925925925926</v>
      </c>
      <c r="H67" s="42">
        <f>(E67*VLOOKUP(A67,'Motor Vehicle Emission Factors'!$A$6:$T$42,9,FALSE)+F67*VLOOKUP(A67,'Motor Vehicle Emission Factors'!$A$6:$T$42,10,FALSE)+F67*VLOOKUP(A67,'Motor Vehicle Emission Factors'!$A$6:$T$42,11,FALSE)+B67*12*VLOOKUP(A67,'Motor Vehicle Emission Factors'!$A$6:$T$42,12,FALSE)+E67*VLOOKUP(A67,'Motor Vehicle Emission Factors'!$A$6:$T$42,13,FALSE)+B67*12*VLOOKUP(A67,'Motor Vehicle Emission Factors'!$A$6:$T$42,14,FALSE))/453.6</f>
        <v>0.06155202821869488</v>
      </c>
      <c r="I67" s="42">
        <f>(E67*VLOOKUP(A67,'Motor Vehicle Emission Factors'!$A$6:$T$42,15,FALSE)+F67*VLOOKUP(A67,'Motor Vehicle Emission Factors'!$A$6:$T$42,16,FALSE))/453.6</f>
        <v>0.2783068783068783</v>
      </c>
      <c r="J67" s="42">
        <f>E67*VLOOKUP(A67,'Motor Vehicle Emission Factors'!$A$6:$T$42,17,FALSE)/453.6</f>
        <v>0.010405643738977071</v>
      </c>
      <c r="K67" s="42">
        <f>E67*(VLOOKUP(A67,'Motor Vehicle Emission Factors'!$A$6:$T$42,18,FALSE)+VLOOKUP(A67,'Motor Vehicle Emission Factors'!$A$6:$T$42,19,FALSE)+VLOOKUP(A67,'Motor Vehicle Emission Factors'!$A$6:$T$42,20,FALSE))/453.6</f>
        <v>0.00017636684303350968</v>
      </c>
      <c r="L67" s="42">
        <f>J67+K67</f>
        <v>0.010582010582010581</v>
      </c>
    </row>
    <row r="68" spans="1:12" ht="12.75">
      <c r="A68" s="4" t="s">
        <v>116</v>
      </c>
      <c r="B68" s="2"/>
      <c r="C68" s="2"/>
      <c r="D68" s="2"/>
      <c r="E68" s="14"/>
      <c r="F68" s="14"/>
      <c r="G68" s="42"/>
      <c r="H68" s="42"/>
      <c r="I68" s="42"/>
      <c r="J68" s="42"/>
      <c r="K68" s="42"/>
      <c r="L68" s="42"/>
    </row>
    <row r="69" spans="1:12" ht="12.75">
      <c r="A69" s="4" t="s">
        <v>105</v>
      </c>
      <c r="B69" s="2">
        <v>14</v>
      </c>
      <c r="C69" s="2">
        <v>40</v>
      </c>
      <c r="D69" s="2">
        <v>2</v>
      </c>
      <c r="E69" s="14">
        <f>B69*C69</f>
        <v>560</v>
      </c>
      <c r="F69" s="14">
        <f>B69*D69</f>
        <v>28</v>
      </c>
      <c r="G69" s="42">
        <f>(E69*VLOOKUP(A69,'Motor Vehicle Emission Factors'!$A$6:$T$42,7,FALSE)+F69*VLOOKUP(A69,'Motor Vehicle Emission Factors'!$A$6:$T$42,8,FALSE))/453.6</f>
        <v>6.7753086419753075</v>
      </c>
      <c r="H69" s="42">
        <f>(E69*VLOOKUP(A69,'Motor Vehicle Emission Factors'!$A$6:$T$42,9,FALSE)+F69*VLOOKUP(A69,'Motor Vehicle Emission Factors'!$A$6:$T$42,10,FALSE)+F69*VLOOKUP(A69,'Motor Vehicle Emission Factors'!$A$6:$T$42,11,FALSE)+B69*12*VLOOKUP(A69,'Motor Vehicle Emission Factors'!$A$6:$T$42,12,FALSE)+E69*VLOOKUP(A69,'Motor Vehicle Emission Factors'!$A$6:$T$42,13,FALSE)+B69*12*VLOOKUP(A69,'Motor Vehicle Emission Factors'!$A$6:$T$42,14,FALSE))/453.6</f>
        <v>0.8858024691358023</v>
      </c>
      <c r="I69" s="42">
        <f>(E69*VLOOKUP(A69,'Motor Vehicle Emission Factors'!$A$6:$T$42,15,FALSE)+F69*VLOOKUP(A69,'Motor Vehicle Emission Factors'!$A$6:$T$42,16,FALSE))/453.6</f>
        <v>0.9796296296296296</v>
      </c>
      <c r="J69" s="42">
        <f>E69*VLOOKUP(A69,'Motor Vehicle Emission Factors'!$A$6:$T$42,17,FALSE)/453.6</f>
        <v>0</v>
      </c>
      <c r="K69" s="42">
        <f>E69*(VLOOKUP(A69,'Motor Vehicle Emission Factors'!$A$6:$T$42,18,FALSE)+VLOOKUP(A69,'Motor Vehicle Emission Factors'!$A$6:$T$42,19,FALSE)+VLOOKUP(A69,'Motor Vehicle Emission Factors'!$A$6:$T$42,20,FALSE))/453.6</f>
        <v>0.6945291291955441</v>
      </c>
      <c r="L69" s="42">
        <f>J69+K69</f>
        <v>0.6945291291955441</v>
      </c>
    </row>
    <row r="70" spans="1:12" ht="12.75">
      <c r="A70" s="4" t="s">
        <v>129</v>
      </c>
      <c r="B70" s="2"/>
      <c r="C70" s="2"/>
      <c r="D70" s="2"/>
      <c r="E70" s="14"/>
      <c r="F70" s="14"/>
      <c r="G70" s="42"/>
      <c r="H70" s="42"/>
      <c r="I70" s="42"/>
      <c r="J70" s="42"/>
      <c r="K70" s="42"/>
      <c r="L70" s="42"/>
    </row>
    <row r="71" spans="1:12" ht="12.75">
      <c r="A71" s="4" t="s">
        <v>128</v>
      </c>
      <c r="B71" s="2">
        <v>10</v>
      </c>
      <c r="C71" s="2">
        <v>40</v>
      </c>
      <c r="D71" s="2">
        <v>2</v>
      </c>
      <c r="E71" s="14">
        <f>B71*C71</f>
        <v>400</v>
      </c>
      <c r="F71" s="14">
        <f>B71*D71</f>
        <v>20</v>
      </c>
      <c r="G71" s="42">
        <f>(E71*VLOOKUP(A71,'Motor Vehicle Emission Factors'!$A$6:$T$42,7,FALSE)+F71*VLOOKUP(A71,'Motor Vehicle Emission Factors'!$A$6:$T$42,8,FALSE))/453.6</f>
        <v>8.800705467372133</v>
      </c>
      <c r="H71" s="42">
        <f>(E71*VLOOKUP(A71,'Motor Vehicle Emission Factors'!$A$6:$T$42,9,FALSE)+F71*VLOOKUP(A71,'Motor Vehicle Emission Factors'!$A$6:$T$42,10,FALSE)+F71*VLOOKUP(A71,'Motor Vehicle Emission Factors'!$A$6:$T$42,11,FALSE)+B71*12*VLOOKUP(A71,'Motor Vehicle Emission Factors'!$A$6:$T$42,12,FALSE)+E71*VLOOKUP(A71,'Motor Vehicle Emission Factors'!$A$6:$T$42,13,FALSE)+B71*12*VLOOKUP(A71,'Motor Vehicle Emission Factors'!$A$6:$T$42,14,FALSE))/453.6</f>
        <v>1.3315696649029982</v>
      </c>
      <c r="I71" s="42">
        <f>(E71*VLOOKUP(A71,'Motor Vehicle Emission Factors'!$A$6:$T$42,15,FALSE)+F71*VLOOKUP(A71,'Motor Vehicle Emission Factors'!$A$6:$T$42,16,FALSE))/453.6</f>
        <v>8.156966490299823</v>
      </c>
      <c r="J71" s="42">
        <f>E71*VLOOKUP(A71,'Motor Vehicle Emission Factors'!$A$6:$T$42,17,FALSE)/453.6</f>
        <v>0.5202821869488536</v>
      </c>
      <c r="K71" s="42">
        <f>E71*(VLOOKUP(A71,'Motor Vehicle Emission Factors'!$A$6:$T$42,18,FALSE)+VLOOKUP(A71,'Motor Vehicle Emission Factors'!$A$6:$T$42,19,FALSE)+VLOOKUP(A71,'Motor Vehicle Emission Factors'!$A$6:$T$42,20,FALSE))/453.6</f>
        <v>23.3383937513463</v>
      </c>
      <c r="L71" s="42">
        <f>J71+K71</f>
        <v>23.858675938295153</v>
      </c>
    </row>
    <row r="72" spans="1:14" ht="12.75">
      <c r="A72" s="15" t="s">
        <v>24</v>
      </c>
      <c r="B72" s="4"/>
      <c r="C72" s="4"/>
      <c r="D72" s="4"/>
      <c r="E72" s="4"/>
      <c r="F72" s="4"/>
      <c r="G72" s="46">
        <f aca="true" t="shared" si="1" ref="G72:L72">SUM(G64:G71)</f>
        <v>17.217372134038797</v>
      </c>
      <c r="H72" s="46">
        <f t="shared" si="1"/>
        <v>2.42885582010582</v>
      </c>
      <c r="I72" s="46">
        <f t="shared" si="1"/>
        <v>9.58229717813051</v>
      </c>
      <c r="J72" s="46">
        <f t="shared" si="1"/>
        <v>0.5358906525573193</v>
      </c>
      <c r="K72" s="46">
        <f t="shared" si="1"/>
        <v>24.03320947666177</v>
      </c>
      <c r="L72" s="46">
        <f t="shared" si="1"/>
        <v>24.56910012921909</v>
      </c>
      <c r="M72" s="71">
        <f>E64+E69</f>
        <v>561</v>
      </c>
      <c r="N72" s="71">
        <f>SUM(E64:E71)-M72</f>
        <v>412</v>
      </c>
    </row>
    <row r="73" ht="12.75">
      <c r="A73" s="13" t="s">
        <v>25</v>
      </c>
    </row>
    <row r="74" ht="12.75">
      <c r="A74" s="39" t="s">
        <v>132</v>
      </c>
    </row>
    <row r="76" spans="1:8" ht="12.75">
      <c r="A76" s="87" t="str">
        <f>"Table "&amp;A$2&amp;"-G"</f>
        <v>Table 41-G</v>
      </c>
      <c r="B76" s="87"/>
      <c r="C76" s="87"/>
      <c r="D76" s="87"/>
      <c r="E76" s="87"/>
      <c r="F76" s="87"/>
      <c r="G76" s="87"/>
      <c r="H76" s="87"/>
    </row>
    <row r="77" spans="1:8" ht="12.75">
      <c r="A77" s="85" t="str">
        <f>+A$1&amp;" Emissions Summary (Pre-mitigation)"</f>
        <v>Alternative C VGS Demolition Emissions Summary (Pre-mitigation)</v>
      </c>
      <c r="B77" s="85"/>
      <c r="C77" s="85"/>
      <c r="D77" s="85"/>
      <c r="E77" s="85"/>
      <c r="F77" s="85"/>
      <c r="G77" s="85"/>
      <c r="H77" s="85"/>
    </row>
    <row r="78" spans="1:8" ht="42">
      <c r="A78" s="2" t="s">
        <v>131</v>
      </c>
      <c r="B78" s="3" t="s">
        <v>193</v>
      </c>
      <c r="C78" s="3" t="s">
        <v>194</v>
      </c>
      <c r="D78" s="3" t="s">
        <v>199</v>
      </c>
      <c r="E78" s="3" t="s">
        <v>200</v>
      </c>
      <c r="F78" s="9" t="s">
        <v>208</v>
      </c>
      <c r="G78" s="9" t="s">
        <v>209</v>
      </c>
      <c r="H78" s="9" t="s">
        <v>210</v>
      </c>
    </row>
    <row r="79" spans="1:8" ht="12.75">
      <c r="A79" s="51" t="s">
        <v>94</v>
      </c>
      <c r="B79" s="43">
        <f>G23</f>
        <v>53.951296</v>
      </c>
      <c r="C79" s="43">
        <f>H23</f>
        <v>8.538176</v>
      </c>
      <c r="D79" s="43">
        <f>I23</f>
        <v>88.03526399999998</v>
      </c>
      <c r="E79" s="43">
        <f>J23</f>
        <v>7.758591999999999</v>
      </c>
      <c r="F79" s="43">
        <f>K23</f>
        <v>4.836143999999999</v>
      </c>
      <c r="G79" s="43"/>
      <c r="H79" s="43">
        <f aca="true" t="shared" si="2" ref="H79:H88">F79+G79</f>
        <v>4.836143999999999</v>
      </c>
    </row>
    <row r="80" spans="1:8" ht="12.75">
      <c r="A80" s="51" t="s">
        <v>127</v>
      </c>
      <c r="B80" s="43">
        <f>SUM(G64:G68)</f>
        <v>1.641358024691358</v>
      </c>
      <c r="C80" s="43">
        <f>SUM(H64:H68)</f>
        <v>0.21148368606701937</v>
      </c>
      <c r="D80" s="43">
        <f>SUM(I64:I68)</f>
        <v>0.44570105820105815</v>
      </c>
      <c r="E80" s="43">
        <v>0</v>
      </c>
      <c r="F80" s="43">
        <f>SUM(J64:J68)</f>
        <v>0.015608465608465606</v>
      </c>
      <c r="G80" s="43"/>
      <c r="H80" s="43">
        <f t="shared" si="2"/>
        <v>0.015608465608465606</v>
      </c>
    </row>
    <row r="81" spans="1:8" ht="12.75">
      <c r="A81" s="51" t="s">
        <v>95</v>
      </c>
      <c r="B81" s="43"/>
      <c r="C81" s="43"/>
      <c r="D81" s="43"/>
      <c r="E81" s="43"/>
      <c r="F81" s="43"/>
      <c r="G81" s="43">
        <f>D36-D35</f>
        <v>4.552704546406865</v>
      </c>
      <c r="H81" s="43">
        <f t="shared" si="2"/>
        <v>4.552704546406865</v>
      </c>
    </row>
    <row r="82" spans="1:8" ht="12.75">
      <c r="A82" s="51" t="s">
        <v>96</v>
      </c>
      <c r="B82" s="43"/>
      <c r="C82" s="43">
        <f>B43</f>
        <v>0</v>
      </c>
      <c r="D82" s="43"/>
      <c r="E82" s="43"/>
      <c r="F82" s="43"/>
      <c r="G82" s="43"/>
      <c r="H82" s="43">
        <f t="shared" si="2"/>
        <v>0</v>
      </c>
    </row>
    <row r="83" spans="1:8" ht="12.75">
      <c r="A83" s="51" t="s">
        <v>97</v>
      </c>
      <c r="B83" s="43"/>
      <c r="C83" s="43">
        <f>B49</f>
        <v>0</v>
      </c>
      <c r="D83" s="43"/>
      <c r="E83" s="43"/>
      <c r="F83" s="43"/>
      <c r="G83" s="43"/>
      <c r="H83" s="43">
        <f t="shared" si="2"/>
        <v>0</v>
      </c>
    </row>
    <row r="84" spans="1:8" ht="12.75">
      <c r="A84" s="51" t="s">
        <v>189</v>
      </c>
      <c r="B84" s="43"/>
      <c r="C84" s="43">
        <f>B56</f>
        <v>0</v>
      </c>
      <c r="D84" s="43"/>
      <c r="E84" s="43"/>
      <c r="F84" s="43"/>
      <c r="G84" s="43"/>
      <c r="H84" s="43">
        <f t="shared" si="2"/>
        <v>0</v>
      </c>
    </row>
    <row r="85" spans="1:8" ht="12.75">
      <c r="A85" s="15" t="s">
        <v>98</v>
      </c>
      <c r="B85" s="44">
        <f aca="true" t="shared" si="3" ref="B85:G85">SUM(B79:B84)</f>
        <v>55.592654024691356</v>
      </c>
      <c r="C85" s="44">
        <f t="shared" si="3"/>
        <v>8.74965968606702</v>
      </c>
      <c r="D85" s="44">
        <f t="shared" si="3"/>
        <v>88.48096505820104</v>
      </c>
      <c r="E85" s="44">
        <f t="shared" si="3"/>
        <v>7.758591999999999</v>
      </c>
      <c r="F85" s="44">
        <f t="shared" si="3"/>
        <v>4.851752465608465</v>
      </c>
      <c r="G85" s="44">
        <f t="shared" si="3"/>
        <v>4.552704546406865</v>
      </c>
      <c r="H85" s="44">
        <f t="shared" si="2"/>
        <v>9.40445701201533</v>
      </c>
    </row>
    <row r="86" spans="1:8" ht="12.75">
      <c r="A86" s="51" t="s">
        <v>167</v>
      </c>
      <c r="B86" s="45"/>
      <c r="C86" s="45"/>
      <c r="D86" s="45"/>
      <c r="E86" s="45"/>
      <c r="F86" s="45"/>
      <c r="G86" s="45">
        <f>D35</f>
        <v>16.026727138257996</v>
      </c>
      <c r="H86" s="45">
        <f t="shared" si="2"/>
        <v>16.026727138257996</v>
      </c>
    </row>
    <row r="87" spans="1:8" ht="12.75">
      <c r="A87" s="51" t="s">
        <v>99</v>
      </c>
      <c r="B87" s="45">
        <f>SUM(G69:G71)</f>
        <v>15.57601410934744</v>
      </c>
      <c r="C87" s="45">
        <f>SUM(H69:H71)</f>
        <v>2.2173721340388006</v>
      </c>
      <c r="D87" s="45">
        <f>SUM(I69:I71)</f>
        <v>9.136596119929452</v>
      </c>
      <c r="E87" s="45">
        <v>0</v>
      </c>
      <c r="F87" s="45">
        <f>SUM(J69:J71)</f>
        <v>0.5202821869488536</v>
      </c>
      <c r="G87" s="45">
        <f>SUM(K69:K71)</f>
        <v>24.032922880541843</v>
      </c>
      <c r="H87" s="45">
        <f t="shared" si="2"/>
        <v>24.553205067490698</v>
      </c>
    </row>
    <row r="88" spans="1:8" ht="12.75">
      <c r="A88" s="15" t="s">
        <v>168</v>
      </c>
      <c r="B88" s="44">
        <f aca="true" t="shared" si="4" ref="B88:G88">SUM(B86:B87)</f>
        <v>15.57601410934744</v>
      </c>
      <c r="C88" s="44">
        <f t="shared" si="4"/>
        <v>2.2173721340388006</v>
      </c>
      <c r="D88" s="44">
        <f t="shared" si="4"/>
        <v>9.136596119929452</v>
      </c>
      <c r="E88" s="44">
        <f t="shared" si="4"/>
        <v>0</v>
      </c>
      <c r="F88" s="44">
        <f t="shared" si="4"/>
        <v>0.5202821869488536</v>
      </c>
      <c r="G88" s="44">
        <f t="shared" si="4"/>
        <v>40.05965001879984</v>
      </c>
      <c r="H88" s="44">
        <f t="shared" si="2"/>
        <v>40.5799322057487</v>
      </c>
    </row>
    <row r="89" spans="1:8" ht="12.75">
      <c r="A89" s="15" t="s">
        <v>24</v>
      </c>
      <c r="B89" s="44">
        <f aca="true" t="shared" si="5" ref="B89:H89">B85+B88</f>
        <v>71.1686681340388</v>
      </c>
      <c r="C89" s="44">
        <f t="shared" si="5"/>
        <v>10.96703182010582</v>
      </c>
      <c r="D89" s="44">
        <f t="shared" si="5"/>
        <v>97.61756117813049</v>
      </c>
      <c r="E89" s="44">
        <f t="shared" si="5"/>
        <v>7.758591999999999</v>
      </c>
      <c r="F89" s="44">
        <f t="shared" si="5"/>
        <v>5.372034652557319</v>
      </c>
      <c r="G89" s="44">
        <f t="shared" si="5"/>
        <v>44.61235456520671</v>
      </c>
      <c r="H89" s="44">
        <f t="shared" si="5"/>
        <v>49.984389217764026</v>
      </c>
    </row>
    <row r="90" ht="12.75">
      <c r="A90" s="39" t="s">
        <v>132</v>
      </c>
    </row>
    <row r="91" ht="12.75">
      <c r="A91" s="39"/>
    </row>
    <row r="93" spans="1:8" ht="12.75">
      <c r="A93" s="87" t="str">
        <f>"Table "&amp;A$2&amp;"-H"</f>
        <v>Table 41-H</v>
      </c>
      <c r="B93" s="87"/>
      <c r="C93" s="87"/>
      <c r="D93" s="87"/>
      <c r="E93" s="87"/>
      <c r="F93" s="87"/>
      <c r="G93" s="87"/>
      <c r="H93" s="87"/>
    </row>
    <row r="94" spans="1:8" ht="12.75">
      <c r="A94" s="87" t="str">
        <f>A$1&amp;" Emissions Summary (Mitigated)"</f>
        <v>Alternative C VGS Demolition Emissions Summary (Mitigated)</v>
      </c>
      <c r="B94" s="87"/>
      <c r="C94" s="87"/>
      <c r="D94" s="87"/>
      <c r="E94" s="87"/>
      <c r="F94" s="87"/>
      <c r="G94" s="87"/>
      <c r="H94" s="87"/>
    </row>
    <row r="95" spans="1:8" ht="42">
      <c r="A95" s="2" t="s">
        <v>131</v>
      </c>
      <c r="B95" s="3" t="s">
        <v>193</v>
      </c>
      <c r="C95" s="3" t="s">
        <v>194</v>
      </c>
      <c r="D95" s="3" t="s">
        <v>199</v>
      </c>
      <c r="E95" s="3" t="s">
        <v>200</v>
      </c>
      <c r="F95" s="3" t="s">
        <v>208</v>
      </c>
      <c r="G95" s="3" t="s">
        <v>209</v>
      </c>
      <c r="H95" s="3" t="s">
        <v>210</v>
      </c>
    </row>
    <row r="96" spans="1:8" ht="12.75">
      <c r="A96" s="15" t="s">
        <v>94</v>
      </c>
      <c r="B96" s="43">
        <f>B79</f>
        <v>53.951296</v>
      </c>
      <c r="C96" s="43">
        <f>C79</f>
        <v>8.538176</v>
      </c>
      <c r="D96" s="43">
        <f>D79</f>
        <v>88.03526399999998</v>
      </c>
      <c r="E96" s="43">
        <f>E79</f>
        <v>7.758591999999999</v>
      </c>
      <c r="F96" s="43">
        <f>F79</f>
        <v>4.836143999999999</v>
      </c>
      <c r="G96" s="43"/>
      <c r="H96" s="43">
        <f>F96+G96</f>
        <v>4.836143999999999</v>
      </c>
    </row>
    <row r="97" spans="1:8" ht="12.75">
      <c r="A97" s="4" t="s">
        <v>123</v>
      </c>
      <c r="B97" s="40">
        <v>0</v>
      </c>
      <c r="C97" s="40">
        <v>0.05</v>
      </c>
      <c r="D97" s="40">
        <v>0.05</v>
      </c>
      <c r="E97" s="40">
        <v>0.05</v>
      </c>
      <c r="F97" s="40">
        <v>0.05</v>
      </c>
      <c r="G97" s="40"/>
      <c r="H97" s="43"/>
    </row>
    <row r="98" spans="1:8" ht="12.75">
      <c r="A98" s="4" t="s">
        <v>124</v>
      </c>
      <c r="B98" s="43">
        <f>-B97*B96</f>
        <v>0</v>
      </c>
      <c r="C98" s="43">
        <f>-C97*C96</f>
        <v>-0.42690880000000003</v>
      </c>
      <c r="D98" s="43">
        <f>-D97*D96</f>
        <v>-4.4017631999999995</v>
      </c>
      <c r="E98" s="43">
        <f>-E97*E96</f>
        <v>-0.3879296</v>
      </c>
      <c r="F98" s="43">
        <f>-F97*F96</f>
        <v>-0.24180719999999997</v>
      </c>
      <c r="G98" s="43"/>
      <c r="H98" s="43">
        <f>F98+G98</f>
        <v>-0.24180719999999997</v>
      </c>
    </row>
    <row r="99" spans="1:8" ht="12.75">
      <c r="A99" s="15" t="s">
        <v>125</v>
      </c>
      <c r="B99" s="44">
        <f>B96+B98</f>
        <v>53.951296</v>
      </c>
      <c r="C99" s="44">
        <f>C96+C98</f>
        <v>8.1112672</v>
      </c>
      <c r="D99" s="44">
        <f>D96+D98</f>
        <v>83.63350079999998</v>
      </c>
      <c r="E99" s="44">
        <f>E96+E98</f>
        <v>7.3706624</v>
      </c>
      <c r="F99" s="44">
        <f>F96+F98</f>
        <v>4.594336799999999</v>
      </c>
      <c r="G99" s="44"/>
      <c r="H99" s="44">
        <f>F99+G99</f>
        <v>4.594336799999999</v>
      </c>
    </row>
    <row r="100" spans="1:8" ht="12.75">
      <c r="A100" s="15" t="s">
        <v>127</v>
      </c>
      <c r="B100" s="45">
        <f>B80</f>
        <v>1.641358024691358</v>
      </c>
      <c r="C100" s="45">
        <f>C80</f>
        <v>0.21148368606701937</v>
      </c>
      <c r="D100" s="45">
        <f>D80</f>
        <v>0.44570105820105815</v>
      </c>
      <c r="E100" s="45">
        <f>E80</f>
        <v>0</v>
      </c>
      <c r="F100" s="45">
        <f>F80</f>
        <v>0.015608465608465606</v>
      </c>
      <c r="G100" s="45"/>
      <c r="H100" s="43">
        <f>F100+G100</f>
        <v>0.015608465608465606</v>
      </c>
    </row>
    <row r="101" spans="1:8" ht="12.75">
      <c r="A101" s="4" t="s">
        <v>123</v>
      </c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/>
      <c r="H101" s="44"/>
    </row>
    <row r="102" spans="1:8" ht="12.75">
      <c r="A102" s="4" t="s">
        <v>124</v>
      </c>
      <c r="B102" s="43">
        <f>-B101*B100</f>
        <v>0</v>
      </c>
      <c r="C102" s="43">
        <f>-C101*C100</f>
        <v>0</v>
      </c>
      <c r="D102" s="43">
        <f>-D101*D100</f>
        <v>0</v>
      </c>
      <c r="E102" s="43">
        <f>-E101*E100</f>
        <v>0</v>
      </c>
      <c r="F102" s="43">
        <f>-F101*F100</f>
        <v>0</v>
      </c>
      <c r="G102" s="43"/>
      <c r="H102" s="43">
        <f>F102+G102</f>
        <v>0</v>
      </c>
    </row>
    <row r="103" spans="1:8" ht="12.75">
      <c r="A103" s="15" t="s">
        <v>125</v>
      </c>
      <c r="B103" s="44">
        <f>B100+B102</f>
        <v>1.641358024691358</v>
      </c>
      <c r="C103" s="44">
        <f>C100+C102</f>
        <v>0.21148368606701937</v>
      </c>
      <c r="D103" s="44">
        <f>D100+D102</f>
        <v>0.44570105820105815</v>
      </c>
      <c r="E103" s="44">
        <f>E100+E102</f>
        <v>0</v>
      </c>
      <c r="F103" s="44">
        <f>F100+F102</f>
        <v>0.015608465608465606</v>
      </c>
      <c r="G103" s="44"/>
      <c r="H103" s="44">
        <f>F103+G103</f>
        <v>0.015608465608465606</v>
      </c>
    </row>
    <row r="104" spans="1:8" ht="12.75">
      <c r="A104" s="15" t="s">
        <v>95</v>
      </c>
      <c r="B104" s="43"/>
      <c r="C104" s="43"/>
      <c r="D104" s="43"/>
      <c r="E104" s="43"/>
      <c r="F104" s="43"/>
      <c r="G104" s="43">
        <f>G81</f>
        <v>4.552704546406865</v>
      </c>
      <c r="H104" s="43">
        <f>F104+G104</f>
        <v>4.552704546406865</v>
      </c>
    </row>
    <row r="105" spans="1:8" ht="12.75">
      <c r="A105" s="4" t="s">
        <v>123</v>
      </c>
      <c r="B105" s="40"/>
      <c r="C105" s="40"/>
      <c r="D105" s="40"/>
      <c r="E105" s="40"/>
      <c r="F105" s="40"/>
      <c r="G105" s="40">
        <v>0.16</v>
      </c>
      <c r="H105" s="43"/>
    </row>
    <row r="106" spans="1:8" ht="12.75">
      <c r="A106" s="4" t="s">
        <v>124</v>
      </c>
      <c r="B106" s="43"/>
      <c r="C106" s="43"/>
      <c r="D106" s="43"/>
      <c r="E106" s="43"/>
      <c r="F106" s="43"/>
      <c r="G106" s="43">
        <f>-G105*G104</f>
        <v>-0.7284327274250985</v>
      </c>
      <c r="H106" s="43">
        <f>F106+G106</f>
        <v>-0.7284327274250985</v>
      </c>
    </row>
    <row r="107" spans="1:8" ht="12.75">
      <c r="A107" s="15" t="s">
        <v>125</v>
      </c>
      <c r="B107" s="44"/>
      <c r="C107" s="44"/>
      <c r="D107" s="44"/>
      <c r="E107" s="44"/>
      <c r="F107" s="44"/>
      <c r="G107" s="44">
        <f>G104+G106</f>
        <v>3.8242718189817664</v>
      </c>
      <c r="H107" s="44">
        <f>F107+G107</f>
        <v>3.8242718189817664</v>
      </c>
    </row>
    <row r="108" spans="1:8" ht="12.75">
      <c r="A108" s="15" t="s">
        <v>96</v>
      </c>
      <c r="B108" s="43"/>
      <c r="C108" s="43">
        <f>C82</f>
        <v>0</v>
      </c>
      <c r="D108" s="43"/>
      <c r="E108" s="43"/>
      <c r="F108" s="43"/>
      <c r="G108" s="43"/>
      <c r="H108" s="43"/>
    </row>
    <row r="109" spans="1:8" ht="12.75">
      <c r="A109" s="4" t="s">
        <v>123</v>
      </c>
      <c r="B109" s="40"/>
      <c r="C109" s="40">
        <v>0</v>
      </c>
      <c r="D109" s="40"/>
      <c r="E109" s="40"/>
      <c r="F109" s="40"/>
      <c r="G109" s="40"/>
      <c r="H109" s="43"/>
    </row>
    <row r="110" spans="1:8" ht="12.75">
      <c r="A110" s="4" t="s">
        <v>124</v>
      </c>
      <c r="B110" s="43"/>
      <c r="C110" s="43">
        <f>-C109*C108</f>
        <v>0</v>
      </c>
      <c r="D110" s="43"/>
      <c r="E110" s="43"/>
      <c r="F110" s="43"/>
      <c r="G110" s="43"/>
      <c r="H110" s="43"/>
    </row>
    <row r="111" spans="1:8" ht="12.75">
      <c r="A111" s="15" t="s">
        <v>125</v>
      </c>
      <c r="B111" s="44"/>
      <c r="C111" s="44">
        <f>C108+C110</f>
        <v>0</v>
      </c>
      <c r="D111" s="44"/>
      <c r="E111" s="44"/>
      <c r="F111" s="44"/>
      <c r="G111" s="44"/>
      <c r="H111" s="44"/>
    </row>
    <row r="112" spans="1:8" ht="12.75">
      <c r="A112" s="15" t="s">
        <v>97</v>
      </c>
      <c r="B112" s="43"/>
      <c r="C112" s="43">
        <f>C80</f>
        <v>0.21148368606701937</v>
      </c>
      <c r="D112" s="43"/>
      <c r="E112" s="43"/>
      <c r="F112" s="43"/>
      <c r="G112" s="43"/>
      <c r="H112" s="43"/>
    </row>
    <row r="113" spans="1:8" ht="12.75">
      <c r="A113" s="4" t="s">
        <v>123</v>
      </c>
      <c r="B113" s="40"/>
      <c r="C113" s="40">
        <v>0</v>
      </c>
      <c r="D113" s="40"/>
      <c r="E113" s="40"/>
      <c r="F113" s="40"/>
      <c r="G113" s="40"/>
      <c r="H113" s="43"/>
    </row>
    <row r="114" spans="1:8" ht="12.75">
      <c r="A114" s="4" t="s">
        <v>124</v>
      </c>
      <c r="B114" s="43"/>
      <c r="C114" s="43">
        <f>-C113*C112</f>
        <v>0</v>
      </c>
      <c r="D114" s="43"/>
      <c r="E114" s="43"/>
      <c r="F114" s="43"/>
      <c r="G114" s="43"/>
      <c r="H114" s="43"/>
    </row>
    <row r="115" spans="1:8" ht="12.75">
      <c r="A115" s="15" t="s">
        <v>125</v>
      </c>
      <c r="B115" s="44"/>
      <c r="C115" s="44">
        <f>C112+C114</f>
        <v>0.21148368606701937</v>
      </c>
      <c r="D115" s="44"/>
      <c r="E115" s="44"/>
      <c r="F115" s="44"/>
      <c r="G115" s="44"/>
      <c r="H115" s="44"/>
    </row>
    <row r="116" spans="1:8" ht="12.75">
      <c r="A116" s="15" t="s">
        <v>189</v>
      </c>
      <c r="B116" s="43"/>
      <c r="C116" s="43">
        <f>C84</f>
        <v>0</v>
      </c>
      <c r="D116" s="43"/>
      <c r="E116" s="43"/>
      <c r="F116" s="43"/>
      <c r="G116" s="43"/>
      <c r="H116" s="43"/>
    </row>
    <row r="117" spans="1:8" ht="12.75">
      <c r="A117" s="4" t="s">
        <v>123</v>
      </c>
      <c r="B117" s="40"/>
      <c r="C117" s="40">
        <v>0.9</v>
      </c>
      <c r="D117" s="40"/>
      <c r="E117" s="40"/>
      <c r="F117" s="40"/>
      <c r="G117" s="40"/>
      <c r="H117" s="43"/>
    </row>
    <row r="118" spans="1:8" ht="12.75">
      <c r="A118" s="4" t="s">
        <v>124</v>
      </c>
      <c r="B118" s="43"/>
      <c r="C118" s="43">
        <f>-C117*C116</f>
        <v>0</v>
      </c>
      <c r="D118" s="43"/>
      <c r="E118" s="43"/>
      <c r="F118" s="43"/>
      <c r="G118" s="43"/>
      <c r="H118" s="43"/>
    </row>
    <row r="119" spans="1:8" ht="12.75">
      <c r="A119" s="15" t="s">
        <v>125</v>
      </c>
      <c r="B119" s="44"/>
      <c r="C119" s="44">
        <f>C116+C118</f>
        <v>0</v>
      </c>
      <c r="D119" s="44"/>
      <c r="E119" s="44"/>
      <c r="F119" s="44"/>
      <c r="G119" s="44"/>
      <c r="H119" s="44"/>
    </row>
    <row r="120" spans="1:8" ht="12.75">
      <c r="A120" s="15" t="s">
        <v>98</v>
      </c>
      <c r="B120" s="44">
        <f>B99+B103+B107+B111+B119</f>
        <v>55.592654024691356</v>
      </c>
      <c r="C120" s="44">
        <f>C99+C103+C107+C111+C115+C119</f>
        <v>8.53423457213404</v>
      </c>
      <c r="D120" s="44">
        <f>D99+D103+D107+D111+D119</f>
        <v>84.07920185820103</v>
      </c>
      <c r="E120" s="44">
        <f>E99+E103+E107+E111+E119</f>
        <v>7.3706624</v>
      </c>
      <c r="F120" s="44">
        <f>F99+F103+F107+F111+F119</f>
        <v>4.609945265608465</v>
      </c>
      <c r="G120" s="44">
        <f>G99+G103+G107+G111+G119</f>
        <v>3.8242718189817664</v>
      </c>
      <c r="H120" s="44">
        <f>H99+H107+H111+H119</f>
        <v>8.418608618981764</v>
      </c>
    </row>
    <row r="121" spans="1:8" ht="15">
      <c r="A121" s="15" t="s">
        <v>227</v>
      </c>
      <c r="B121" s="44"/>
      <c r="C121" s="44"/>
      <c r="D121" s="44"/>
      <c r="E121" s="44"/>
      <c r="F121" s="44"/>
      <c r="G121" s="44">
        <f>G86*2</f>
        <v>32.05345427651599</v>
      </c>
      <c r="H121" s="44">
        <f>F121+G121</f>
        <v>32.05345427651599</v>
      </c>
    </row>
    <row r="122" spans="1:8" ht="12.75">
      <c r="A122" s="4" t="s">
        <v>123</v>
      </c>
      <c r="B122" s="44"/>
      <c r="C122" s="44"/>
      <c r="D122" s="44"/>
      <c r="E122" s="44"/>
      <c r="F122" s="44"/>
      <c r="G122" s="61">
        <v>0.9</v>
      </c>
      <c r="H122" s="44"/>
    </row>
    <row r="123" spans="1:8" ht="12.75">
      <c r="A123" s="4" t="s">
        <v>124</v>
      </c>
      <c r="B123" s="44"/>
      <c r="C123" s="44"/>
      <c r="D123" s="44"/>
      <c r="E123" s="44"/>
      <c r="F123" s="44"/>
      <c r="G123" s="43">
        <f>-G122*G121</f>
        <v>-28.848108848864396</v>
      </c>
      <c r="H123" s="43">
        <f>F123+G123</f>
        <v>-28.848108848864396</v>
      </c>
    </row>
    <row r="124" spans="1:8" ht="12.75">
      <c r="A124" s="15" t="s">
        <v>125</v>
      </c>
      <c r="B124" s="44"/>
      <c r="C124" s="44"/>
      <c r="D124" s="44"/>
      <c r="E124" s="44"/>
      <c r="F124" s="44"/>
      <c r="G124" s="44">
        <f>G121+G123</f>
        <v>3.205345427651597</v>
      </c>
      <c r="H124" s="44">
        <f>F124+G124</f>
        <v>3.205345427651597</v>
      </c>
    </row>
    <row r="125" spans="1:8" ht="12.75">
      <c r="A125" s="15" t="s">
        <v>99</v>
      </c>
      <c r="B125" s="44">
        <f aca="true" t="shared" si="6" ref="B125:H125">B87</f>
        <v>15.57601410934744</v>
      </c>
      <c r="C125" s="44">
        <f t="shared" si="6"/>
        <v>2.2173721340388006</v>
      </c>
      <c r="D125" s="44">
        <f t="shared" si="6"/>
        <v>9.136596119929452</v>
      </c>
      <c r="E125" s="44">
        <f t="shared" si="6"/>
        <v>0</v>
      </c>
      <c r="F125" s="44">
        <f t="shared" si="6"/>
        <v>0.5202821869488536</v>
      </c>
      <c r="G125" s="44">
        <f t="shared" si="6"/>
        <v>24.032922880541843</v>
      </c>
      <c r="H125" s="44">
        <f t="shared" si="6"/>
        <v>24.553205067490698</v>
      </c>
    </row>
    <row r="126" spans="1:8" ht="12.75">
      <c r="A126" s="4" t="s">
        <v>123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3"/>
    </row>
    <row r="127" spans="1:8" ht="12.75">
      <c r="A127" s="4" t="s">
        <v>124</v>
      </c>
      <c r="B127" s="43">
        <f aca="true" t="shared" si="7" ref="B127:G127">-B126*B125</f>
        <v>0</v>
      </c>
      <c r="C127" s="43">
        <f t="shared" si="7"/>
        <v>0</v>
      </c>
      <c r="D127" s="43">
        <f t="shared" si="7"/>
        <v>0</v>
      </c>
      <c r="E127" s="43">
        <f t="shared" si="7"/>
        <v>0</v>
      </c>
      <c r="F127" s="43">
        <f t="shared" si="7"/>
        <v>0</v>
      </c>
      <c r="G127" s="43">
        <f t="shared" si="7"/>
        <v>0</v>
      </c>
      <c r="H127" s="43">
        <f>F127+G127</f>
        <v>0</v>
      </c>
    </row>
    <row r="128" spans="1:8" ht="12.75">
      <c r="A128" s="15" t="s">
        <v>125</v>
      </c>
      <c r="B128" s="44">
        <f aca="true" t="shared" si="8" ref="B128:G128">B125+B127</f>
        <v>15.57601410934744</v>
      </c>
      <c r="C128" s="44">
        <f t="shared" si="8"/>
        <v>2.2173721340388006</v>
      </c>
      <c r="D128" s="44">
        <f t="shared" si="8"/>
        <v>9.136596119929452</v>
      </c>
      <c r="E128" s="44">
        <f t="shared" si="8"/>
        <v>0</v>
      </c>
      <c r="F128" s="44">
        <f t="shared" si="8"/>
        <v>0.5202821869488536</v>
      </c>
      <c r="G128" s="44">
        <f t="shared" si="8"/>
        <v>24.032922880541843</v>
      </c>
      <c r="H128" s="44">
        <f>F128+G128</f>
        <v>24.553205067490698</v>
      </c>
    </row>
    <row r="129" spans="1:8" ht="12.75">
      <c r="A129" s="15" t="s">
        <v>168</v>
      </c>
      <c r="B129" s="44">
        <f aca="true" t="shared" si="9" ref="B129:H129">B128+B124</f>
        <v>15.57601410934744</v>
      </c>
      <c r="C129" s="44">
        <f t="shared" si="9"/>
        <v>2.2173721340388006</v>
      </c>
      <c r="D129" s="44">
        <f t="shared" si="9"/>
        <v>9.136596119929452</v>
      </c>
      <c r="E129" s="44">
        <f t="shared" si="9"/>
        <v>0</v>
      </c>
      <c r="F129" s="44">
        <f t="shared" si="9"/>
        <v>0.5202821869488536</v>
      </c>
      <c r="G129" s="44">
        <f t="shared" si="9"/>
        <v>27.23826830819344</v>
      </c>
      <c r="H129" s="44">
        <f t="shared" si="9"/>
        <v>27.758550495142295</v>
      </c>
    </row>
    <row r="130" spans="1:8" ht="12.75">
      <c r="A130" s="15" t="s">
        <v>24</v>
      </c>
      <c r="B130" s="44">
        <f aca="true" t="shared" si="10" ref="B130:H130">B120+B129</f>
        <v>71.1686681340388</v>
      </c>
      <c r="C130" s="44">
        <f t="shared" si="10"/>
        <v>10.75160670617284</v>
      </c>
      <c r="D130" s="44">
        <f t="shared" si="10"/>
        <v>93.21579797813048</v>
      </c>
      <c r="E130" s="44">
        <f t="shared" si="10"/>
        <v>7.3706624</v>
      </c>
      <c r="F130" s="44">
        <f t="shared" si="10"/>
        <v>5.130227452557318</v>
      </c>
      <c r="G130" s="44">
        <f t="shared" si="10"/>
        <v>31.062540127175208</v>
      </c>
      <c r="H130" s="44">
        <f t="shared" si="10"/>
        <v>36.17715911412406</v>
      </c>
    </row>
    <row r="131" ht="12.75">
      <c r="A131" s="39" t="s">
        <v>132</v>
      </c>
    </row>
    <row r="132" ht="12.75">
      <c r="A132" s="13" t="s">
        <v>228</v>
      </c>
    </row>
  </sheetData>
  <sheetProtection/>
  <mergeCells count="16">
    <mergeCell ref="A93:H93"/>
    <mergeCell ref="A94:H94"/>
    <mergeCell ref="A61:L61"/>
    <mergeCell ref="A62:L62"/>
    <mergeCell ref="A76:H76"/>
    <mergeCell ref="A77:H77"/>
    <mergeCell ref="A3:L3"/>
    <mergeCell ref="A4:L4"/>
    <mergeCell ref="A51:G51"/>
    <mergeCell ref="A52:G52"/>
    <mergeCell ref="A26:D26"/>
    <mergeCell ref="A27:D27"/>
    <mergeCell ref="A39:F39"/>
    <mergeCell ref="A40:F40"/>
    <mergeCell ref="A45:G45"/>
    <mergeCell ref="A46:G46"/>
  </mergeCells>
  <printOptions horizontalCentered="1"/>
  <pageMargins left="0.75" right="0.75" top="1" bottom="1" header="0.5" footer="0.5"/>
  <pageSetup fitToHeight="20" horizontalDpi="300" verticalDpi="300" orientation="landscape" scale="64" r:id="rId1"/>
  <headerFooter alignWithMargins="0">
    <oddFooter>&amp;CPage &amp;P of &amp;N&amp;R&amp;D</oddFooter>
  </headerFooter>
  <rowBreaks count="2" manualBreakCount="2">
    <brk id="38" max="255" man="1"/>
    <brk id="9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3.8515625" style="0" bestFit="1" customWidth="1"/>
  </cols>
  <sheetData>
    <row r="1" spans="1:14" ht="12.75">
      <c r="A1" s="87" t="s">
        <v>362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 customHeight="1">
      <c r="A2" s="93" t="s">
        <v>363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5" spans="5:14" ht="12.75" customHeight="1">
      <c r="E5" s="94" t="s">
        <v>258</v>
      </c>
      <c r="F5" s="95"/>
      <c r="G5" s="95"/>
      <c r="H5" s="96"/>
      <c r="I5" s="91" t="s">
        <v>259</v>
      </c>
      <c r="J5" s="91"/>
      <c r="K5" s="91"/>
      <c r="L5" s="91"/>
      <c r="M5" s="92" t="s">
        <v>260</v>
      </c>
      <c r="N5" s="92"/>
    </row>
    <row r="6" spans="1:14" ht="42">
      <c r="A6" s="73" t="s">
        <v>87</v>
      </c>
      <c r="B6" s="73" t="s">
        <v>281</v>
      </c>
      <c r="C6" s="73" t="s">
        <v>282</v>
      </c>
      <c r="D6" s="73" t="s">
        <v>267</v>
      </c>
      <c r="E6" s="73" t="s">
        <v>299</v>
      </c>
      <c r="F6" s="73" t="s">
        <v>261</v>
      </c>
      <c r="G6" s="73" t="s">
        <v>300</v>
      </c>
      <c r="H6" s="73" t="s">
        <v>268</v>
      </c>
      <c r="I6" s="73" t="s">
        <v>265</v>
      </c>
      <c r="J6" s="73" t="s">
        <v>266</v>
      </c>
      <c r="K6" s="73" t="s">
        <v>269</v>
      </c>
      <c r="L6" s="73" t="s">
        <v>270</v>
      </c>
      <c r="M6" s="73" t="s">
        <v>262</v>
      </c>
      <c r="N6" s="73" t="s">
        <v>263</v>
      </c>
    </row>
    <row r="7" spans="1:14" ht="12.75">
      <c r="A7" s="4" t="str">
        <f>Summaries!A25</f>
        <v>HGS Tank Demolition</v>
      </c>
      <c r="B7" s="69">
        <f>Summaries!J25</f>
        <v>1</v>
      </c>
      <c r="C7" s="69">
        <f>Summaries!K25</f>
        <v>10</v>
      </c>
      <c r="D7" s="69">
        <f aca="true" t="shared" si="0" ref="D7:D22">C7-B7+1</f>
        <v>10</v>
      </c>
      <c r="E7" s="43">
        <f>TankDemolitionHGS!L15</f>
        <v>0</v>
      </c>
      <c r="F7" s="43">
        <f>TankDemolitionHGS!L23-E7</f>
        <v>507.99760000000003</v>
      </c>
      <c r="G7" s="14">
        <f aca="true" t="shared" si="1" ref="G7:G22">E7*D7</f>
        <v>0</v>
      </c>
      <c r="H7" s="14">
        <f aca="true" t="shared" si="2" ref="H7:H22">D7*F7</f>
        <v>5079.976000000001</v>
      </c>
      <c r="I7" s="14">
        <f>TankDemolitionHGS!M85</f>
        <v>642</v>
      </c>
      <c r="J7" s="14">
        <f>TankDemolitionHGS!N85</f>
        <v>1055</v>
      </c>
      <c r="K7" s="14">
        <f aca="true" t="shared" si="3" ref="K7:K22">D7*I7/20</f>
        <v>321</v>
      </c>
      <c r="L7" s="14">
        <f aca="true" t="shared" si="4" ref="L7:L22">D7*J7/20</f>
        <v>527.5</v>
      </c>
      <c r="M7" s="72">
        <f aca="true" t="shared" si="5" ref="M7:M22">K7+G7</f>
        <v>321</v>
      </c>
      <c r="N7" s="72">
        <f aca="true" t="shared" si="6" ref="N7:N22">H7+L7</f>
        <v>5607.476000000001</v>
      </c>
    </row>
    <row r="8" spans="1:14" ht="12.75">
      <c r="A8" s="4" t="str">
        <f>Summaries!A27</f>
        <v>HGS Backfill</v>
      </c>
      <c r="B8" s="69">
        <f>Summaries!J27</f>
        <v>11</v>
      </c>
      <c r="C8" s="69">
        <f>Summaries!K27</f>
        <v>20</v>
      </c>
      <c r="D8" s="69">
        <f t="shared" si="0"/>
        <v>10</v>
      </c>
      <c r="E8" s="43">
        <f>BackfillHGS!L15</f>
        <v>0</v>
      </c>
      <c r="F8" s="43">
        <f>BackfillHGS!L23-E8</f>
        <v>681.296</v>
      </c>
      <c r="G8" s="14">
        <f t="shared" si="1"/>
        <v>0</v>
      </c>
      <c r="H8" s="14">
        <f t="shared" si="2"/>
        <v>6812.960000000001</v>
      </c>
      <c r="I8" s="14">
        <f>BackfillHGS!M62</f>
        <v>400</v>
      </c>
      <c r="J8" s="14">
        <f>BackfillHGS!N62</f>
        <v>2070</v>
      </c>
      <c r="K8" s="14">
        <f t="shared" si="3"/>
        <v>200</v>
      </c>
      <c r="L8" s="14">
        <f t="shared" si="4"/>
        <v>1035</v>
      </c>
      <c r="M8" s="72">
        <f t="shared" si="5"/>
        <v>200</v>
      </c>
      <c r="N8" s="72">
        <f t="shared" si="6"/>
        <v>7847.960000000001</v>
      </c>
    </row>
    <row r="9" spans="1:14" ht="12.75">
      <c r="A9" s="4" t="str">
        <f>Summaries!A29</f>
        <v>HGS Grading</v>
      </c>
      <c r="B9" s="69">
        <f>Summaries!J29</f>
        <v>18</v>
      </c>
      <c r="C9" s="69">
        <f>Summaries!K29</f>
        <v>20</v>
      </c>
      <c r="D9" s="69">
        <f t="shared" si="0"/>
        <v>3</v>
      </c>
      <c r="E9" s="43">
        <f>GradingHGS!L15</f>
        <v>0</v>
      </c>
      <c r="F9" s="43">
        <f>GradingHGS!L23-E9</f>
        <v>173.22000000000003</v>
      </c>
      <c r="G9" s="14">
        <f t="shared" si="1"/>
        <v>0</v>
      </c>
      <c r="H9" s="14">
        <f t="shared" si="2"/>
        <v>519.6600000000001</v>
      </c>
      <c r="I9" s="14">
        <f>GradingHGS!M62</f>
        <v>120</v>
      </c>
      <c r="J9" s="14">
        <f>GradingHGS!N62</f>
        <v>1</v>
      </c>
      <c r="K9" s="14">
        <f t="shared" si="3"/>
        <v>18</v>
      </c>
      <c r="L9" s="14">
        <f t="shared" si="4"/>
        <v>0.15</v>
      </c>
      <c r="M9" s="72">
        <f t="shared" si="5"/>
        <v>18</v>
      </c>
      <c r="N9" s="72">
        <f t="shared" si="6"/>
        <v>519.8100000000001</v>
      </c>
    </row>
    <row r="10" spans="1:14" ht="12.75">
      <c r="A10" s="4" t="str">
        <f>Summaries!A31</f>
        <v>HGS Foundations </v>
      </c>
      <c r="B10" s="69">
        <f>Summaries!J31</f>
        <v>21</v>
      </c>
      <c r="C10" s="69">
        <f>Summaries!K31</f>
        <v>28</v>
      </c>
      <c r="D10" s="69">
        <f t="shared" si="0"/>
        <v>8</v>
      </c>
      <c r="E10" s="43">
        <f>FoundationsHGS!L15</f>
        <v>29.759999999999994</v>
      </c>
      <c r="F10" s="43">
        <f>FoundationsHGS!L23-E10</f>
        <v>264.86400000000003</v>
      </c>
      <c r="G10" s="14">
        <f t="shared" si="1"/>
        <v>238.07999999999996</v>
      </c>
      <c r="H10" s="14">
        <f t="shared" si="2"/>
        <v>2118.9120000000003</v>
      </c>
      <c r="I10" s="14">
        <f>FoundationsHGS!M62</f>
        <v>10100</v>
      </c>
      <c r="J10" s="14">
        <f>FoundationsHGS!N62</f>
        <v>1353</v>
      </c>
      <c r="K10" s="14">
        <f t="shared" si="3"/>
        <v>4040</v>
      </c>
      <c r="L10" s="14">
        <f t="shared" si="4"/>
        <v>541.2</v>
      </c>
      <c r="M10" s="72">
        <f t="shared" si="5"/>
        <v>4278.08</v>
      </c>
      <c r="N10" s="72">
        <f t="shared" si="6"/>
        <v>2660.112</v>
      </c>
    </row>
    <row r="11" spans="1:14" ht="12.75">
      <c r="A11" s="4" t="str">
        <f>Summaries!A33</f>
        <v>HGS Paving</v>
      </c>
      <c r="B11" s="69">
        <f>Summaries!J33</f>
        <v>21</v>
      </c>
      <c r="C11" s="69">
        <f>Summaries!K33</f>
        <v>28</v>
      </c>
      <c r="D11" s="69">
        <f t="shared" si="0"/>
        <v>8</v>
      </c>
      <c r="E11" s="43">
        <f>PavingHGS!L15</f>
        <v>0</v>
      </c>
      <c r="F11" s="43">
        <f>PavingHGS!L23-E11</f>
        <v>144.13600000000002</v>
      </c>
      <c r="G11" s="14">
        <f t="shared" si="1"/>
        <v>0</v>
      </c>
      <c r="H11" s="14">
        <f t="shared" si="2"/>
        <v>1153.0880000000002</v>
      </c>
      <c r="I11" s="14">
        <f>PavingHGS!M62</f>
        <v>242</v>
      </c>
      <c r="J11" s="14">
        <f>PavingHGS!N62</f>
        <v>854</v>
      </c>
      <c r="K11" s="14">
        <f t="shared" si="3"/>
        <v>96.8</v>
      </c>
      <c r="L11" s="14">
        <f t="shared" si="4"/>
        <v>341.6</v>
      </c>
      <c r="M11" s="72">
        <f t="shared" si="5"/>
        <v>96.8</v>
      </c>
      <c r="N11" s="72">
        <f t="shared" si="6"/>
        <v>1494.688</v>
      </c>
    </row>
    <row r="12" spans="1:14" ht="12.75">
      <c r="A12" s="4" t="str">
        <f>Summaries!A35</f>
        <v>HGS Equipment Installation</v>
      </c>
      <c r="B12" s="69">
        <f>Summaries!J35</f>
        <v>29</v>
      </c>
      <c r="C12" s="69">
        <f>Summaries!K35</f>
        <v>150</v>
      </c>
      <c r="D12" s="69">
        <f t="shared" si="0"/>
        <v>122</v>
      </c>
      <c r="E12" s="43">
        <f>'Equipment InstallationHGS'!L16</f>
        <v>0</v>
      </c>
      <c r="F12" s="43">
        <f>'Equipment InstallationHGS'!L24-E12</f>
        <v>681.44</v>
      </c>
      <c r="G12" s="14">
        <f t="shared" si="1"/>
        <v>0</v>
      </c>
      <c r="H12" s="14">
        <f t="shared" si="2"/>
        <v>83135.68000000001</v>
      </c>
      <c r="I12" s="14">
        <f>'Equipment InstallationHGS'!M62</f>
        <v>16020</v>
      </c>
      <c r="J12" s="14">
        <f>'Equipment InstallationHGS'!N62</f>
        <v>410</v>
      </c>
      <c r="K12" s="14">
        <f t="shared" si="3"/>
        <v>97722</v>
      </c>
      <c r="L12" s="14">
        <f t="shared" si="4"/>
        <v>2501</v>
      </c>
      <c r="M12" s="72">
        <f t="shared" si="5"/>
        <v>97722</v>
      </c>
      <c r="N12" s="72">
        <f t="shared" si="6"/>
        <v>85636.68000000001</v>
      </c>
    </row>
    <row r="13" spans="1:14" ht="12.75">
      <c r="A13" s="4" t="str">
        <f>Summaries!A37</f>
        <v>SGS Slab Demolition</v>
      </c>
      <c r="B13" s="69">
        <f>Summaries!J37</f>
        <v>1</v>
      </c>
      <c r="C13" s="69">
        <f>Summaries!K37</f>
        <v>10</v>
      </c>
      <c r="D13" s="69">
        <f t="shared" si="0"/>
        <v>10</v>
      </c>
      <c r="E13" s="43">
        <f>SlabDemolitionSGS!L15</f>
        <v>0</v>
      </c>
      <c r="F13" s="43">
        <f>SlabDemolitionSGS!L23-E13</f>
        <v>123.57600000000001</v>
      </c>
      <c r="G13" s="14">
        <f t="shared" si="1"/>
        <v>0</v>
      </c>
      <c r="H13" s="14">
        <f t="shared" si="2"/>
        <v>1235.76</v>
      </c>
      <c r="I13" s="14">
        <f>SlabDemolitionSGS!M62</f>
        <v>201</v>
      </c>
      <c r="J13" s="14">
        <f>SlabDemolitionSGS!N62</f>
        <v>656</v>
      </c>
      <c r="K13" s="14">
        <f t="shared" si="3"/>
        <v>100.5</v>
      </c>
      <c r="L13" s="14">
        <f t="shared" si="4"/>
        <v>328</v>
      </c>
      <c r="M13" s="72">
        <f t="shared" si="5"/>
        <v>100.5</v>
      </c>
      <c r="N13" s="72">
        <f t="shared" si="6"/>
        <v>1563.76</v>
      </c>
    </row>
    <row r="14" spans="1:14" ht="12.75">
      <c r="A14" s="4" t="str">
        <f>Summaries!A39</f>
        <v>SGS Grading</v>
      </c>
      <c r="B14" s="69">
        <f>Summaries!J39</f>
        <v>18</v>
      </c>
      <c r="C14" s="69">
        <f>Summaries!K39</f>
        <v>20</v>
      </c>
      <c r="D14" s="69">
        <f t="shared" si="0"/>
        <v>3</v>
      </c>
      <c r="E14" s="43">
        <f>GradingSGS!L15</f>
        <v>0</v>
      </c>
      <c r="F14" s="43">
        <f>GradingSGS!L23-E14</f>
        <v>97.33200000000001</v>
      </c>
      <c r="G14" s="14">
        <f t="shared" si="1"/>
        <v>0</v>
      </c>
      <c r="H14" s="14">
        <f t="shared" si="2"/>
        <v>291.99600000000004</v>
      </c>
      <c r="I14" s="14">
        <f>GradingSGS!M62</f>
        <v>121</v>
      </c>
      <c r="J14" s="14">
        <f>GradingSGS!N62</f>
        <v>1</v>
      </c>
      <c r="K14" s="14">
        <f t="shared" si="3"/>
        <v>18.15</v>
      </c>
      <c r="L14" s="14">
        <f t="shared" si="4"/>
        <v>0.15</v>
      </c>
      <c r="M14" s="72">
        <f t="shared" si="5"/>
        <v>18.15</v>
      </c>
      <c r="N14" s="72">
        <f t="shared" si="6"/>
        <v>292.146</v>
      </c>
    </row>
    <row r="15" spans="1:14" ht="12.75">
      <c r="A15" s="4" t="str">
        <f>Summaries!A41</f>
        <v>SGS Foundations </v>
      </c>
      <c r="B15" s="69">
        <f>Summaries!J41</f>
        <v>21</v>
      </c>
      <c r="C15" s="69">
        <f>Summaries!K41</f>
        <v>28</v>
      </c>
      <c r="D15" s="69">
        <f t="shared" si="0"/>
        <v>8</v>
      </c>
      <c r="E15" s="43">
        <f>FoundationsSGS!L15</f>
        <v>2.9759999999999995</v>
      </c>
      <c r="F15" s="43">
        <f>FoundationsSGS!L23-E15</f>
        <v>41.664</v>
      </c>
      <c r="G15" s="14">
        <f t="shared" si="1"/>
        <v>23.807999999999996</v>
      </c>
      <c r="H15" s="14">
        <f t="shared" si="2"/>
        <v>333.312</v>
      </c>
      <c r="I15" s="14">
        <f>FoundationsSGS!M61</f>
        <v>530</v>
      </c>
      <c r="J15" s="14">
        <f>FoundationsSGS!N61</f>
        <v>328</v>
      </c>
      <c r="K15" s="14">
        <f t="shared" si="3"/>
        <v>212</v>
      </c>
      <c r="L15" s="14">
        <f t="shared" si="4"/>
        <v>131.2</v>
      </c>
      <c r="M15" s="72">
        <f t="shared" si="5"/>
        <v>235.808</v>
      </c>
      <c r="N15" s="72">
        <f t="shared" si="6"/>
        <v>464.512</v>
      </c>
    </row>
    <row r="16" spans="1:14" ht="12.75">
      <c r="A16" s="4" t="str">
        <f>Summaries!A43</f>
        <v>SGS Paving</v>
      </c>
      <c r="B16" s="69">
        <f>Summaries!J43</f>
        <v>21</v>
      </c>
      <c r="C16" s="69">
        <f>Summaries!K43</f>
        <v>28</v>
      </c>
      <c r="D16" s="69">
        <f t="shared" si="0"/>
        <v>8</v>
      </c>
      <c r="E16" s="43">
        <f>PavingSGS!L15</f>
        <v>0</v>
      </c>
      <c r="F16" s="43">
        <f>PavingSGS!L23-E16</f>
        <v>68.248</v>
      </c>
      <c r="G16" s="14">
        <f t="shared" si="1"/>
        <v>0</v>
      </c>
      <c r="H16" s="14">
        <f t="shared" si="2"/>
        <v>545.984</v>
      </c>
      <c r="I16" s="14">
        <f>PavingSGS!M62</f>
        <v>122</v>
      </c>
      <c r="J16" s="14">
        <f>PavingSGS!N62</f>
        <v>246</v>
      </c>
      <c r="K16" s="14">
        <f t="shared" si="3"/>
        <v>48.8</v>
      </c>
      <c r="L16" s="14">
        <f t="shared" si="4"/>
        <v>98.4</v>
      </c>
      <c r="M16" s="72">
        <f t="shared" si="5"/>
        <v>48.8</v>
      </c>
      <c r="N16" s="72">
        <f t="shared" si="6"/>
        <v>644.384</v>
      </c>
    </row>
    <row r="17" spans="1:14" ht="12.75">
      <c r="A17" s="4" t="str">
        <f>Summaries!A45</f>
        <v>SGS Equipment Installation</v>
      </c>
      <c r="B17" s="69">
        <f>Summaries!J45</f>
        <v>29</v>
      </c>
      <c r="C17" s="69">
        <f>Summaries!K45</f>
        <v>150</v>
      </c>
      <c r="D17" s="69">
        <f t="shared" si="0"/>
        <v>122</v>
      </c>
      <c r="E17" s="43">
        <f>'Equipment InstallationSGS'!L16</f>
        <v>0</v>
      </c>
      <c r="F17" s="43">
        <f>'Equipment InstallationSGS'!L24-E17</f>
        <v>259.12800000000004</v>
      </c>
      <c r="G17" s="14">
        <f t="shared" si="1"/>
        <v>0</v>
      </c>
      <c r="H17" s="14">
        <f t="shared" si="2"/>
        <v>31613.616000000005</v>
      </c>
      <c r="I17" s="14">
        <f>'Equipment InstallationSGS'!M62</f>
        <v>4005</v>
      </c>
      <c r="J17" s="14">
        <f>'Equipment InstallationSGS'!N62</f>
        <v>451</v>
      </c>
      <c r="K17" s="14">
        <f t="shared" si="3"/>
        <v>24430.5</v>
      </c>
      <c r="L17" s="14">
        <f t="shared" si="4"/>
        <v>2751.1</v>
      </c>
      <c r="M17" s="72">
        <f t="shared" si="5"/>
        <v>24430.5</v>
      </c>
      <c r="N17" s="72">
        <f t="shared" si="6"/>
        <v>34364.71600000001</v>
      </c>
    </row>
    <row r="18" spans="1:14" ht="12.75">
      <c r="A18" s="4" t="str">
        <f>Summaries!A47</f>
        <v>VGS Demolition</v>
      </c>
      <c r="B18" s="69">
        <f>Summaries!J47</f>
        <v>1</v>
      </c>
      <c r="C18" s="69">
        <f>Summaries!K47</f>
        <v>10</v>
      </c>
      <c r="D18" s="69">
        <f t="shared" si="0"/>
        <v>10</v>
      </c>
      <c r="E18" s="43">
        <f>DemolitionVGSAltC!L15</f>
        <v>0</v>
      </c>
      <c r="F18" s="43">
        <f>DemolitionVGSAltC!L23-E18</f>
        <v>193.9648</v>
      </c>
      <c r="G18" s="14">
        <f t="shared" si="1"/>
        <v>0</v>
      </c>
      <c r="H18" s="14">
        <f t="shared" si="2"/>
        <v>1939.648</v>
      </c>
      <c r="I18" s="14">
        <f>DemolitionVGSAltC!M72</f>
        <v>561</v>
      </c>
      <c r="J18" s="14">
        <f>DemolitionVGSAltC!N72</f>
        <v>412</v>
      </c>
      <c r="K18" s="14">
        <f t="shared" si="3"/>
        <v>280.5</v>
      </c>
      <c r="L18" s="14">
        <f t="shared" si="4"/>
        <v>206</v>
      </c>
      <c r="M18" s="72">
        <f t="shared" si="5"/>
        <v>280.5</v>
      </c>
      <c r="N18" s="72">
        <f t="shared" si="6"/>
        <v>2145.648</v>
      </c>
    </row>
    <row r="19" spans="1:14" ht="12.75">
      <c r="A19" s="4" t="str">
        <f>Summaries!A49</f>
        <v>VGS Grading</v>
      </c>
      <c r="B19" s="69">
        <f>Summaries!J49</f>
        <v>11</v>
      </c>
      <c r="C19" s="69">
        <f>Summaries!K49</f>
        <v>15</v>
      </c>
      <c r="D19" s="69">
        <f t="shared" si="0"/>
        <v>5</v>
      </c>
      <c r="E19" s="43">
        <f>GradingVGS!L15</f>
        <v>0</v>
      </c>
      <c r="F19" s="43">
        <f>GradingVGS!L23-E19</f>
        <v>97.33200000000001</v>
      </c>
      <c r="G19" s="14">
        <f t="shared" si="1"/>
        <v>0</v>
      </c>
      <c r="H19" s="14">
        <f t="shared" si="2"/>
        <v>486.66</v>
      </c>
      <c r="I19" s="14">
        <f>GradingVGS!M62</f>
        <v>120</v>
      </c>
      <c r="J19" s="14">
        <f>GradingVGS!N62</f>
        <v>1</v>
      </c>
      <c r="K19" s="14">
        <f t="shared" si="3"/>
        <v>30</v>
      </c>
      <c r="L19" s="14">
        <f t="shared" si="4"/>
        <v>0.25</v>
      </c>
      <c r="M19" s="72">
        <f t="shared" si="5"/>
        <v>30</v>
      </c>
      <c r="N19" s="72">
        <f t="shared" si="6"/>
        <v>486.91</v>
      </c>
    </row>
    <row r="20" spans="1:14" ht="12.75">
      <c r="A20" s="4" t="str">
        <f>Summaries!A51</f>
        <v>VGS Foundations </v>
      </c>
      <c r="B20" s="69">
        <f>Summaries!J51</f>
        <v>16</v>
      </c>
      <c r="C20" s="69">
        <f>Summaries!K51</f>
        <v>22</v>
      </c>
      <c r="D20" s="69">
        <f t="shared" si="0"/>
        <v>7</v>
      </c>
      <c r="E20" s="43">
        <f>FoundationsVGS!L15</f>
        <v>5.951999999999999</v>
      </c>
      <c r="F20" s="43">
        <f>FoundationsVGS!L23-E20</f>
        <v>58.03200000000001</v>
      </c>
      <c r="G20" s="14">
        <f t="shared" si="1"/>
        <v>41.663999999999994</v>
      </c>
      <c r="H20" s="14">
        <f t="shared" si="2"/>
        <v>406.22400000000005</v>
      </c>
      <c r="I20" s="14">
        <f>FoundationsVGS!M61</f>
        <v>2006</v>
      </c>
      <c r="J20" s="14">
        <f>FoundationsVGS!N61</f>
        <v>1025</v>
      </c>
      <c r="K20" s="14">
        <f t="shared" si="3"/>
        <v>702.1</v>
      </c>
      <c r="L20" s="14">
        <f t="shared" si="4"/>
        <v>358.75</v>
      </c>
      <c r="M20" s="72">
        <f t="shared" si="5"/>
        <v>743.764</v>
      </c>
      <c r="N20" s="72">
        <f t="shared" si="6"/>
        <v>764.974</v>
      </c>
    </row>
    <row r="21" spans="1:14" ht="12.75">
      <c r="A21" s="4" t="str">
        <f>Summaries!A53</f>
        <v>VGS Paving</v>
      </c>
      <c r="B21" s="69">
        <f>Summaries!J53</f>
        <v>21</v>
      </c>
      <c r="C21" s="69">
        <f>Summaries!K53</f>
        <v>25</v>
      </c>
      <c r="D21" s="69">
        <f t="shared" si="0"/>
        <v>5</v>
      </c>
      <c r="E21" s="43">
        <f>PavingVGS!L15</f>
        <v>0</v>
      </c>
      <c r="F21" s="43">
        <f>PavingVGS!L23-E21</f>
        <v>68.248</v>
      </c>
      <c r="G21" s="14">
        <f t="shared" si="1"/>
        <v>0</v>
      </c>
      <c r="H21" s="14">
        <f t="shared" si="2"/>
        <v>341.24</v>
      </c>
      <c r="I21" s="14">
        <f>PavingVGS!M62</f>
        <v>122</v>
      </c>
      <c r="J21" s="14">
        <f>PavingVGS!N62</f>
        <v>328</v>
      </c>
      <c r="K21" s="14">
        <f t="shared" si="3"/>
        <v>30.5</v>
      </c>
      <c r="L21" s="14">
        <f t="shared" si="4"/>
        <v>82</v>
      </c>
      <c r="M21" s="72">
        <f t="shared" si="5"/>
        <v>30.5</v>
      </c>
      <c r="N21" s="72">
        <f t="shared" si="6"/>
        <v>423.24</v>
      </c>
    </row>
    <row r="22" spans="1:14" ht="12.75">
      <c r="A22" s="4" t="str">
        <f>Summaries!A55</f>
        <v>VGS Equipment Installation</v>
      </c>
      <c r="B22" s="69">
        <f>Summaries!J55</f>
        <v>29</v>
      </c>
      <c r="C22" s="69">
        <f>Summaries!K55</f>
        <v>150</v>
      </c>
      <c r="D22" s="69">
        <f t="shared" si="0"/>
        <v>122</v>
      </c>
      <c r="E22" s="43">
        <f>'Equipment InstallationVGS'!L16</f>
        <v>0</v>
      </c>
      <c r="F22" s="43">
        <f>'Equipment InstallationVGS'!L24-E22</f>
        <v>274.99600000000004</v>
      </c>
      <c r="G22" s="14">
        <f t="shared" si="1"/>
        <v>0</v>
      </c>
      <c r="H22" s="14">
        <f t="shared" si="2"/>
        <v>33549.512</v>
      </c>
      <c r="I22" s="14">
        <f>'Equipment InstallationVGS'!M62</f>
        <v>4204</v>
      </c>
      <c r="J22" s="14">
        <f>'Equipment InstallationVGS'!N62</f>
        <v>410</v>
      </c>
      <c r="K22" s="14">
        <f t="shared" si="3"/>
        <v>25644.4</v>
      </c>
      <c r="L22" s="14">
        <f t="shared" si="4"/>
        <v>2501</v>
      </c>
      <c r="M22" s="72">
        <f t="shared" si="5"/>
        <v>25644.4</v>
      </c>
      <c r="N22" s="72">
        <f t="shared" si="6"/>
        <v>36050.512</v>
      </c>
    </row>
    <row r="23" spans="1:14" ht="12.75">
      <c r="A23" s="15" t="s">
        <v>24</v>
      </c>
      <c r="B23" s="4"/>
      <c r="C23" s="4"/>
      <c r="D23" s="4"/>
      <c r="E23" s="4"/>
      <c r="F23" s="4"/>
      <c r="G23" s="72">
        <f>SUM(G7:G22)</f>
        <v>303.55199999999996</v>
      </c>
      <c r="H23" s="72">
        <f>SUM(H7:H22)</f>
        <v>169564.228</v>
      </c>
      <c r="I23" s="4"/>
      <c r="J23" s="4"/>
      <c r="K23" s="72">
        <f>SUM(K7:K22)</f>
        <v>153895.25</v>
      </c>
      <c r="L23" s="72">
        <f>SUM(L7:L22)</f>
        <v>11403.3</v>
      </c>
      <c r="M23" s="72">
        <f>SUM(M7:M22)</f>
        <v>154198.802</v>
      </c>
      <c r="N23" s="72">
        <f>SUM(N7:N22)</f>
        <v>180967.528</v>
      </c>
    </row>
    <row r="24" ht="12.75">
      <c r="A24" s="13" t="s">
        <v>271</v>
      </c>
    </row>
    <row r="25" ht="12.75">
      <c r="A25" s="13" t="s">
        <v>272</v>
      </c>
    </row>
  </sheetData>
  <sheetProtection/>
  <mergeCells count="5">
    <mergeCell ref="M5:N5"/>
    <mergeCell ref="I5:L5"/>
    <mergeCell ref="A1:N1"/>
    <mergeCell ref="A2:N2"/>
    <mergeCell ref="E5:H5"/>
  </mergeCells>
  <printOptions horizontalCentered="1"/>
  <pageMargins left="0.75" right="0.75" top="1" bottom="1" header="0.5" footer="0.5"/>
  <pageSetup fitToHeight="1" fitToWidth="1" orientation="landscape" scale="86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145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7.57421875" style="0" customWidth="1"/>
    <col min="2" max="2" width="8.421875" style="0" customWidth="1"/>
    <col min="3" max="3" width="11.00390625" style="0" customWidth="1"/>
    <col min="4" max="4" width="9.8515625" style="0" customWidth="1"/>
    <col min="6" max="6" width="10.140625" style="0" customWidth="1"/>
    <col min="10" max="10" width="8.7109375" style="0" customWidth="1"/>
  </cols>
  <sheetData>
    <row r="1" ht="12.75" hidden="1">
      <c r="A1" s="17" t="s">
        <v>171</v>
      </c>
    </row>
    <row r="2" ht="12.75" hidden="1">
      <c r="A2" s="52">
        <v>8</v>
      </c>
    </row>
    <row r="3" spans="1:12" ht="12.75">
      <c r="A3" s="87" t="str">
        <f>"Table "&amp;A$2&amp;"-A"</f>
        <v>Table 8-A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HGS Tank Demolition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>
        <v>1</v>
      </c>
      <c r="C7" s="2">
        <v>16</v>
      </c>
      <c r="D7" s="2">
        <f>B7*C7</f>
        <v>16</v>
      </c>
      <c r="E7" s="2" t="s">
        <v>84</v>
      </c>
      <c r="F7" s="2" t="s">
        <v>84</v>
      </c>
      <c r="G7" s="42">
        <f>$D7*VLOOKUP($A7,'Const. Equip. Emission Factors'!$A$5:$N$25,10,FALSE)</f>
        <v>17.133599999999998</v>
      </c>
      <c r="H7" s="42">
        <f>$D7*VLOOKUP($A7,'Const. Equip. Emission Factors'!$A$5:$N$25,11,FALSE)</f>
        <v>3.1151999999999997</v>
      </c>
      <c r="I7" s="42">
        <f>$D7*VLOOKUP($A7,'Const. Equip. Emission Factors'!$A$5:$N$25,12,FALSE)</f>
        <v>35.8248</v>
      </c>
      <c r="J7" s="42">
        <f>$D7*VLOOKUP($A7,'Const. Equip. Emission Factors'!$A$5:$N$25,13,FALSE)</f>
        <v>3.1151999999999997</v>
      </c>
      <c r="K7" s="42">
        <f>$D7*VLOOKUP($A7,'Const. Equip. Emission Factors'!$A$5:$N$25,14,FALSE)</f>
        <v>1.5575999999999999</v>
      </c>
      <c r="L7" s="43">
        <f>VLOOKUP(A7,'Const. Equip. Emission Factors'!$A$5:$P$23,16,FALSE)*D7</f>
        <v>77.88</v>
      </c>
    </row>
    <row r="8" spans="1:12" ht="12.75">
      <c r="A8" s="4" t="s">
        <v>43</v>
      </c>
      <c r="B8" s="2"/>
      <c r="C8" s="2"/>
      <c r="D8" s="2"/>
      <c r="E8" s="2"/>
      <c r="F8" s="2"/>
      <c r="G8" s="42"/>
      <c r="H8" s="42"/>
      <c r="I8" s="42"/>
      <c r="J8" s="42"/>
      <c r="K8" s="42"/>
      <c r="L8" s="43"/>
    </row>
    <row r="9" spans="1:12" ht="12.75">
      <c r="A9" s="4" t="s">
        <v>33</v>
      </c>
      <c r="B9" s="2">
        <v>1</v>
      </c>
      <c r="C9" s="2">
        <v>16</v>
      </c>
      <c r="D9" s="2">
        <f>B9*C9</f>
        <v>16</v>
      </c>
      <c r="E9" s="2">
        <v>1</v>
      </c>
      <c r="F9" s="2">
        <f>B9*E9</f>
        <v>1</v>
      </c>
      <c r="G9" s="42">
        <f>$D9*VLOOKUP($A9,'Const. Equip. Emission Factors'!$A$5:$N$25,10,FALSE)</f>
        <v>16.4052</v>
      </c>
      <c r="H9" s="42">
        <f>$D9*VLOOKUP($A9,'Const. Equip. Emission Factors'!$A$5:$N$25,11,FALSE)</f>
        <v>3.28104</v>
      </c>
      <c r="I9" s="42">
        <f>$D9*VLOOKUP($A9,'Const. Equip. Emission Factors'!$A$5:$N$25,12,FALSE)</f>
        <v>24.06096</v>
      </c>
      <c r="J9" s="42">
        <f>$D9*VLOOKUP($A9,'Const. Equip. Emission Factors'!$A$5:$N$25,13,FALSE)</f>
        <v>2.18736</v>
      </c>
      <c r="K9" s="42">
        <f>$D9*VLOOKUP($A9,'Const. Equip. Emission Factors'!$A$5:$N$25,14,FALSE)</f>
        <v>1.09368</v>
      </c>
      <c r="L9" s="43">
        <f>VLOOKUP(A9,'Const. Equip. Emission Factors'!$A$5:$P$23,16,FALSE)*D9</f>
        <v>54.684000000000005</v>
      </c>
    </row>
    <row r="10" spans="1:12" ht="12.75">
      <c r="A10" s="4" t="s">
        <v>48</v>
      </c>
      <c r="B10" s="2"/>
      <c r="C10" s="2"/>
      <c r="D10" s="2"/>
      <c r="E10" s="2"/>
      <c r="F10" s="2"/>
      <c r="G10" s="42"/>
      <c r="H10" s="42"/>
      <c r="I10" s="42"/>
      <c r="J10" s="42"/>
      <c r="K10" s="42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42"/>
      <c r="H11" s="42"/>
      <c r="I11" s="42"/>
      <c r="J11" s="42"/>
      <c r="K11" s="42"/>
      <c r="L11" s="2"/>
    </row>
    <row r="12" spans="1:12" ht="12.75">
      <c r="A12" s="4" t="s">
        <v>50</v>
      </c>
      <c r="B12" s="2">
        <v>2</v>
      </c>
      <c r="C12" s="2">
        <v>16</v>
      </c>
      <c r="D12" s="2">
        <f>B12*C12</f>
        <v>32</v>
      </c>
      <c r="E12" s="2" t="s">
        <v>84</v>
      </c>
      <c r="F12" s="2" t="str">
        <f>IF(E12&lt;&gt;"N/A",B12*E12,"N/A")</f>
        <v>N/A</v>
      </c>
      <c r="G12" s="42">
        <f>$D12*VLOOKUP($A12,'Const. Equip. Emission Factors'!$A$5:$N$25,10,FALSE)</f>
        <v>30.971071999999996</v>
      </c>
      <c r="H12" s="42">
        <f>$D12*VLOOKUP($A12,'Const. Equip. Emission Factors'!$A$5:$N$25,11,FALSE)</f>
        <v>2.8155519999999994</v>
      </c>
      <c r="I12" s="42">
        <f>$D12*VLOOKUP($A12,'Const. Equip. Emission Factors'!$A$5:$N$25,12,FALSE)</f>
        <v>67.57324799999999</v>
      </c>
      <c r="J12" s="42">
        <f>$D12*VLOOKUP($A12,'Const. Equip. Emission Factors'!$A$5:$N$25,13,FALSE)</f>
        <v>5.631103999999999</v>
      </c>
      <c r="K12" s="42">
        <f>$D12*VLOOKUP($A12,'Const. Equip. Emission Factors'!$A$5:$N$25,14,FALSE)</f>
        <v>4.2233279999999995</v>
      </c>
      <c r="L12" s="43">
        <f>VLOOKUP(A12,'Const. Equip. Emission Factors'!$A$5:$P$23,16,FALSE)*D12</f>
        <v>140.7776</v>
      </c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20</v>
      </c>
      <c r="C17" s="2">
        <v>12</v>
      </c>
      <c r="D17" s="2">
        <f>B17*C17</f>
        <v>240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40.4736</v>
      </c>
      <c r="H17" s="42">
        <f>$D17*VLOOKUP($A17,'Const. Equip. Emission Factors'!$A$5:$N$25,11,FALSE)</f>
        <v>6.07104</v>
      </c>
      <c r="I17" s="42">
        <f>$D17*VLOOKUP($A17,'Const. Equip. Emission Factors'!$A$5:$N$25,12,FALSE)</f>
        <v>48.56832</v>
      </c>
      <c r="J17" s="42">
        <f>$D17*VLOOKUP($A17,'Const. Equip. Emission Factors'!$A$5:$N$25,13,FALSE)</f>
        <v>4.04736</v>
      </c>
      <c r="K17" s="42">
        <f>$D17*VLOOKUP($A17,'Const. Equip. Emission Factors'!$A$5:$N$25,14,FALSE)</f>
        <v>3.03552</v>
      </c>
      <c r="L17" s="43">
        <f>VLOOKUP(A17,'Const. Equip. Emission Factors'!$A$5:$P$23,16,FALSE)*D17</f>
        <v>101.18400000000001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>
        <v>2</v>
      </c>
      <c r="C22" s="2">
        <v>16</v>
      </c>
      <c r="D22" s="2">
        <f>B22*C22</f>
        <v>32</v>
      </c>
      <c r="E22" s="2" t="s">
        <v>84</v>
      </c>
      <c r="F22" s="2" t="str">
        <f>IF(E22&lt;&gt;"N/A",B22*E22,"N/A")</f>
        <v>N/A</v>
      </c>
      <c r="G22" s="42">
        <f>$D22*VLOOKUP($A22,'Const. Equip. Emission Factors'!$A$5:$N$25,10,FALSE)</f>
        <v>24.024959999999997</v>
      </c>
      <c r="H22" s="42">
        <f>$D22*VLOOKUP($A22,'Const. Equip. Emission Factors'!$A$5:$N$25,11,FALSE)</f>
        <v>8.00832</v>
      </c>
      <c r="I22" s="42">
        <f>$D22*VLOOKUP($A22,'Const. Equip. Emission Factors'!$A$5:$N$25,12,FALSE)</f>
        <v>61.397119999999994</v>
      </c>
      <c r="J22" s="42">
        <f>$D22*VLOOKUP($A22,'Const. Equip. Emission Factors'!$A$5:$N$25,13,FALSE)</f>
        <v>5.3388800000000005</v>
      </c>
      <c r="K22" s="42">
        <f>$D22*VLOOKUP($A22,'Const. Equip. Emission Factors'!$A$5:$N$25,14,FALSE)</f>
        <v>4.00416</v>
      </c>
      <c r="L22" s="43">
        <f>VLOOKUP(A22,'Const. Equip. Emission Factors'!$A$5:$P$23,16,FALSE)*D22</f>
        <v>133.472</v>
      </c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129.00843199999997</v>
      </c>
      <c r="H23" s="46">
        <f t="shared" si="0"/>
        <v>23.291151999999997</v>
      </c>
      <c r="I23" s="46">
        <f t="shared" si="0"/>
        <v>237.424448</v>
      </c>
      <c r="J23" s="46">
        <f t="shared" si="0"/>
        <v>20.319903999999998</v>
      </c>
      <c r="K23" s="46">
        <f t="shared" si="0"/>
        <v>13.914287999999999</v>
      </c>
      <c r="L23" s="46">
        <f t="shared" si="0"/>
        <v>507.99760000000003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8-B</v>
      </c>
      <c r="B26" s="87"/>
      <c r="C26" s="87"/>
      <c r="D26" s="87"/>
    </row>
    <row r="27" spans="1:4" ht="12.75">
      <c r="A27" s="85" t="str">
        <f>A$1&amp;" Fugitive Dust Emissions (Pre-Mitigation)"</f>
        <v>HGS Tank Demolition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16</v>
      </c>
      <c r="C29" s="2" t="s">
        <v>83</v>
      </c>
      <c r="D29" s="43">
        <f>B29*'Fug. Dust Emission Factors'!C15</f>
        <v>10.269524354163964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SUM(F6:F22)-F8+E78+E79+E80+E81</f>
        <v>16</v>
      </c>
      <c r="C31" s="2" t="s">
        <v>46</v>
      </c>
      <c r="D31" s="43">
        <f>B31*'Fug. Dust Emission Factors'!C50</f>
        <v>4.860433258688082</v>
      </c>
    </row>
    <row r="32" spans="1:4" ht="12.75">
      <c r="A32" s="4" t="s">
        <v>110</v>
      </c>
      <c r="B32" s="14">
        <f>E77</f>
        <v>2</v>
      </c>
      <c r="C32" s="2" t="s">
        <v>46</v>
      </c>
      <c r="D32" s="43">
        <f>B32*'Fug. Dust Emission Factors'!C65</f>
        <v>0.5996508901095823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14">
        <f>B80*18</f>
        <v>468</v>
      </c>
      <c r="C34" s="2" t="s">
        <v>86</v>
      </c>
      <c r="D34" s="43">
        <f>B34*'Fug. Dust Emission Factors'!C99</f>
        <v>0.23250572837020778</v>
      </c>
    </row>
    <row r="35" spans="1:4" ht="12.75">
      <c r="A35" s="4" t="s">
        <v>148</v>
      </c>
      <c r="B35" s="2">
        <f>B84</f>
        <v>26</v>
      </c>
      <c r="C35" s="2" t="s">
        <v>166</v>
      </c>
      <c r="D35" s="43">
        <f>B35*'Fug. Dust Emission Factors'!C130</f>
        <v>41.669490559470795</v>
      </c>
    </row>
    <row r="36" spans="1:4" ht="12.75">
      <c r="A36" s="15" t="s">
        <v>24</v>
      </c>
      <c r="B36" s="4"/>
      <c r="C36" s="4"/>
      <c r="D36" s="44">
        <f>SUM(D29:D35)</f>
        <v>57.63160479080263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8-C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HGS Tank Demolition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8-D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HGS Tank Demolition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0" spans="1:7" ht="12.75">
      <c r="A50" s="50"/>
      <c r="B50" s="49"/>
      <c r="C50" s="29"/>
      <c r="D50" s="29"/>
      <c r="E50" s="29"/>
      <c r="F50" s="29"/>
      <c r="G50" s="29"/>
    </row>
    <row r="51" spans="1:7" ht="12.75">
      <c r="A51" s="87" t="str">
        <f>"Table "&amp;A$2&amp;"-E"</f>
        <v>Table 8-E</v>
      </c>
      <c r="B51" s="87"/>
      <c r="C51" s="87"/>
      <c r="D51" s="87"/>
      <c r="E51" s="87"/>
      <c r="F51" s="87"/>
      <c r="G51" s="87"/>
    </row>
    <row r="52" spans="1:7" ht="12.75">
      <c r="A52" s="85" t="str">
        <f>A$1&amp;" Tank Degassing (Pre-Mitigation)"</f>
        <v>HGS Tank Demolition Tank Degassing (Pre-Mitigation)</v>
      </c>
      <c r="B52" s="85"/>
      <c r="C52" s="86"/>
      <c r="D52" s="86"/>
      <c r="E52" s="86"/>
      <c r="F52" s="86"/>
      <c r="G52" s="86"/>
    </row>
    <row r="53" spans="1:8" ht="12.75">
      <c r="A53" s="51" t="s">
        <v>176</v>
      </c>
      <c r="B53" s="63">
        <v>15525</v>
      </c>
      <c r="C53" s="33" t="s">
        <v>190</v>
      </c>
      <c r="D53" s="31"/>
      <c r="E53" s="31"/>
      <c r="F53" s="31"/>
      <c r="G53" s="31"/>
      <c r="H53" s="32"/>
    </row>
    <row r="54" spans="1:8" ht="12.75">
      <c r="A54" s="51" t="s">
        <v>177</v>
      </c>
      <c r="B54" s="64">
        <v>0.0124</v>
      </c>
      <c r="C54" s="33" t="s">
        <v>225</v>
      </c>
      <c r="D54" s="31"/>
      <c r="E54" s="31"/>
      <c r="F54" s="31"/>
      <c r="G54" s="31"/>
      <c r="H54" s="32"/>
    </row>
    <row r="55" spans="1:8" ht="12.75">
      <c r="A55" s="51" t="s">
        <v>178</v>
      </c>
      <c r="B55" s="65">
        <v>130</v>
      </c>
      <c r="C55" s="33" t="s">
        <v>225</v>
      </c>
      <c r="D55" s="31"/>
      <c r="E55" s="31"/>
      <c r="F55" s="31"/>
      <c r="G55" s="31"/>
      <c r="H55" s="32"/>
    </row>
    <row r="56" spans="1:8" ht="12.75">
      <c r="A56" s="15" t="s">
        <v>179</v>
      </c>
      <c r="B56" s="44">
        <f>B54/14.7*B55/0.1301/(453.6+80)*B53</f>
        <v>24.5237112576749</v>
      </c>
      <c r="C56" s="33"/>
      <c r="D56" s="31"/>
      <c r="E56" s="31"/>
      <c r="F56" s="31"/>
      <c r="G56" s="31"/>
      <c r="H56" s="32"/>
    </row>
    <row r="57" spans="1:8" ht="12.75">
      <c r="A57" s="51" t="s">
        <v>180</v>
      </c>
      <c r="B57" s="63">
        <v>80000</v>
      </c>
      <c r="C57" s="33" t="s">
        <v>191</v>
      </c>
      <c r="D57" s="31"/>
      <c r="E57" s="31"/>
      <c r="F57" s="31"/>
      <c r="G57" s="31"/>
      <c r="H57" s="32"/>
    </row>
    <row r="58" spans="1:8" ht="12.75">
      <c r="A58" s="51" t="s">
        <v>177</v>
      </c>
      <c r="B58" s="64">
        <v>0.0124</v>
      </c>
      <c r="C58" s="33" t="s">
        <v>225</v>
      </c>
      <c r="D58" s="31"/>
      <c r="E58" s="31"/>
      <c r="F58" s="31"/>
      <c r="G58" s="31"/>
      <c r="H58" s="32"/>
    </row>
    <row r="59" spans="1:8" ht="12.75">
      <c r="A59" s="51" t="s">
        <v>178</v>
      </c>
      <c r="B59" s="65">
        <v>130</v>
      </c>
      <c r="C59" s="33" t="s">
        <v>225</v>
      </c>
      <c r="D59" s="31"/>
      <c r="E59" s="31"/>
      <c r="F59" s="31"/>
      <c r="G59" s="31"/>
      <c r="H59" s="32"/>
    </row>
    <row r="60" spans="1:8" ht="12.75">
      <c r="A60" s="15" t="s">
        <v>181</v>
      </c>
      <c r="B60" s="44">
        <f>B58/14.7*B59/0.1301/(453.6+80)*B57</f>
        <v>126.37017073198015</v>
      </c>
      <c r="C60" s="33"/>
      <c r="D60" s="31"/>
      <c r="E60" s="31"/>
      <c r="F60" s="31"/>
      <c r="G60" s="31"/>
      <c r="H60" s="32"/>
    </row>
    <row r="61" spans="1:8" ht="12.75">
      <c r="A61" s="51" t="s">
        <v>182</v>
      </c>
      <c r="B61" s="63">
        <v>80000</v>
      </c>
      <c r="C61" s="33" t="s">
        <v>191</v>
      </c>
      <c r="D61" s="31"/>
      <c r="E61" s="31"/>
      <c r="F61" s="31"/>
      <c r="G61" s="31"/>
      <c r="H61" s="32"/>
    </row>
    <row r="62" spans="1:8" ht="12.75">
      <c r="A62" s="51" t="s">
        <v>177</v>
      </c>
      <c r="B62" s="64">
        <v>0.0124</v>
      </c>
      <c r="C62" s="33" t="s">
        <v>225</v>
      </c>
      <c r="D62" s="31"/>
      <c r="E62" s="31"/>
      <c r="F62" s="31"/>
      <c r="G62" s="31"/>
      <c r="H62" s="32"/>
    </row>
    <row r="63" spans="1:8" ht="12.75">
      <c r="A63" s="51" t="s">
        <v>178</v>
      </c>
      <c r="B63" s="65">
        <v>120</v>
      </c>
      <c r="C63" s="33" t="s">
        <v>225</v>
      </c>
      <c r="D63" s="31"/>
      <c r="E63" s="31"/>
      <c r="F63" s="31"/>
      <c r="G63" s="31"/>
      <c r="H63" s="32"/>
    </row>
    <row r="64" spans="1:8" ht="12.75">
      <c r="A64" s="15" t="s">
        <v>183</v>
      </c>
      <c r="B64" s="44">
        <f>B62/14.7*B63/0.1301/(453.6+80)*B61</f>
        <v>116.64938836798169</v>
      </c>
      <c r="C64" s="33"/>
      <c r="D64" s="31"/>
      <c r="E64" s="31"/>
      <c r="F64" s="31"/>
      <c r="G64" s="31"/>
      <c r="H64" s="32"/>
    </row>
    <row r="65" spans="1:8" ht="12.75">
      <c r="A65" s="51" t="s">
        <v>184</v>
      </c>
      <c r="B65" s="63">
        <v>1028</v>
      </c>
      <c r="C65" s="33" t="s">
        <v>192</v>
      </c>
      <c r="D65" s="31"/>
      <c r="E65" s="31"/>
      <c r="F65" s="31"/>
      <c r="G65" s="31"/>
      <c r="H65" s="32"/>
    </row>
    <row r="66" spans="1:8" ht="12.75">
      <c r="A66" s="51" t="s">
        <v>177</v>
      </c>
      <c r="B66" s="64">
        <v>0.0132</v>
      </c>
      <c r="C66" s="33" t="s">
        <v>226</v>
      </c>
      <c r="D66" s="31"/>
      <c r="E66" s="31"/>
      <c r="F66" s="31"/>
      <c r="G66" s="31"/>
      <c r="H66" s="32"/>
    </row>
    <row r="67" spans="1:8" ht="12.75">
      <c r="A67" s="51" t="s">
        <v>178</v>
      </c>
      <c r="B67" s="65">
        <v>130</v>
      </c>
      <c r="C67" s="33" t="s">
        <v>226</v>
      </c>
      <c r="D67" s="31"/>
      <c r="E67" s="31"/>
      <c r="F67" s="31"/>
      <c r="G67" s="31"/>
      <c r="H67" s="32"/>
    </row>
    <row r="68" spans="1:8" ht="12.75">
      <c r="A68" s="15" t="s">
        <v>185</v>
      </c>
      <c r="B68" s="44">
        <f>B66/14.7*B67/0.1301/(453.6+80)*B65</f>
        <v>1.7286216418998772</v>
      </c>
      <c r="C68" s="33"/>
      <c r="D68" s="31"/>
      <c r="E68" s="31"/>
      <c r="F68" s="31"/>
      <c r="G68" s="31"/>
      <c r="H68" s="32"/>
    </row>
    <row r="69" spans="1:8" ht="12.75">
      <c r="A69" s="15" t="s">
        <v>186</v>
      </c>
      <c r="B69" s="44">
        <f>B56+B60+B64+B68</f>
        <v>269.2718919995366</v>
      </c>
      <c r="C69" s="33"/>
      <c r="D69" s="31"/>
      <c r="E69" s="31"/>
      <c r="F69" s="31"/>
      <c r="G69" s="31"/>
      <c r="H69" s="32"/>
    </row>
    <row r="70" spans="1:7" ht="12.75">
      <c r="A70" s="50"/>
      <c r="B70" s="49"/>
      <c r="C70" s="29"/>
      <c r="D70" s="29"/>
      <c r="E70" s="29"/>
      <c r="F70" s="29"/>
      <c r="G70" s="29"/>
    </row>
    <row r="71" spans="1:7" ht="12.75">
      <c r="A71" s="62" t="s">
        <v>280</v>
      </c>
      <c r="B71" s="49"/>
      <c r="C71" s="29"/>
      <c r="D71" s="29"/>
      <c r="E71" s="29"/>
      <c r="F71" s="29"/>
      <c r="G71" s="29"/>
    </row>
    <row r="72" spans="1:7" ht="12.75">
      <c r="A72" s="50"/>
      <c r="B72" s="49"/>
      <c r="C72" s="29"/>
      <c r="D72" s="29"/>
      <c r="E72" s="29"/>
      <c r="F72" s="29"/>
      <c r="G72" s="29"/>
    </row>
    <row r="73" spans="1:7" ht="12.75">
      <c r="A73" s="50"/>
      <c r="B73" s="49"/>
      <c r="C73" s="29"/>
      <c r="D73" s="29"/>
      <c r="E73" s="29"/>
      <c r="F73" s="29"/>
      <c r="G73" s="29"/>
    </row>
    <row r="74" spans="1:12" ht="12.75">
      <c r="A74" s="87" t="str">
        <f>"Table "&amp;A$2&amp;"-F"</f>
        <v>Table 8-F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85" t="str">
        <f>A$1&amp;" Motor Vehicle Emissions (Pre-Mitigation)"</f>
        <v>HGS Tank Demolition Motor Vehicle Emissions (Pre-Mitigation)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ht="42">
      <c r="A76" s="9" t="s">
        <v>0</v>
      </c>
      <c r="B76" s="9" t="s">
        <v>202</v>
      </c>
      <c r="C76" s="9" t="s">
        <v>203</v>
      </c>
      <c r="D76" s="9" t="s">
        <v>204</v>
      </c>
      <c r="E76" s="9" t="s">
        <v>198</v>
      </c>
      <c r="F76" s="9" t="s">
        <v>205</v>
      </c>
      <c r="G76" s="9" t="s">
        <v>193</v>
      </c>
      <c r="H76" s="9" t="s">
        <v>206</v>
      </c>
      <c r="I76" s="9" t="s">
        <v>207</v>
      </c>
      <c r="J76" s="9" t="s">
        <v>208</v>
      </c>
      <c r="K76" s="9" t="s">
        <v>209</v>
      </c>
      <c r="L76" s="3" t="s">
        <v>210</v>
      </c>
    </row>
    <row r="77" spans="1:12" ht="12.75">
      <c r="A77" s="4" t="s">
        <v>104</v>
      </c>
      <c r="B77" s="2">
        <v>2</v>
      </c>
      <c r="C77" s="2">
        <v>1</v>
      </c>
      <c r="D77" s="2">
        <v>10</v>
      </c>
      <c r="E77" s="14">
        <f>B77*C77</f>
        <v>2</v>
      </c>
      <c r="F77" s="14">
        <f>B77*D77</f>
        <v>20</v>
      </c>
      <c r="G77" s="42">
        <f>(E77*VLOOKUP(A77,'Motor Vehicle Emission Factors'!$A$6:$T$42,7,FALSE)+F77*VLOOKUP(A77,'Motor Vehicle Emission Factors'!$A$6:$T$42,8,FALSE))/453.6</f>
        <v>1.8026455026455026</v>
      </c>
      <c r="H77" s="42">
        <f>(E77*VLOOKUP(A77,'Motor Vehicle Emission Factors'!$A$6:$T$42,9,FALSE)+F77*VLOOKUP(A77,'Motor Vehicle Emission Factors'!$A$6:$T$42,10,FALSE)+F77*VLOOKUP(A77,'Motor Vehicle Emission Factors'!$A$6:$T$42,11,FALSE)+B77*12*VLOOKUP(A77,'Motor Vehicle Emission Factors'!$A$6:$T$42,12,FALSE)+E77*VLOOKUP(A77,'Motor Vehicle Emission Factors'!$A$6:$T$42,13,FALSE)+B77*12*VLOOKUP(A77,'Motor Vehicle Emission Factors'!$A$6:$T$42,14,FALSE))/453.6</f>
        <v>0.26106261022927685</v>
      </c>
      <c r="I77" s="42">
        <f>(E77*VLOOKUP(A77,'Motor Vehicle Emission Factors'!$A$6:$T$42,15,FALSE)+F77*VLOOKUP(A77,'Motor Vehicle Emission Factors'!$A$6:$T$42,16,FALSE))/453.6</f>
        <v>0.13637566137566137</v>
      </c>
      <c r="J77" s="42">
        <f>E77*VLOOKUP(A77,'Motor Vehicle Emission Factors'!$A$6:$T$42,17,FALSE)/453.6</f>
        <v>0</v>
      </c>
      <c r="K77" s="42">
        <f>E77*(VLOOKUP(A77,'Motor Vehicle Emission Factors'!$A$6:$T$42,18,FALSE)+VLOOKUP(A77,'Motor Vehicle Emission Factors'!$A$6:$T$42,19,FALSE)+VLOOKUP(A77,'Motor Vehicle Emission Factors'!$A$6:$T$42,20,FALSE))/453.6</f>
        <v>4.409171075837742E-05</v>
      </c>
      <c r="L77" s="42">
        <f>J77+K77</f>
        <v>4.409171075837742E-05</v>
      </c>
    </row>
    <row r="78" spans="1:12" ht="12.75">
      <c r="A78" s="4" t="s">
        <v>52</v>
      </c>
      <c r="B78" s="2">
        <v>1</v>
      </c>
      <c r="C78" s="2">
        <v>2</v>
      </c>
      <c r="D78" s="2">
        <v>4</v>
      </c>
      <c r="E78" s="14">
        <f>B78*C78</f>
        <v>2</v>
      </c>
      <c r="F78" s="14">
        <f>B78*D78</f>
        <v>4</v>
      </c>
      <c r="G78" s="42">
        <f>(E78*VLOOKUP(A78,'Motor Vehicle Emission Factors'!$A$6:$T$42,7,FALSE)+F78*VLOOKUP(A78,'Motor Vehicle Emission Factors'!$A$6:$T$42,8,FALSE))/453.6</f>
        <v>0.0619047619047619</v>
      </c>
      <c r="H78" s="42">
        <f>(E78*VLOOKUP(A78,'Motor Vehicle Emission Factors'!$A$6:$T$42,9,FALSE)+F78*VLOOKUP(A78,'Motor Vehicle Emission Factors'!$A$6:$T$42,10,FALSE)+F78*VLOOKUP(A78,'Motor Vehicle Emission Factors'!$A$6:$T$42,11,FALSE)+B78*12*VLOOKUP(A78,'Motor Vehicle Emission Factors'!$A$6:$T$42,12,FALSE)+E78*VLOOKUP(A78,'Motor Vehicle Emission Factors'!$A$6:$T$42,13,FALSE)+B78*12*VLOOKUP(A78,'Motor Vehicle Emission Factors'!$A$6:$T$42,14,FALSE))/453.6</f>
        <v>0.007760141093474426</v>
      </c>
      <c r="I78" s="42">
        <f>(E78*VLOOKUP(A78,'Motor Vehicle Emission Factors'!$A$6:$T$42,15,FALSE)+F78*VLOOKUP(A78,'Motor Vehicle Emission Factors'!$A$6:$T$42,16,FALSE))/453.6</f>
        <v>0.03602292768959436</v>
      </c>
      <c r="J78" s="42">
        <f>E78*VLOOKUP(A78,'Motor Vehicle Emission Factors'!$A$6:$T$42,17,FALSE)/453.6</f>
        <v>0.0018077601410934742</v>
      </c>
      <c r="K78" s="42">
        <f>E78*(VLOOKUP(A78,'Motor Vehicle Emission Factors'!$A$6:$T$42,18,FALSE)+VLOOKUP(A78,'Motor Vehicle Emission Factors'!$A$6:$T$42,19,FALSE)+VLOOKUP(A78,'Motor Vehicle Emission Factors'!$A$6:$T$42,20,FALSE))/453.6</f>
        <v>4.409171075837742E-05</v>
      </c>
      <c r="L78" s="42">
        <f>J78+K78</f>
        <v>0.0018518518518518517</v>
      </c>
    </row>
    <row r="79" spans="1:12" ht="12.75">
      <c r="A79" s="4" t="s">
        <v>130</v>
      </c>
      <c r="B79" s="2"/>
      <c r="C79" s="2"/>
      <c r="D79" s="2"/>
      <c r="E79" s="14"/>
      <c r="F79" s="14"/>
      <c r="G79" s="42"/>
      <c r="H79" s="42"/>
      <c r="I79" s="42"/>
      <c r="J79" s="42"/>
      <c r="K79" s="42"/>
      <c r="L79" s="42"/>
    </row>
    <row r="80" spans="1:12" ht="12.75">
      <c r="A80" s="4" t="s">
        <v>118</v>
      </c>
      <c r="B80" s="2">
        <v>26</v>
      </c>
      <c r="C80" s="2">
        <v>0.5</v>
      </c>
      <c r="D80" s="2">
        <v>1</v>
      </c>
      <c r="E80" s="14">
        <f>B80*C80</f>
        <v>13</v>
      </c>
      <c r="F80" s="14">
        <f>B80*D80</f>
        <v>26</v>
      </c>
      <c r="G80" s="42">
        <f>(E80*VLOOKUP(A80,'Motor Vehicle Emission Factors'!$A$6:$T$42,7,FALSE)+F80*VLOOKUP(A80,'Motor Vehicle Emission Factors'!$A$6:$T$42,8,FALSE))/453.6</f>
        <v>0.9629629629629629</v>
      </c>
      <c r="H80" s="42">
        <f>(E80*VLOOKUP(A80,'Motor Vehicle Emission Factors'!$A$6:$T$42,9,FALSE)+F80*VLOOKUP(A80,'Motor Vehicle Emission Factors'!$A$6:$T$42,10,FALSE)+F80*VLOOKUP(A80,'Motor Vehicle Emission Factors'!$A$6:$T$42,11,FALSE)+B80*12*VLOOKUP(A80,'Motor Vehicle Emission Factors'!$A$6:$T$42,12,FALSE)+E80*VLOOKUP(A80,'Motor Vehicle Emission Factors'!$A$6:$T$42,13,FALSE)+B80*12*VLOOKUP(A80,'Motor Vehicle Emission Factors'!$A$6:$T$42,14,FALSE))/453.6</f>
        <v>0.10002204585537919</v>
      </c>
      <c r="I80" s="42">
        <f>(E80*VLOOKUP(A80,'Motor Vehicle Emission Factors'!$A$6:$T$42,15,FALSE)+F80*VLOOKUP(A80,'Motor Vehicle Emission Factors'!$A$6:$T$42,16,FALSE))/453.6</f>
        <v>0.4522486772486772</v>
      </c>
      <c r="J80" s="42">
        <f>E80*VLOOKUP(A80,'Motor Vehicle Emission Factors'!$A$6:$T$42,17,FALSE)/453.6</f>
        <v>0.016909171075837743</v>
      </c>
      <c r="K80" s="42">
        <f>E80*(VLOOKUP(A80,'Motor Vehicle Emission Factors'!$A$6:$T$42,18,FALSE)+VLOOKUP(A80,'Motor Vehicle Emission Factors'!$A$6:$T$42,19,FALSE)+VLOOKUP(A80,'Motor Vehicle Emission Factors'!$A$6:$T$42,20,FALSE))/453.6</f>
        <v>0.00028659611992945327</v>
      </c>
      <c r="L80" s="42">
        <f>J80+K80</f>
        <v>0.017195767195767195</v>
      </c>
    </row>
    <row r="81" spans="1:12" ht="12.75">
      <c r="A81" s="4" t="s">
        <v>116</v>
      </c>
      <c r="B81" s="2"/>
      <c r="C81" s="2"/>
      <c r="D81" s="2"/>
      <c r="E81" s="14"/>
      <c r="F81" s="14"/>
      <c r="G81" s="42"/>
      <c r="H81" s="42"/>
      <c r="I81" s="42"/>
      <c r="J81" s="42"/>
      <c r="K81" s="42"/>
      <c r="L81" s="42"/>
    </row>
    <row r="82" spans="1:12" ht="12.75">
      <c r="A82" s="4" t="s">
        <v>105</v>
      </c>
      <c r="B82" s="2">
        <v>16</v>
      </c>
      <c r="C82" s="2">
        <v>40</v>
      </c>
      <c r="D82" s="2">
        <v>2</v>
      </c>
      <c r="E82" s="14">
        <f>B82*C82</f>
        <v>640</v>
      </c>
      <c r="F82" s="14">
        <f>B82*D82</f>
        <v>32</v>
      </c>
      <c r="G82" s="42">
        <f>(E82*VLOOKUP(A82,'Motor Vehicle Emission Factors'!$A$6:$T$42,7,FALSE)+F82*VLOOKUP(A82,'Motor Vehicle Emission Factors'!$A$6:$T$42,8,FALSE))/453.6</f>
        <v>7.74320987654321</v>
      </c>
      <c r="H82" s="42">
        <f>(E82*VLOOKUP(A82,'Motor Vehicle Emission Factors'!$A$6:$T$42,9,FALSE)+F82*VLOOKUP(A82,'Motor Vehicle Emission Factors'!$A$6:$T$42,10,FALSE)+F82*VLOOKUP(A82,'Motor Vehicle Emission Factors'!$A$6:$T$42,11,FALSE)+B82*12*VLOOKUP(A82,'Motor Vehicle Emission Factors'!$A$6:$T$42,12,FALSE)+E82*VLOOKUP(A82,'Motor Vehicle Emission Factors'!$A$6:$T$42,13,FALSE)+B82*12*VLOOKUP(A82,'Motor Vehicle Emission Factors'!$A$6:$T$42,14,FALSE))/453.6</f>
        <v>1.0123456790123457</v>
      </c>
      <c r="I82" s="42">
        <f>(E82*VLOOKUP(A82,'Motor Vehicle Emission Factors'!$A$6:$T$42,15,FALSE)+F82*VLOOKUP(A82,'Motor Vehicle Emission Factors'!$A$6:$T$42,16,FALSE))/453.6</f>
        <v>1.1195767195767197</v>
      </c>
      <c r="J82" s="42">
        <f>E82*VLOOKUP(A82,'Motor Vehicle Emission Factors'!$A$6:$T$42,17,FALSE)/453.6</f>
        <v>0</v>
      </c>
      <c r="K82" s="42">
        <f>E82*(VLOOKUP(A82,'Motor Vehicle Emission Factors'!$A$6:$T$42,18,FALSE)+VLOOKUP(A82,'Motor Vehicle Emission Factors'!$A$6:$T$42,19,FALSE)+VLOOKUP(A82,'Motor Vehicle Emission Factors'!$A$6:$T$42,20,FALSE))/453.6</f>
        <v>0.7937475762234789</v>
      </c>
      <c r="L82" s="42">
        <f>J82+K82</f>
        <v>0.7937475762234789</v>
      </c>
    </row>
    <row r="83" spans="1:12" ht="12.75">
      <c r="A83" s="4" t="s">
        <v>129</v>
      </c>
      <c r="B83" s="2"/>
      <c r="C83" s="2"/>
      <c r="D83" s="2"/>
      <c r="E83" s="14"/>
      <c r="F83" s="14"/>
      <c r="G83" s="42"/>
      <c r="H83" s="42"/>
      <c r="I83" s="42"/>
      <c r="J83" s="42"/>
      <c r="K83" s="42"/>
      <c r="L83" s="42"/>
    </row>
    <row r="84" spans="1:12" ht="12.75">
      <c r="A84" s="4" t="s">
        <v>128</v>
      </c>
      <c r="B84" s="2">
        <v>26</v>
      </c>
      <c r="C84" s="2">
        <v>40</v>
      </c>
      <c r="D84" s="2">
        <v>2</v>
      </c>
      <c r="E84" s="14">
        <f>B84*C84</f>
        <v>1040</v>
      </c>
      <c r="F84" s="14">
        <f>B84*D84</f>
        <v>52</v>
      </c>
      <c r="G84" s="42">
        <f>(E84*VLOOKUP(A84,'Motor Vehicle Emission Factors'!$A$6:$T$42,7,FALSE)+F84*VLOOKUP(A84,'Motor Vehicle Emission Factors'!$A$6:$T$42,8,FALSE))/453.6</f>
        <v>22.881834215167547</v>
      </c>
      <c r="H84" s="42">
        <f>(E84*VLOOKUP(A84,'Motor Vehicle Emission Factors'!$A$6:$T$42,9,FALSE)+F84*VLOOKUP(A84,'Motor Vehicle Emission Factors'!$A$6:$T$42,10,FALSE)+F84*VLOOKUP(A84,'Motor Vehicle Emission Factors'!$A$6:$T$42,11,FALSE)+B84*12*VLOOKUP(A84,'Motor Vehicle Emission Factors'!$A$6:$T$42,12,FALSE)+E84*VLOOKUP(A84,'Motor Vehicle Emission Factors'!$A$6:$T$42,13,FALSE)+B84*12*VLOOKUP(A84,'Motor Vehicle Emission Factors'!$A$6:$T$42,14,FALSE))/453.6</f>
        <v>3.4620811287477955</v>
      </c>
      <c r="I84" s="42">
        <f>(E84*VLOOKUP(A84,'Motor Vehicle Emission Factors'!$A$6:$T$42,15,FALSE)+F84*VLOOKUP(A84,'Motor Vehicle Emission Factors'!$A$6:$T$42,16,FALSE))/453.6</f>
        <v>21.20811287477954</v>
      </c>
      <c r="J84" s="42">
        <f>E84*VLOOKUP(A84,'Motor Vehicle Emission Factors'!$A$6:$T$42,17,FALSE)/453.6</f>
        <v>1.3527336860670194</v>
      </c>
      <c r="K84" s="42">
        <f>E84*(VLOOKUP(A84,'Motor Vehicle Emission Factors'!$A$6:$T$42,18,FALSE)+VLOOKUP(A84,'Motor Vehicle Emission Factors'!$A$6:$T$42,19,FALSE)+VLOOKUP(A84,'Motor Vehicle Emission Factors'!$A$6:$T$42,20,FALSE))/453.6</f>
        <v>60.67982375350037</v>
      </c>
      <c r="L84" s="42">
        <f>J84+K84</f>
        <v>62.03255743956739</v>
      </c>
    </row>
    <row r="85" spans="1:14" ht="12.75">
      <c r="A85" s="15" t="s">
        <v>24</v>
      </c>
      <c r="B85" s="4"/>
      <c r="C85" s="4"/>
      <c r="D85" s="4"/>
      <c r="E85" s="4"/>
      <c r="F85" s="4"/>
      <c r="G85" s="46">
        <f aca="true" t="shared" si="1" ref="G85:L85">SUM(G77:G84)</f>
        <v>33.452557319223985</v>
      </c>
      <c r="H85" s="46">
        <f t="shared" si="1"/>
        <v>4.843271604938272</v>
      </c>
      <c r="I85" s="46">
        <f t="shared" si="1"/>
        <v>22.952336860670194</v>
      </c>
      <c r="J85" s="46">
        <f t="shared" si="1"/>
        <v>1.3714506172839507</v>
      </c>
      <c r="K85" s="46">
        <f t="shared" si="1"/>
        <v>61.4739461092653</v>
      </c>
      <c r="L85" s="46">
        <f t="shared" si="1"/>
        <v>62.84539672654925</v>
      </c>
      <c r="M85" s="71">
        <f>E77+E82</f>
        <v>642</v>
      </c>
      <c r="N85" s="71">
        <f>SUM(E77:E84)-M85</f>
        <v>1055</v>
      </c>
    </row>
    <row r="86" ht="12.75">
      <c r="A86" s="13" t="s">
        <v>25</v>
      </c>
    </row>
    <row r="87" ht="12.75">
      <c r="A87" s="39" t="s">
        <v>132</v>
      </c>
    </row>
    <row r="89" spans="1:8" ht="12.75">
      <c r="A89" s="87" t="str">
        <f>"Table "&amp;A$2&amp;"-G"</f>
        <v>Table 8-G</v>
      </c>
      <c r="B89" s="87"/>
      <c r="C89" s="87"/>
      <c r="D89" s="87"/>
      <c r="E89" s="87"/>
      <c r="F89" s="87"/>
      <c r="G89" s="87"/>
      <c r="H89" s="87"/>
    </row>
    <row r="90" spans="1:8" ht="12.75">
      <c r="A90" s="85" t="str">
        <f>+A$1&amp;" Emissions Summary (Pre-mitigation)"</f>
        <v>HGS Tank Demolition Emissions Summary (Pre-mitigation)</v>
      </c>
      <c r="B90" s="85"/>
      <c r="C90" s="85"/>
      <c r="D90" s="85"/>
      <c r="E90" s="85"/>
      <c r="F90" s="85"/>
      <c r="G90" s="85"/>
      <c r="H90" s="85"/>
    </row>
    <row r="91" spans="1:8" ht="42">
      <c r="A91" s="2" t="s">
        <v>131</v>
      </c>
      <c r="B91" s="3" t="s">
        <v>193</v>
      </c>
      <c r="C91" s="3" t="s">
        <v>194</v>
      </c>
      <c r="D91" s="3" t="s">
        <v>199</v>
      </c>
      <c r="E91" s="3" t="s">
        <v>200</v>
      </c>
      <c r="F91" s="9" t="s">
        <v>208</v>
      </c>
      <c r="G91" s="9" t="s">
        <v>209</v>
      </c>
      <c r="H91" s="9" t="s">
        <v>210</v>
      </c>
    </row>
    <row r="92" spans="1:8" ht="12.75">
      <c r="A92" s="51" t="s">
        <v>94</v>
      </c>
      <c r="B92" s="43">
        <f>G23</f>
        <v>129.00843199999997</v>
      </c>
      <c r="C92" s="43">
        <f>H23</f>
        <v>23.291151999999997</v>
      </c>
      <c r="D92" s="43">
        <f>I23</f>
        <v>237.424448</v>
      </c>
      <c r="E92" s="43">
        <f>J23</f>
        <v>20.319903999999998</v>
      </c>
      <c r="F92" s="43">
        <f>K23</f>
        <v>13.914287999999999</v>
      </c>
      <c r="G92" s="43"/>
      <c r="H92" s="43">
        <f>F92+G92</f>
        <v>13.914287999999999</v>
      </c>
    </row>
    <row r="93" spans="1:8" ht="12.75">
      <c r="A93" s="51" t="s">
        <v>127</v>
      </c>
      <c r="B93" s="43">
        <f>SUM(G77:G81)</f>
        <v>2.8275132275132275</v>
      </c>
      <c r="C93" s="43">
        <f>SUM(H77:H81)</f>
        <v>0.36884479717813046</v>
      </c>
      <c r="D93" s="43">
        <f>SUM(I77:I81)</f>
        <v>0.6246472663139329</v>
      </c>
      <c r="E93" s="43">
        <v>0</v>
      </c>
      <c r="F93" s="43">
        <f>SUM(J77:J81)</f>
        <v>0.01871693121693122</v>
      </c>
      <c r="G93" s="43"/>
      <c r="H93" s="43">
        <f aca="true" t="shared" si="2" ref="H93:H100">F93+G93</f>
        <v>0.01871693121693122</v>
      </c>
    </row>
    <row r="94" spans="1:8" ht="12.75">
      <c r="A94" s="51" t="s">
        <v>95</v>
      </c>
      <c r="B94" s="43"/>
      <c r="C94" s="43"/>
      <c r="D94" s="43"/>
      <c r="E94" s="43"/>
      <c r="F94" s="43"/>
      <c r="G94" s="43">
        <f>D36-D35</f>
        <v>15.962114231331839</v>
      </c>
      <c r="H94" s="43">
        <f t="shared" si="2"/>
        <v>15.962114231331839</v>
      </c>
    </row>
    <row r="95" spans="1:8" ht="12.75">
      <c r="A95" s="51" t="s">
        <v>96</v>
      </c>
      <c r="B95" s="43"/>
      <c r="C95" s="43">
        <f>B43</f>
        <v>0</v>
      </c>
      <c r="D95" s="43"/>
      <c r="E95" s="43"/>
      <c r="F95" s="43"/>
      <c r="G95" s="43"/>
      <c r="H95" s="43">
        <f t="shared" si="2"/>
        <v>0</v>
      </c>
    </row>
    <row r="96" spans="1:8" ht="12.75">
      <c r="A96" s="51" t="s">
        <v>97</v>
      </c>
      <c r="B96" s="43"/>
      <c r="C96" s="43">
        <f>B49</f>
        <v>0</v>
      </c>
      <c r="D96" s="43"/>
      <c r="E96" s="43"/>
      <c r="F96" s="43"/>
      <c r="G96" s="43"/>
      <c r="H96" s="43">
        <f>F96+G96</f>
        <v>0</v>
      </c>
    </row>
    <row r="97" spans="1:8" ht="12.75">
      <c r="A97" s="51" t="s">
        <v>189</v>
      </c>
      <c r="B97" s="43"/>
      <c r="C97" s="43">
        <f>B69</f>
        <v>269.2718919995366</v>
      </c>
      <c r="D97" s="43"/>
      <c r="E97" s="43"/>
      <c r="F97" s="43"/>
      <c r="G97" s="43"/>
      <c r="H97" s="43">
        <f t="shared" si="2"/>
        <v>0</v>
      </c>
    </row>
    <row r="98" spans="1:8" ht="12.75">
      <c r="A98" s="15" t="s">
        <v>98</v>
      </c>
      <c r="B98" s="44">
        <f aca="true" t="shared" si="3" ref="B98:G98">SUM(B92:B97)</f>
        <v>131.8359452275132</v>
      </c>
      <c r="C98" s="44">
        <f t="shared" si="3"/>
        <v>292.9318887967147</v>
      </c>
      <c r="D98" s="44">
        <f t="shared" si="3"/>
        <v>238.04909526631394</v>
      </c>
      <c r="E98" s="44">
        <f t="shared" si="3"/>
        <v>20.319903999999998</v>
      </c>
      <c r="F98" s="44">
        <f t="shared" si="3"/>
        <v>13.93300493121693</v>
      </c>
      <c r="G98" s="44">
        <f t="shared" si="3"/>
        <v>15.962114231331839</v>
      </c>
      <c r="H98" s="44">
        <f t="shared" si="2"/>
        <v>29.895119162548767</v>
      </c>
    </row>
    <row r="99" spans="1:8" ht="12.75">
      <c r="A99" s="51" t="s">
        <v>167</v>
      </c>
      <c r="B99" s="45"/>
      <c r="C99" s="45"/>
      <c r="D99" s="45"/>
      <c r="E99" s="45"/>
      <c r="F99" s="45"/>
      <c r="G99" s="45">
        <f>D35</f>
        <v>41.669490559470795</v>
      </c>
      <c r="H99" s="45">
        <f t="shared" si="2"/>
        <v>41.669490559470795</v>
      </c>
    </row>
    <row r="100" spans="1:8" ht="12.75">
      <c r="A100" s="51" t="s">
        <v>99</v>
      </c>
      <c r="B100" s="45">
        <f>SUM(G82:G84)</f>
        <v>30.625044091710755</v>
      </c>
      <c r="C100" s="45">
        <f>SUM(H82:H84)</f>
        <v>4.474426807760141</v>
      </c>
      <c r="D100" s="45">
        <f>SUM(I82:I84)</f>
        <v>22.32768959435626</v>
      </c>
      <c r="E100" s="45">
        <v>0</v>
      </c>
      <c r="F100" s="45">
        <f>SUM(J82:J84)</f>
        <v>1.3527336860670194</v>
      </c>
      <c r="G100" s="45">
        <f>SUM(K82:K84)</f>
        <v>61.47357132972385</v>
      </c>
      <c r="H100" s="45">
        <f t="shared" si="2"/>
        <v>62.82630501579087</v>
      </c>
    </row>
    <row r="101" spans="1:8" ht="12.75">
      <c r="A101" s="15" t="s">
        <v>168</v>
      </c>
      <c r="B101" s="44">
        <f aca="true" t="shared" si="4" ref="B101:G101">SUM(B99:B100)</f>
        <v>30.625044091710755</v>
      </c>
      <c r="C101" s="44">
        <f t="shared" si="4"/>
        <v>4.474426807760141</v>
      </c>
      <c r="D101" s="44">
        <f t="shared" si="4"/>
        <v>22.32768959435626</v>
      </c>
      <c r="E101" s="44">
        <f t="shared" si="4"/>
        <v>0</v>
      </c>
      <c r="F101" s="44">
        <f t="shared" si="4"/>
        <v>1.3527336860670194</v>
      </c>
      <c r="G101" s="44">
        <f t="shared" si="4"/>
        <v>103.14306188919466</v>
      </c>
      <c r="H101" s="44">
        <f>F101+G101</f>
        <v>104.49579557526168</v>
      </c>
    </row>
    <row r="102" spans="1:8" ht="12.75">
      <c r="A102" s="15" t="s">
        <v>24</v>
      </c>
      <c r="B102" s="44">
        <f>B98+B101</f>
        <v>162.46098931922396</v>
      </c>
      <c r="C102" s="44">
        <f aca="true" t="shared" si="5" ref="C102:H102">C98+C101</f>
        <v>297.40631560447486</v>
      </c>
      <c r="D102" s="44">
        <f t="shared" si="5"/>
        <v>260.3767848606702</v>
      </c>
      <c r="E102" s="44">
        <f t="shared" si="5"/>
        <v>20.319903999999998</v>
      </c>
      <c r="F102" s="44">
        <f t="shared" si="5"/>
        <v>15.285738617283949</v>
      </c>
      <c r="G102" s="44">
        <f t="shared" si="5"/>
        <v>119.1051761205265</v>
      </c>
      <c r="H102" s="44">
        <f t="shared" si="5"/>
        <v>134.39091473781045</v>
      </c>
    </row>
    <row r="103" ht="12.75">
      <c r="A103" s="39" t="s">
        <v>132</v>
      </c>
    </row>
    <row r="104" ht="12.75">
      <c r="A104" s="39"/>
    </row>
    <row r="106" spans="1:8" ht="12.75">
      <c r="A106" s="87" t="str">
        <f>"Table "&amp;A$2&amp;"-H"</f>
        <v>Table 8-H</v>
      </c>
      <c r="B106" s="87"/>
      <c r="C106" s="87"/>
      <c r="D106" s="87"/>
      <c r="E106" s="87"/>
      <c r="F106" s="87"/>
      <c r="G106" s="87"/>
      <c r="H106" s="87"/>
    </row>
    <row r="107" spans="1:8" ht="12.75">
      <c r="A107" s="87" t="str">
        <f>A$1&amp;" Emissions Summary (Mitigated)"</f>
        <v>HGS Tank Demolition Emissions Summary (Mitigated)</v>
      </c>
      <c r="B107" s="87"/>
      <c r="C107" s="87"/>
      <c r="D107" s="87"/>
      <c r="E107" s="87"/>
      <c r="F107" s="87"/>
      <c r="G107" s="87"/>
      <c r="H107" s="87"/>
    </row>
    <row r="108" spans="1:8" ht="42">
      <c r="A108" s="2" t="s">
        <v>131</v>
      </c>
      <c r="B108" s="3" t="s">
        <v>193</v>
      </c>
      <c r="C108" s="3" t="s">
        <v>194</v>
      </c>
      <c r="D108" s="3" t="s">
        <v>199</v>
      </c>
      <c r="E108" s="3" t="s">
        <v>200</v>
      </c>
      <c r="F108" s="3" t="s">
        <v>208</v>
      </c>
      <c r="G108" s="3" t="s">
        <v>209</v>
      </c>
      <c r="H108" s="3" t="s">
        <v>210</v>
      </c>
    </row>
    <row r="109" spans="1:8" ht="12.75">
      <c r="A109" s="15" t="s">
        <v>94</v>
      </c>
      <c r="B109" s="43">
        <f>B92</f>
        <v>129.00843199999997</v>
      </c>
      <c r="C109" s="43">
        <f>C92</f>
        <v>23.291151999999997</v>
      </c>
      <c r="D109" s="43">
        <f>D92</f>
        <v>237.424448</v>
      </c>
      <c r="E109" s="43">
        <f>E92</f>
        <v>20.319903999999998</v>
      </c>
      <c r="F109" s="43">
        <f>F92</f>
        <v>13.914287999999999</v>
      </c>
      <c r="G109" s="43"/>
      <c r="H109" s="43">
        <f>F109+G109</f>
        <v>13.914287999999999</v>
      </c>
    </row>
    <row r="110" spans="1:8" ht="12.75">
      <c r="A110" s="4" t="s">
        <v>123</v>
      </c>
      <c r="B110" s="40">
        <v>0</v>
      </c>
      <c r="C110" s="40">
        <v>0.05</v>
      </c>
      <c r="D110" s="40">
        <v>0.05</v>
      </c>
      <c r="E110" s="40">
        <v>0.05</v>
      </c>
      <c r="F110" s="40">
        <v>0.05</v>
      </c>
      <c r="G110" s="40"/>
      <c r="H110" s="43"/>
    </row>
    <row r="111" spans="1:8" ht="12.75">
      <c r="A111" s="4" t="s">
        <v>124</v>
      </c>
      <c r="B111" s="43">
        <f>-B110*B109</f>
        <v>0</v>
      </c>
      <c r="C111" s="43">
        <f>-C110*C109</f>
        <v>-1.1645576</v>
      </c>
      <c r="D111" s="43">
        <f>-D110*D109</f>
        <v>-11.8712224</v>
      </c>
      <c r="E111" s="43">
        <f>-E110*E109</f>
        <v>-1.0159951999999999</v>
      </c>
      <c r="F111" s="43">
        <f>-F110*F109</f>
        <v>-0.6957144</v>
      </c>
      <c r="G111" s="43"/>
      <c r="H111" s="43">
        <f>F111+G111</f>
        <v>-0.6957144</v>
      </c>
    </row>
    <row r="112" spans="1:8" ht="12.75">
      <c r="A112" s="15" t="s">
        <v>125</v>
      </c>
      <c r="B112" s="44">
        <f>B109+B111</f>
        <v>129.00843199999997</v>
      </c>
      <c r="C112" s="44">
        <f>C109+C111</f>
        <v>22.1265944</v>
      </c>
      <c r="D112" s="44">
        <f>D109+D111</f>
        <v>225.55322560000002</v>
      </c>
      <c r="E112" s="44">
        <f>E109+E111</f>
        <v>19.3039088</v>
      </c>
      <c r="F112" s="44">
        <f>F109+F111</f>
        <v>13.2185736</v>
      </c>
      <c r="G112" s="44"/>
      <c r="H112" s="44">
        <f>F112+G112</f>
        <v>13.2185736</v>
      </c>
    </row>
    <row r="113" spans="1:8" ht="12.75">
      <c r="A113" s="15" t="s">
        <v>127</v>
      </c>
      <c r="B113" s="45">
        <f>B93</f>
        <v>2.8275132275132275</v>
      </c>
      <c r="C113" s="45">
        <f>C93</f>
        <v>0.36884479717813046</v>
      </c>
      <c r="D113" s="45">
        <f>D93</f>
        <v>0.6246472663139329</v>
      </c>
      <c r="E113" s="45">
        <f>E93</f>
        <v>0</v>
      </c>
      <c r="F113" s="45">
        <f>F93</f>
        <v>0.01871693121693122</v>
      </c>
      <c r="G113" s="45"/>
      <c r="H113" s="43">
        <f>F113+G113</f>
        <v>0.01871693121693122</v>
      </c>
    </row>
    <row r="114" spans="1:8" ht="12.75">
      <c r="A114" s="4" t="s">
        <v>123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/>
      <c r="H114" s="44"/>
    </row>
    <row r="115" spans="1:8" ht="12.75">
      <c r="A115" s="4" t="s">
        <v>124</v>
      </c>
      <c r="B115" s="43">
        <f>-B114*B113</f>
        <v>0</v>
      </c>
      <c r="C115" s="43">
        <f>-C114*C113</f>
        <v>0</v>
      </c>
      <c r="D115" s="43">
        <f>-D114*D113</f>
        <v>0</v>
      </c>
      <c r="E115" s="43">
        <f>-E114*E113</f>
        <v>0</v>
      </c>
      <c r="F115" s="43">
        <f>-F114*F113</f>
        <v>0</v>
      </c>
      <c r="G115" s="43"/>
      <c r="H115" s="43">
        <f>F115+G115</f>
        <v>0</v>
      </c>
    </row>
    <row r="116" spans="1:8" ht="12.75">
      <c r="A116" s="15" t="s">
        <v>125</v>
      </c>
      <c r="B116" s="44">
        <f>B113+B115</f>
        <v>2.8275132275132275</v>
      </c>
      <c r="C116" s="44">
        <f>C113+C115</f>
        <v>0.36884479717813046</v>
      </c>
      <c r="D116" s="44">
        <f>D113+D115</f>
        <v>0.6246472663139329</v>
      </c>
      <c r="E116" s="44">
        <f>E113+E115</f>
        <v>0</v>
      </c>
      <c r="F116" s="44">
        <f>F113+F115</f>
        <v>0.01871693121693122</v>
      </c>
      <c r="G116" s="44"/>
      <c r="H116" s="44">
        <f>F116+G116</f>
        <v>0.01871693121693122</v>
      </c>
    </row>
    <row r="117" spans="1:8" ht="12.75">
      <c r="A117" s="15" t="s">
        <v>95</v>
      </c>
      <c r="B117" s="43"/>
      <c r="C117" s="43"/>
      <c r="D117" s="43"/>
      <c r="E117" s="43"/>
      <c r="F117" s="43"/>
      <c r="G117" s="43">
        <f>G94</f>
        <v>15.962114231331839</v>
      </c>
      <c r="H117" s="43">
        <f>F117+G117</f>
        <v>15.962114231331839</v>
      </c>
    </row>
    <row r="118" spans="1:8" ht="12.75">
      <c r="A118" s="4" t="s">
        <v>123</v>
      </c>
      <c r="B118" s="40"/>
      <c r="C118" s="40"/>
      <c r="D118" s="40"/>
      <c r="E118" s="40"/>
      <c r="F118" s="40"/>
      <c r="G118" s="40">
        <v>0.16</v>
      </c>
      <c r="H118" s="43"/>
    </row>
    <row r="119" spans="1:8" ht="12.75">
      <c r="A119" s="4" t="s">
        <v>124</v>
      </c>
      <c r="B119" s="43"/>
      <c r="C119" s="43"/>
      <c r="D119" s="43"/>
      <c r="E119" s="43"/>
      <c r="F119" s="43"/>
      <c r="G119" s="43">
        <f>-G118*G117</f>
        <v>-2.5539382770130943</v>
      </c>
      <c r="H119" s="43">
        <f>F119+G119</f>
        <v>-2.5539382770130943</v>
      </c>
    </row>
    <row r="120" spans="1:8" ht="12.75">
      <c r="A120" s="15" t="s">
        <v>125</v>
      </c>
      <c r="B120" s="44"/>
      <c r="C120" s="44"/>
      <c r="D120" s="44"/>
      <c r="E120" s="44"/>
      <c r="F120" s="44"/>
      <c r="G120" s="44">
        <f>G117+G119</f>
        <v>13.408175954318745</v>
      </c>
      <c r="H120" s="44">
        <f>F120+G120</f>
        <v>13.408175954318745</v>
      </c>
    </row>
    <row r="121" spans="1:8" ht="12.75">
      <c r="A121" s="15" t="s">
        <v>96</v>
      </c>
      <c r="B121" s="43"/>
      <c r="C121" s="43">
        <f>C95</f>
        <v>0</v>
      </c>
      <c r="D121" s="43"/>
      <c r="E121" s="43"/>
      <c r="F121" s="43"/>
      <c r="G121" s="43"/>
      <c r="H121" s="43"/>
    </row>
    <row r="122" spans="1:8" ht="12.75">
      <c r="A122" s="4" t="s">
        <v>123</v>
      </c>
      <c r="B122" s="40"/>
      <c r="C122" s="40">
        <v>0</v>
      </c>
      <c r="D122" s="40"/>
      <c r="E122" s="40"/>
      <c r="F122" s="40"/>
      <c r="G122" s="40"/>
      <c r="H122" s="43"/>
    </row>
    <row r="123" spans="1:8" ht="12.75">
      <c r="A123" s="4" t="s">
        <v>124</v>
      </c>
      <c r="B123" s="43"/>
      <c r="C123" s="43">
        <f>-C122*C121</f>
        <v>0</v>
      </c>
      <c r="D123" s="43"/>
      <c r="E123" s="43"/>
      <c r="F123" s="43"/>
      <c r="G123" s="43"/>
      <c r="H123" s="43"/>
    </row>
    <row r="124" spans="1:8" ht="12.75">
      <c r="A124" s="15" t="s">
        <v>125</v>
      </c>
      <c r="B124" s="44"/>
      <c r="C124" s="44">
        <f>C121+C123</f>
        <v>0</v>
      </c>
      <c r="D124" s="44"/>
      <c r="E124" s="44"/>
      <c r="F124" s="44"/>
      <c r="G124" s="44"/>
      <c r="H124" s="44"/>
    </row>
    <row r="125" spans="1:8" ht="12.75">
      <c r="A125" s="15" t="s">
        <v>97</v>
      </c>
      <c r="B125" s="43"/>
      <c r="C125" s="43">
        <f>C93</f>
        <v>0.36884479717813046</v>
      </c>
      <c r="D125" s="43"/>
      <c r="E125" s="43"/>
      <c r="F125" s="43"/>
      <c r="G125" s="43"/>
      <c r="H125" s="43"/>
    </row>
    <row r="126" spans="1:8" ht="12.75">
      <c r="A126" s="4" t="s">
        <v>123</v>
      </c>
      <c r="B126" s="40"/>
      <c r="C126" s="40">
        <v>0</v>
      </c>
      <c r="D126" s="40"/>
      <c r="E126" s="40"/>
      <c r="F126" s="40"/>
      <c r="G126" s="40"/>
      <c r="H126" s="43"/>
    </row>
    <row r="127" spans="1:8" ht="12.75">
      <c r="A127" s="4" t="s">
        <v>124</v>
      </c>
      <c r="B127" s="43"/>
      <c r="C127" s="43">
        <f>-C126*C125</f>
        <v>0</v>
      </c>
      <c r="D127" s="43"/>
      <c r="E127" s="43"/>
      <c r="F127" s="43"/>
      <c r="G127" s="43"/>
      <c r="H127" s="43"/>
    </row>
    <row r="128" spans="1:8" ht="12.75">
      <c r="A128" s="15" t="s">
        <v>125</v>
      </c>
      <c r="B128" s="44"/>
      <c r="C128" s="44">
        <f>C125+C127</f>
        <v>0.36884479717813046</v>
      </c>
      <c r="D128" s="44"/>
      <c r="E128" s="44"/>
      <c r="F128" s="44"/>
      <c r="G128" s="44"/>
      <c r="H128" s="44"/>
    </row>
    <row r="129" spans="1:8" ht="12.75">
      <c r="A129" s="15" t="s">
        <v>189</v>
      </c>
      <c r="B129" s="43"/>
      <c r="C129" s="43">
        <f>C97</f>
        <v>269.2718919995366</v>
      </c>
      <c r="D129" s="43"/>
      <c r="E129" s="43"/>
      <c r="F129" s="43"/>
      <c r="G129" s="43"/>
      <c r="H129" s="43"/>
    </row>
    <row r="130" spans="1:8" ht="12.75">
      <c r="A130" s="4" t="s">
        <v>123</v>
      </c>
      <c r="B130" s="40"/>
      <c r="C130" s="40">
        <v>0.9</v>
      </c>
      <c r="D130" s="40"/>
      <c r="E130" s="40"/>
      <c r="F130" s="40"/>
      <c r="G130" s="40"/>
      <c r="H130" s="43"/>
    </row>
    <row r="131" spans="1:8" ht="12.75">
      <c r="A131" s="4" t="s">
        <v>124</v>
      </c>
      <c r="B131" s="43"/>
      <c r="C131" s="43">
        <f>-C130*C129</f>
        <v>-242.34470279958293</v>
      </c>
      <c r="D131" s="43"/>
      <c r="E131" s="43"/>
      <c r="F131" s="43"/>
      <c r="G131" s="43"/>
      <c r="H131" s="43"/>
    </row>
    <row r="132" spans="1:8" ht="12.75">
      <c r="A132" s="15" t="s">
        <v>125</v>
      </c>
      <c r="B132" s="44"/>
      <c r="C132" s="44">
        <f>C129+C131</f>
        <v>26.92718919995366</v>
      </c>
      <c r="D132" s="44"/>
      <c r="E132" s="44"/>
      <c r="F132" s="44"/>
      <c r="G132" s="44"/>
      <c r="H132" s="44"/>
    </row>
    <row r="133" spans="1:8" ht="12.75">
      <c r="A133" s="15" t="s">
        <v>98</v>
      </c>
      <c r="B133" s="44">
        <f aca="true" t="shared" si="6" ref="B133:G133">B112+B116+B120+B124+B132</f>
        <v>131.8359452275132</v>
      </c>
      <c r="C133" s="44">
        <f>C112+C116+C120+C124+C128+C132</f>
        <v>49.791473194309916</v>
      </c>
      <c r="D133" s="44">
        <f t="shared" si="6"/>
        <v>226.17787286631395</v>
      </c>
      <c r="E133" s="44">
        <f t="shared" si="6"/>
        <v>19.3039088</v>
      </c>
      <c r="F133" s="44">
        <f t="shared" si="6"/>
        <v>13.23729053121693</v>
      </c>
      <c r="G133" s="44">
        <f t="shared" si="6"/>
        <v>13.408175954318745</v>
      </c>
      <c r="H133" s="44">
        <f>H112+H120+H124+H132</f>
        <v>26.626749554318742</v>
      </c>
    </row>
    <row r="134" spans="1:8" ht="15">
      <c r="A134" s="15" t="s">
        <v>227</v>
      </c>
      <c r="B134" s="44"/>
      <c r="C134" s="44"/>
      <c r="D134" s="44"/>
      <c r="E134" s="44"/>
      <c r="F134" s="44"/>
      <c r="G134" s="44">
        <f>G99*2</f>
        <v>83.33898111894159</v>
      </c>
      <c r="H134" s="44">
        <f>F134+G134</f>
        <v>83.33898111894159</v>
      </c>
    </row>
    <row r="135" spans="1:8" ht="12.75">
      <c r="A135" s="4" t="s">
        <v>123</v>
      </c>
      <c r="B135" s="44"/>
      <c r="C135" s="44"/>
      <c r="D135" s="44"/>
      <c r="E135" s="44"/>
      <c r="F135" s="44"/>
      <c r="G135" s="61">
        <v>0.9</v>
      </c>
      <c r="H135" s="44"/>
    </row>
    <row r="136" spans="1:8" ht="12.75">
      <c r="A136" s="4" t="s">
        <v>124</v>
      </c>
      <c r="B136" s="44"/>
      <c r="C136" s="44"/>
      <c r="D136" s="44"/>
      <c r="E136" s="44"/>
      <c r="F136" s="44"/>
      <c r="G136" s="43">
        <f>-G135*G134</f>
        <v>-75.00508300704743</v>
      </c>
      <c r="H136" s="43">
        <f>F136+G136</f>
        <v>-75.00508300704743</v>
      </c>
    </row>
    <row r="137" spans="1:8" ht="12.75">
      <c r="A137" s="15" t="s">
        <v>125</v>
      </c>
      <c r="B137" s="44"/>
      <c r="C137" s="44"/>
      <c r="D137" s="44"/>
      <c r="E137" s="44"/>
      <c r="F137" s="44"/>
      <c r="G137" s="44">
        <f>G134+G136</f>
        <v>8.333898111894158</v>
      </c>
      <c r="H137" s="44">
        <f>F137+G137</f>
        <v>8.333898111894158</v>
      </c>
    </row>
    <row r="138" spans="1:8" ht="12.75">
      <c r="A138" s="15" t="s">
        <v>99</v>
      </c>
      <c r="B138" s="44">
        <f>B100</f>
        <v>30.625044091710755</v>
      </c>
      <c r="C138" s="44">
        <f aca="true" t="shared" si="7" ref="C138:H138">C100</f>
        <v>4.474426807760141</v>
      </c>
      <c r="D138" s="44">
        <f t="shared" si="7"/>
        <v>22.32768959435626</v>
      </c>
      <c r="E138" s="44">
        <f t="shared" si="7"/>
        <v>0</v>
      </c>
      <c r="F138" s="44">
        <f t="shared" si="7"/>
        <v>1.3527336860670194</v>
      </c>
      <c r="G138" s="44">
        <f t="shared" si="7"/>
        <v>61.47357132972385</v>
      </c>
      <c r="H138" s="44">
        <f t="shared" si="7"/>
        <v>62.82630501579087</v>
      </c>
    </row>
    <row r="139" spans="1:8" ht="12.75">
      <c r="A139" s="4" t="s">
        <v>123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3"/>
    </row>
    <row r="140" spans="1:8" ht="12.75">
      <c r="A140" s="4" t="s">
        <v>124</v>
      </c>
      <c r="B140" s="43">
        <f aca="true" t="shared" si="8" ref="B140:G140">-B139*B138</f>
        <v>0</v>
      </c>
      <c r="C140" s="43">
        <f t="shared" si="8"/>
        <v>0</v>
      </c>
      <c r="D140" s="43">
        <f t="shared" si="8"/>
        <v>0</v>
      </c>
      <c r="E140" s="43">
        <f t="shared" si="8"/>
        <v>0</v>
      </c>
      <c r="F140" s="43">
        <f t="shared" si="8"/>
        <v>0</v>
      </c>
      <c r="G140" s="43">
        <f t="shared" si="8"/>
        <v>0</v>
      </c>
      <c r="H140" s="43">
        <f>F140+G140</f>
        <v>0</v>
      </c>
    </row>
    <row r="141" spans="1:8" ht="12.75">
      <c r="A141" s="15" t="s">
        <v>125</v>
      </c>
      <c r="B141" s="44">
        <f aca="true" t="shared" si="9" ref="B141:G141">B138+B140</f>
        <v>30.625044091710755</v>
      </c>
      <c r="C141" s="44">
        <f t="shared" si="9"/>
        <v>4.474426807760141</v>
      </c>
      <c r="D141" s="44">
        <f t="shared" si="9"/>
        <v>22.32768959435626</v>
      </c>
      <c r="E141" s="44">
        <f t="shared" si="9"/>
        <v>0</v>
      </c>
      <c r="F141" s="44">
        <f t="shared" si="9"/>
        <v>1.3527336860670194</v>
      </c>
      <c r="G141" s="44">
        <f t="shared" si="9"/>
        <v>61.47357132972385</v>
      </c>
      <c r="H141" s="44">
        <f>F141+G141</f>
        <v>62.82630501579087</v>
      </c>
    </row>
    <row r="142" spans="1:8" ht="12.75">
      <c r="A142" s="15" t="s">
        <v>168</v>
      </c>
      <c r="B142" s="44">
        <f>B141+B137</f>
        <v>30.625044091710755</v>
      </c>
      <c r="C142" s="44">
        <f aca="true" t="shared" si="10" ref="C142:H142">C141+C137</f>
        <v>4.474426807760141</v>
      </c>
      <c r="D142" s="44">
        <f t="shared" si="10"/>
        <v>22.32768959435626</v>
      </c>
      <c r="E142" s="44">
        <f t="shared" si="10"/>
        <v>0</v>
      </c>
      <c r="F142" s="44">
        <f t="shared" si="10"/>
        <v>1.3527336860670194</v>
      </c>
      <c r="G142" s="44">
        <f t="shared" si="10"/>
        <v>69.80746944161801</v>
      </c>
      <c r="H142" s="44">
        <f t="shared" si="10"/>
        <v>71.16020312768504</v>
      </c>
    </row>
    <row r="143" spans="1:8" ht="12.75">
      <c r="A143" s="15" t="s">
        <v>24</v>
      </c>
      <c r="B143" s="44">
        <f>B133+B142</f>
        <v>162.46098931922396</v>
      </c>
      <c r="C143" s="44">
        <f aca="true" t="shared" si="11" ref="C143:H143">C133+C142</f>
        <v>54.265900002070055</v>
      </c>
      <c r="D143" s="44">
        <f t="shared" si="11"/>
        <v>248.5055624606702</v>
      </c>
      <c r="E143" s="44">
        <f t="shared" si="11"/>
        <v>19.3039088</v>
      </c>
      <c r="F143" s="44">
        <f t="shared" si="11"/>
        <v>14.590024217283949</v>
      </c>
      <c r="G143" s="44">
        <f t="shared" si="11"/>
        <v>83.21564539593676</v>
      </c>
      <c r="H143" s="44">
        <f t="shared" si="11"/>
        <v>97.78695268200377</v>
      </c>
    </row>
    <row r="144" ht="12.75">
      <c r="A144" s="39" t="s">
        <v>132</v>
      </c>
    </row>
    <row r="145" ht="12.75">
      <c r="A145" s="13" t="s">
        <v>228</v>
      </c>
    </row>
  </sheetData>
  <sheetProtection/>
  <mergeCells count="16">
    <mergeCell ref="A3:L3"/>
    <mergeCell ref="A4:L4"/>
    <mergeCell ref="A51:G51"/>
    <mergeCell ref="A52:G52"/>
    <mergeCell ref="A26:D26"/>
    <mergeCell ref="A27:D27"/>
    <mergeCell ref="A39:F39"/>
    <mergeCell ref="A40:F40"/>
    <mergeCell ref="A45:G45"/>
    <mergeCell ref="A46:G46"/>
    <mergeCell ref="A106:H106"/>
    <mergeCell ref="A107:H107"/>
    <mergeCell ref="A74:L74"/>
    <mergeCell ref="A75:L75"/>
    <mergeCell ref="A89:H89"/>
    <mergeCell ref="A90:H90"/>
  </mergeCells>
  <printOptions horizontalCentered="1"/>
  <pageMargins left="0.75" right="0.75" top="1" bottom="1" header="0.5" footer="0.5"/>
  <pageSetup fitToHeight="20" horizontalDpi="300" verticalDpi="300" orientation="landscape" scale="71" r:id="rId1"/>
  <headerFooter alignWithMargins="0">
    <oddFooter>&amp;CPage &amp;P of &amp;N&amp;R&amp;D</oddFooter>
  </headerFooter>
  <rowBreaks count="3" manualBreakCount="3">
    <brk id="38" max="255" man="1"/>
    <brk id="88" max="255" man="1"/>
    <brk id="1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N117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7.57421875" style="0" customWidth="1"/>
    <col min="2" max="2" width="8.57421875" style="0" customWidth="1"/>
    <col min="3" max="3" width="11.00390625" style="0" customWidth="1"/>
    <col min="4" max="4" width="9.7109375" style="0" customWidth="1"/>
    <col min="6" max="6" width="10.00390625" style="0" customWidth="1"/>
    <col min="10" max="10" width="9.281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172</v>
      </c>
    </row>
    <row r="2" ht="12.75" hidden="1">
      <c r="A2" s="52">
        <v>9</v>
      </c>
    </row>
    <row r="3" spans="1:12" ht="12.75">
      <c r="A3" s="87" t="str">
        <f>"Table "&amp;A$2&amp;"-A"</f>
        <v>Table 9-A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HGS Backfill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>
        <v>2</v>
      </c>
      <c r="C6" s="2">
        <v>16</v>
      </c>
      <c r="D6" s="2">
        <f>B6*C6</f>
        <v>32</v>
      </c>
      <c r="E6" s="2">
        <v>10</v>
      </c>
      <c r="F6" s="2">
        <f>IF(E6&lt;&gt;"N/A",B6*E6,"N/A")</f>
        <v>20</v>
      </c>
      <c r="G6" s="42">
        <f>$D6*VLOOKUP($A6,'Const. Equip. Emission Factors'!$A$5:$N$25,10,FALSE)</f>
        <v>63.3424</v>
      </c>
      <c r="H6" s="42">
        <f>$D6*VLOOKUP($A6,'Const. Equip. Emission Factors'!$A$5:$N$25,11,FALSE)</f>
        <v>11.5168</v>
      </c>
      <c r="I6" s="42">
        <f>$D6*VLOOKUP($A6,'Const. Equip. Emission Factors'!$A$5:$N$25,12,FALSE)</f>
        <v>132.4432</v>
      </c>
      <c r="J6" s="42">
        <f>$D6*VLOOKUP($A6,'Const. Equip. Emission Factors'!$A$5:$N$25,13,FALSE)</f>
        <v>11.5168</v>
      </c>
      <c r="K6" s="42">
        <f>$D6*VLOOKUP($A6,'Const. Equip. Emission Factors'!$A$5:$N$25,14,FALSE)</f>
        <v>5.7584</v>
      </c>
      <c r="L6" s="43">
        <f>VLOOKUP(A6,'Const. Equip. Emission Factors'!$A$5:$P$23,16,FALSE)*D6</f>
        <v>287.92</v>
      </c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>
        <v>2</v>
      </c>
      <c r="C8" s="2">
        <v>16</v>
      </c>
      <c r="D8" s="2">
        <f>B8*C8</f>
        <v>32</v>
      </c>
      <c r="E8" s="2">
        <v>10</v>
      </c>
      <c r="F8" s="2">
        <f>IF(E8&lt;&gt;"N/A",B8*E8,"N/A")</f>
        <v>20</v>
      </c>
      <c r="G8" s="42">
        <f>$D8*VLOOKUP($A8,'Const. Equip. Emission Factors'!$A$5:$N$25,10,FALSE)</f>
        <v>23.05152</v>
      </c>
      <c r="H8" s="42">
        <f>$D8*VLOOKUP($A8,'Const. Equip. Emission Factors'!$A$5:$N$25,11,FALSE)</f>
        <v>8.64432</v>
      </c>
      <c r="I8" s="42">
        <f>$D8*VLOOKUP($A8,'Const. Equip. Emission Factors'!$A$5:$N$25,12,FALSE)</f>
        <v>60.51024</v>
      </c>
      <c r="J8" s="42">
        <f>$D8*VLOOKUP($A8,'Const. Equip. Emission Factors'!$A$5:$N$25,13,FALSE)</f>
        <v>5.76288</v>
      </c>
      <c r="K8" s="42">
        <f>$D8*VLOOKUP($A8,'Const. Equip. Emission Factors'!$A$5:$N$25,14,FALSE)</f>
        <v>2.88144</v>
      </c>
      <c r="L8" s="43">
        <f>VLOOKUP(A8,'Const. Equip. Emission Factors'!$A$5:$P$23,16,FALSE)*D8</f>
        <v>144.072</v>
      </c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>
        <v>2</v>
      </c>
      <c r="C11" s="2">
        <v>16</v>
      </c>
      <c r="D11" s="2">
        <f>B11*C11</f>
        <v>32</v>
      </c>
      <c r="E11" s="2">
        <v>10</v>
      </c>
      <c r="F11" s="2">
        <f>IF(E11&lt;&gt;"N/A",B11*E11,"N/A")</f>
        <v>20</v>
      </c>
      <c r="G11" s="42">
        <f>$D11*VLOOKUP($A11,'Const. Equip. Emission Factors'!$A$5:$N$25,10,FALSE)</f>
        <v>20.7368</v>
      </c>
      <c r="H11" s="42">
        <f>$D11*VLOOKUP($A11,'Const. Equip. Emission Factors'!$A$5:$N$25,11,FALSE)</f>
        <v>5.9248</v>
      </c>
      <c r="I11" s="42">
        <f>$D11*VLOOKUP($A11,'Const. Equip. Emission Factors'!$A$5:$N$25,12,FALSE)</f>
        <v>59.248000000000005</v>
      </c>
      <c r="J11" s="42">
        <f>$D11*VLOOKUP($A11,'Const. Equip. Emission Factors'!$A$5:$N$25,13,FALSE)</f>
        <v>5.9248</v>
      </c>
      <c r="K11" s="42">
        <f>$D11*VLOOKUP($A11,'Const. Equip. Emission Factors'!$A$5:$N$25,14,FALSE)</f>
        <v>2.9624</v>
      </c>
      <c r="L11" s="43">
        <f>VLOOKUP(A11,'Const. Equip. Emission Factors'!$A$5:$P$23,16,FALSE)*D11</f>
        <v>148.12</v>
      </c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20</v>
      </c>
      <c r="C17" s="2">
        <v>12</v>
      </c>
      <c r="D17" s="2">
        <f>B17*C17</f>
        <v>240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40.4736</v>
      </c>
      <c r="H17" s="42">
        <f>$D17*VLOOKUP($A17,'Const. Equip. Emission Factors'!$A$5:$N$25,11,FALSE)</f>
        <v>6.07104</v>
      </c>
      <c r="I17" s="42">
        <f>$D17*VLOOKUP($A17,'Const. Equip. Emission Factors'!$A$5:$N$25,12,FALSE)</f>
        <v>48.56832</v>
      </c>
      <c r="J17" s="42">
        <f>$D17*VLOOKUP($A17,'Const. Equip. Emission Factors'!$A$5:$N$25,13,FALSE)</f>
        <v>4.04736</v>
      </c>
      <c r="K17" s="42">
        <f>$D17*VLOOKUP($A17,'Const. Equip. Emission Factors'!$A$5:$N$25,14,FALSE)</f>
        <v>3.03552</v>
      </c>
      <c r="L17" s="43">
        <f>VLOOKUP(A17,'Const. Equip. Emission Factors'!$A$5:$P$23,16,FALSE)*D17</f>
        <v>101.18400000000001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14"/>
      <c r="H22" s="14"/>
      <c r="I22" s="14"/>
      <c r="J22" s="14"/>
      <c r="K22" s="14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147.60432</v>
      </c>
      <c r="H23" s="46">
        <f t="shared" si="0"/>
        <v>32.15696</v>
      </c>
      <c r="I23" s="46">
        <f t="shared" si="0"/>
        <v>300.76976</v>
      </c>
      <c r="J23" s="46">
        <f t="shared" si="0"/>
        <v>27.25184</v>
      </c>
      <c r="K23" s="46">
        <f t="shared" si="0"/>
        <v>14.63776</v>
      </c>
      <c r="L23" s="46">
        <f t="shared" si="0"/>
        <v>681.296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9-B</v>
      </c>
      <c r="B26" s="87"/>
      <c r="C26" s="87"/>
      <c r="D26" s="87"/>
    </row>
    <row r="27" spans="1:4" ht="12.75">
      <c r="A27" s="85" t="str">
        <f>A$1&amp;" Fugitive Dust Emissions (Pre-Mitigation)"</f>
        <v>HGS Backfill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32</v>
      </c>
      <c r="C29" s="2" t="s">
        <v>83</v>
      </c>
      <c r="D29" s="43">
        <f>B29*'Fug. Dust Emission Factors'!C15</f>
        <v>20.53904870832793</v>
      </c>
    </row>
    <row r="30" spans="1:4" ht="12.75">
      <c r="A30" s="4" t="s">
        <v>45</v>
      </c>
      <c r="B30" s="14">
        <f>F8</f>
        <v>20</v>
      </c>
      <c r="C30" s="2" t="s">
        <v>83</v>
      </c>
      <c r="D30" s="43">
        <f>B30*'Fug. Dust Emission Factors'!C30</f>
        <v>38.25</v>
      </c>
    </row>
    <row r="31" spans="1:4" ht="12.75">
      <c r="A31" s="4" t="s">
        <v>109</v>
      </c>
      <c r="B31" s="14">
        <f>SUM(F6:F22)-F8+E55+E56+E57+E58</f>
        <v>110</v>
      </c>
      <c r="C31" s="2" t="s">
        <v>46</v>
      </c>
      <c r="D31" s="43">
        <f>B31*'Fug. Dust Emission Factors'!C50</f>
        <v>33.41547865348056</v>
      </c>
    </row>
    <row r="32" spans="1:4" ht="12.75">
      <c r="A32" s="4" t="s">
        <v>110</v>
      </c>
      <c r="B32" s="14">
        <f>E54</f>
        <v>0</v>
      </c>
      <c r="C32" s="2" t="s">
        <v>46</v>
      </c>
      <c r="D32" s="43">
        <f>B32*'Fug. Dust Emission Factors'!C65</f>
        <v>0</v>
      </c>
    </row>
    <row r="33" spans="1:4" ht="12.75">
      <c r="A33" s="4" t="s">
        <v>69</v>
      </c>
      <c r="B33" s="11">
        <f>1000/43650</f>
        <v>0.022909507445589918</v>
      </c>
      <c r="C33" s="2" t="s">
        <v>85</v>
      </c>
      <c r="D33" s="43">
        <f>B33*'Fug. Dust Emission Factors'!C84</f>
        <v>0.5040904031910831</v>
      </c>
    </row>
    <row r="34" spans="1:4" ht="12.75">
      <c r="A34" s="4" t="s">
        <v>75</v>
      </c>
      <c r="B34" s="14">
        <f>B58*18</f>
        <v>900</v>
      </c>
      <c r="C34" s="2" t="s">
        <v>86</v>
      </c>
      <c r="D34" s="43">
        <f>B34*'Fug. Dust Emission Factors'!C99</f>
        <v>0.44712640071193804</v>
      </c>
    </row>
    <row r="35" spans="1:4" ht="12.75">
      <c r="A35" s="4" t="s">
        <v>222</v>
      </c>
      <c r="B35" s="2">
        <v>50</v>
      </c>
      <c r="C35" s="2" t="s">
        <v>166</v>
      </c>
      <c r="D35" s="43">
        <f>B35*'Fug. Dust Emission Factors'!C130</f>
        <v>80.13363569128998</v>
      </c>
    </row>
    <row r="36" spans="1:4" ht="12.75">
      <c r="A36" s="15" t="s">
        <v>24</v>
      </c>
      <c r="B36" s="4"/>
      <c r="C36" s="4"/>
      <c r="D36" s="44">
        <f>SUM(D29:D35)</f>
        <v>173.2893798570015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9-C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HGS Backfill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9-D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HGS Backfill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9-E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HGS Backfill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/>
      <c r="C54" s="2"/>
      <c r="D54" s="2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4" t="s">
        <v>52</v>
      </c>
      <c r="B55" s="2">
        <v>2</v>
      </c>
      <c r="C55" s="2">
        <v>10</v>
      </c>
      <c r="D55" s="2">
        <v>2</v>
      </c>
      <c r="E55" s="14">
        <f>B55*C55</f>
        <v>20</v>
      </c>
      <c r="F55" s="14">
        <f>B55*D55</f>
        <v>4</v>
      </c>
      <c r="G55" s="42">
        <f>(E55*VLOOKUP(A55,'Motor Vehicle Emission Factors'!$A$6:$T$42,7,FALSE)+F55*VLOOKUP(A55,'Motor Vehicle Emission Factors'!$A$6:$T$42,8,FALSE))/453.6</f>
        <v>0.619047619047619</v>
      </c>
      <c r="H55" s="42">
        <f>(E55*VLOOKUP(A55,'Motor Vehicle Emission Factors'!$A$6:$T$42,9,FALSE)+F55*VLOOKUP(A55,'Motor Vehicle Emission Factors'!$A$6:$T$42,10,FALSE)+F55*VLOOKUP(A55,'Motor Vehicle Emission Factors'!$A$6:$T$42,11,FALSE)+B55*12*VLOOKUP(A55,'Motor Vehicle Emission Factors'!$A$6:$T$42,12,FALSE)+E55*VLOOKUP(A55,'Motor Vehicle Emission Factors'!$A$6:$T$42,13,FALSE)+B55*12*VLOOKUP(A55,'Motor Vehicle Emission Factors'!$A$6:$T$42,14,FALSE))/453.6</f>
        <v>0.07760141093474426</v>
      </c>
      <c r="I55" s="42">
        <f>(E55*VLOOKUP(A55,'Motor Vehicle Emission Factors'!$A$6:$T$42,15,FALSE)+F55*VLOOKUP(A55,'Motor Vehicle Emission Factors'!$A$6:$T$42,16,FALSE))/453.6</f>
        <v>0.3602292768959436</v>
      </c>
      <c r="J55" s="42">
        <f>E55*VLOOKUP(A55,'Motor Vehicle Emission Factors'!$A$6:$T$42,17,FALSE)/453.6</f>
        <v>0.018077601410934743</v>
      </c>
      <c r="K55" s="42">
        <f>E55*(VLOOKUP(A55,'Motor Vehicle Emission Factors'!$A$6:$T$42,18,FALSE)+VLOOKUP(A55,'Motor Vehicle Emission Factors'!$A$6:$T$42,19,FALSE)+VLOOKUP(A55,'Motor Vehicle Emission Factors'!$A$6:$T$42,20,FALSE))/453.6</f>
        <v>0.0004409171075837742</v>
      </c>
      <c r="L55" s="42">
        <f>J55+K55</f>
        <v>0.018518518518518517</v>
      </c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42"/>
      <c r="H57" s="42"/>
      <c r="I57" s="42"/>
      <c r="J57" s="42"/>
      <c r="K57" s="42"/>
      <c r="L57" s="42"/>
    </row>
    <row r="58" spans="1:12" ht="12.75">
      <c r="A58" s="4" t="s">
        <v>116</v>
      </c>
      <c r="B58" s="2">
        <v>50</v>
      </c>
      <c r="C58" s="2">
        <v>1</v>
      </c>
      <c r="D58" s="2">
        <v>1</v>
      </c>
      <c r="E58" s="14">
        <f>B58*C58</f>
        <v>50</v>
      </c>
      <c r="F58" s="14">
        <f>B58*D58</f>
        <v>50</v>
      </c>
      <c r="G58" s="42">
        <f>(E58*VLOOKUP(A58,'Motor Vehicle Emission Factors'!$A$6:$T$42,7,FALSE)+F58*VLOOKUP(A58,'Motor Vehicle Emission Factors'!$A$6:$T$42,8,FALSE))/453.6</f>
        <v>3.7037037037037037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0.384700176366843</v>
      </c>
      <c r="I58" s="42">
        <f>(E58*VLOOKUP(A58,'Motor Vehicle Emission Factors'!$A$6:$T$42,15,FALSE)+F58*VLOOKUP(A58,'Motor Vehicle Emission Factors'!$A$6:$T$42,16,FALSE))/453.6</f>
        <v>1.7394179894179893</v>
      </c>
      <c r="J58" s="42">
        <f>E58*VLOOKUP(A58,'Motor Vehicle Emission Factors'!$A$6:$T$42,17,FALSE)/453.6</f>
        <v>0.0650352733686067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0.0011022927689594356</v>
      </c>
      <c r="L58" s="42">
        <f>J58+K58</f>
        <v>0.06613756613756613</v>
      </c>
    </row>
    <row r="59" spans="1:12" ht="12.75">
      <c r="A59" s="4" t="s">
        <v>105</v>
      </c>
      <c r="B59" s="2">
        <v>10</v>
      </c>
      <c r="C59" s="2">
        <v>40</v>
      </c>
      <c r="D59" s="2">
        <v>2</v>
      </c>
      <c r="E59" s="14">
        <f>B59*C59</f>
        <v>400</v>
      </c>
      <c r="F59" s="14">
        <f>B59*D59</f>
        <v>20</v>
      </c>
      <c r="G59" s="42">
        <f>(E59*VLOOKUP(A59,'Motor Vehicle Emission Factors'!$A$6:$T$42,7,FALSE)+F59*VLOOKUP(A59,'Motor Vehicle Emission Factors'!$A$6:$T$42,8,FALSE))/453.6</f>
        <v>4.8395061728395055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0.632716049382716</v>
      </c>
      <c r="I59" s="42">
        <f>(E59*VLOOKUP(A59,'Motor Vehicle Emission Factors'!$A$6:$T$42,15,FALSE)+F59*VLOOKUP(A59,'Motor Vehicle Emission Factors'!$A$6:$T$42,16,FALSE))/453.6</f>
        <v>0.6997354497354497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0.49609223513967426</v>
      </c>
      <c r="L59" s="42">
        <f>J59+K59</f>
        <v>0.49609223513967426</v>
      </c>
    </row>
    <row r="60" spans="1:12" ht="12.75">
      <c r="A60" s="4" t="s">
        <v>129</v>
      </c>
      <c r="B60" s="2">
        <v>50</v>
      </c>
      <c r="C60" s="2">
        <v>40</v>
      </c>
      <c r="D60" s="2">
        <v>2</v>
      </c>
      <c r="E60" s="14">
        <f>B60*C60</f>
        <v>2000</v>
      </c>
      <c r="F60" s="14">
        <f>B60*D60</f>
        <v>100</v>
      </c>
      <c r="G60" s="42">
        <f>(E60*VLOOKUP(A60,'Motor Vehicle Emission Factors'!$A$6:$T$42,7,FALSE)+F60*VLOOKUP(A60,'Motor Vehicle Emission Factors'!$A$6:$T$42,8,FALSE))/453.6</f>
        <v>44.00352733686067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6.65784832451499</v>
      </c>
      <c r="I60" s="42">
        <f>(E60*VLOOKUP(A60,'Motor Vehicle Emission Factors'!$A$6:$T$42,15,FALSE)+F60*VLOOKUP(A60,'Motor Vehicle Emission Factors'!$A$6:$T$42,16,FALSE))/453.6</f>
        <v>40.78483245149911</v>
      </c>
      <c r="J60" s="42">
        <f>E60*VLOOKUP(A60,'Motor Vehicle Emission Factors'!$A$6:$T$42,17,FALSE)/453.6</f>
        <v>2.6014109347442678</v>
      </c>
      <c r="K60" s="42">
        <f>E60*(VLOOKUP(A60,'Motor Vehicle Emission Factors'!$A$6:$T$42,18,FALSE)+VLOOKUP(A60,'Motor Vehicle Emission Factors'!$A$6:$T$42,19,FALSE)+VLOOKUP(A60,'Motor Vehicle Emission Factors'!$A$6:$T$42,20,FALSE))/453.6</f>
        <v>116.69196875673147</v>
      </c>
      <c r="L60" s="42">
        <f>J60+K60</f>
        <v>119.29337969147574</v>
      </c>
    </row>
    <row r="61" spans="1:12" ht="12.75">
      <c r="A61" s="4" t="s">
        <v>128</v>
      </c>
      <c r="B61" s="2"/>
      <c r="C61" s="2"/>
      <c r="D61" s="2"/>
      <c r="E61" s="14"/>
      <c r="F61" s="14"/>
      <c r="G61" s="42"/>
      <c r="H61" s="42"/>
      <c r="I61" s="42"/>
      <c r="J61" s="42"/>
      <c r="K61" s="42"/>
      <c r="L61" s="42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53.1657848324515</v>
      </c>
      <c r="H62" s="46">
        <f t="shared" si="1"/>
        <v>7.752865961199293</v>
      </c>
      <c r="I62" s="46">
        <f t="shared" si="1"/>
        <v>43.58421516754849</v>
      </c>
      <c r="J62" s="46">
        <f t="shared" si="1"/>
        <v>2.6845238095238093</v>
      </c>
      <c r="K62" s="46">
        <f t="shared" si="1"/>
        <v>117.18960420174768</v>
      </c>
      <c r="L62" s="46">
        <f t="shared" si="1"/>
        <v>119.8741280112715</v>
      </c>
      <c r="M62" s="71">
        <f>E54+E59</f>
        <v>400</v>
      </c>
      <c r="N62" s="71">
        <f>SUM(E54:E61)-M62</f>
        <v>2070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9-F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HGS Backfill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147.60432</v>
      </c>
      <c r="C69" s="43">
        <f>H23</f>
        <v>32.15696</v>
      </c>
      <c r="D69" s="43">
        <f>I23</f>
        <v>300.76976</v>
      </c>
      <c r="E69" s="43">
        <f>J23</f>
        <v>27.25184</v>
      </c>
      <c r="F69" s="43">
        <f>K23</f>
        <v>14.63776</v>
      </c>
      <c r="G69" s="43"/>
      <c r="H69" s="43">
        <f>F69+G69</f>
        <v>14.63776</v>
      </c>
    </row>
    <row r="70" spans="1:8" ht="12.75">
      <c r="A70" s="51" t="s">
        <v>127</v>
      </c>
      <c r="B70" s="43">
        <f>SUM(G54:G58)</f>
        <v>4.322751322751323</v>
      </c>
      <c r="C70" s="43">
        <f>SUM(H54:H58)</f>
        <v>0.46230158730158727</v>
      </c>
      <c r="D70" s="43">
        <f>SUM(I54:I58)</f>
        <v>2.0996472663139327</v>
      </c>
      <c r="E70" s="43">
        <v>0</v>
      </c>
      <c r="F70" s="43">
        <f>SUM(J54:J58)</f>
        <v>0.08311287477954145</v>
      </c>
      <c r="G70" s="43"/>
      <c r="H70" s="43">
        <f aca="true" t="shared" si="2" ref="H70:H76">F70+G70</f>
        <v>0.08311287477954145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93.15574416571152</v>
      </c>
      <c r="H71" s="43">
        <f t="shared" si="2"/>
        <v>93.15574416571152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151.92707132275132</v>
      </c>
      <c r="C74" s="44">
        <f t="shared" si="3"/>
        <v>32.61926158730159</v>
      </c>
      <c r="D74" s="44">
        <f t="shared" si="3"/>
        <v>302.86940726631394</v>
      </c>
      <c r="E74" s="44">
        <f t="shared" si="3"/>
        <v>27.25184</v>
      </c>
      <c r="F74" s="44">
        <f t="shared" si="3"/>
        <v>14.720872874779541</v>
      </c>
      <c r="G74" s="44">
        <f t="shared" si="3"/>
        <v>93.15574416571152</v>
      </c>
      <c r="H74" s="44">
        <f t="shared" si="2"/>
        <v>107.87661704049107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80.13363569128998</v>
      </c>
      <c r="H75" s="45">
        <f t="shared" si="2"/>
        <v>80.13363569128998</v>
      </c>
    </row>
    <row r="76" spans="1:8" ht="12.75">
      <c r="A76" s="51" t="s">
        <v>99</v>
      </c>
      <c r="B76" s="45">
        <f>SUM(G59:G61)</f>
        <v>48.84303350970018</v>
      </c>
      <c r="C76" s="45">
        <f>SUM(H59:H61)</f>
        <v>7.290564373897706</v>
      </c>
      <c r="D76" s="45">
        <f>SUM(I59:I61)</f>
        <v>41.48456790123456</v>
      </c>
      <c r="E76" s="45">
        <v>0</v>
      </c>
      <c r="F76" s="45">
        <f>SUM(J59:J61)</f>
        <v>2.6014109347442678</v>
      </c>
      <c r="G76" s="45">
        <f>SUM(K59:K61)</f>
        <v>117.18806099187114</v>
      </c>
      <c r="H76" s="45">
        <f t="shared" si="2"/>
        <v>119.7894719266154</v>
      </c>
    </row>
    <row r="77" spans="1:8" ht="12.75">
      <c r="A77" s="15" t="s">
        <v>168</v>
      </c>
      <c r="B77" s="44">
        <f aca="true" t="shared" si="4" ref="B77:G77">SUM(B75:B76)</f>
        <v>48.84303350970018</v>
      </c>
      <c r="C77" s="44">
        <f t="shared" si="4"/>
        <v>7.290564373897706</v>
      </c>
      <c r="D77" s="44">
        <f t="shared" si="4"/>
        <v>41.48456790123456</v>
      </c>
      <c r="E77" s="44">
        <f t="shared" si="4"/>
        <v>0</v>
      </c>
      <c r="F77" s="44">
        <f t="shared" si="4"/>
        <v>2.6014109347442678</v>
      </c>
      <c r="G77" s="44">
        <f t="shared" si="4"/>
        <v>197.32169668316112</v>
      </c>
      <c r="H77" s="44">
        <f>F77+G77</f>
        <v>199.9231076179054</v>
      </c>
    </row>
    <row r="78" spans="1:8" ht="12.75">
      <c r="A78" s="15" t="s">
        <v>24</v>
      </c>
      <c r="B78" s="44">
        <f>B74+B77</f>
        <v>200.7701048324515</v>
      </c>
      <c r="C78" s="44">
        <f aca="true" t="shared" si="5" ref="C78:H78">C74+C77</f>
        <v>39.909825961199296</v>
      </c>
      <c r="D78" s="44">
        <f t="shared" si="5"/>
        <v>344.3539751675485</v>
      </c>
      <c r="E78" s="44">
        <f t="shared" si="5"/>
        <v>27.25184</v>
      </c>
      <c r="F78" s="44">
        <f t="shared" si="5"/>
        <v>17.32228380952381</v>
      </c>
      <c r="G78" s="44">
        <f t="shared" si="5"/>
        <v>290.4774408488727</v>
      </c>
      <c r="H78" s="44">
        <f t="shared" si="5"/>
        <v>307.7997246583965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9-G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HGS Backfill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147.60432</v>
      </c>
      <c r="C85" s="43">
        <f>C69</f>
        <v>32.15696</v>
      </c>
      <c r="D85" s="43">
        <f>D69</f>
        <v>300.76976</v>
      </c>
      <c r="E85" s="43">
        <f>E69</f>
        <v>27.25184</v>
      </c>
      <c r="F85" s="43">
        <f>F69</f>
        <v>14.63776</v>
      </c>
      <c r="G85" s="43"/>
      <c r="H85" s="43">
        <f>F85+G85</f>
        <v>14.63776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-1.607848</v>
      </c>
      <c r="D87" s="43">
        <f>-D86*D85</f>
        <v>-15.038488000000001</v>
      </c>
      <c r="E87" s="43">
        <f>-E86*E85</f>
        <v>-1.3625920000000002</v>
      </c>
      <c r="F87" s="43">
        <f>-F86*F85</f>
        <v>-0.7318880000000001</v>
      </c>
      <c r="G87" s="43"/>
      <c r="H87" s="43">
        <f>F87+G87</f>
        <v>-0.7318880000000001</v>
      </c>
    </row>
    <row r="88" spans="1:8" ht="12.75">
      <c r="A88" s="15" t="s">
        <v>125</v>
      </c>
      <c r="B88" s="44">
        <f>B85+B87</f>
        <v>147.60432</v>
      </c>
      <c r="C88" s="44">
        <f>C85+C87</f>
        <v>30.549111999999997</v>
      </c>
      <c r="D88" s="44">
        <f>D85+D87</f>
        <v>285.731272</v>
      </c>
      <c r="E88" s="44">
        <f>E85+E87</f>
        <v>25.889248000000002</v>
      </c>
      <c r="F88" s="44">
        <f>F85+F87</f>
        <v>13.905872</v>
      </c>
      <c r="G88" s="44"/>
      <c r="H88" s="44">
        <f>F88+G88</f>
        <v>13.905872</v>
      </c>
    </row>
    <row r="89" spans="1:8" ht="12.75">
      <c r="A89" s="15" t="s">
        <v>127</v>
      </c>
      <c r="B89" s="45">
        <f>B70</f>
        <v>4.322751322751323</v>
      </c>
      <c r="C89" s="45">
        <f>C70</f>
        <v>0.46230158730158727</v>
      </c>
      <c r="D89" s="45">
        <f>D70</f>
        <v>2.0996472663139327</v>
      </c>
      <c r="E89" s="45">
        <f>E70</f>
        <v>0</v>
      </c>
      <c r="F89" s="45">
        <f>F70</f>
        <v>0.08311287477954145</v>
      </c>
      <c r="G89" s="45"/>
      <c r="H89" s="43">
        <f>F89+G89</f>
        <v>0.08311287477954145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4.322751322751323</v>
      </c>
      <c r="C92" s="44">
        <f>C89+C91</f>
        <v>0.46230158730158727</v>
      </c>
      <c r="D92" s="44">
        <f>D89+D91</f>
        <v>2.0996472663139327</v>
      </c>
      <c r="E92" s="44">
        <f>E89+E91</f>
        <v>0</v>
      </c>
      <c r="F92" s="44">
        <f>F89+F91</f>
        <v>0.08311287477954145</v>
      </c>
      <c r="G92" s="44"/>
      <c r="H92" s="44">
        <f>F92+G92</f>
        <v>0.08311287477954145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93.15574416571152</v>
      </c>
      <c r="H93" s="43">
        <f>F93+G93</f>
        <v>93.15574416571152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-14.904919066513845</v>
      </c>
      <c r="H95" s="43">
        <f>F95+G95</f>
        <v>-14.904919066513845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78.25082509919768</v>
      </c>
      <c r="H96" s="44">
        <f>F96+G96</f>
        <v>78.25082509919768</v>
      </c>
    </row>
    <row r="97" spans="1:8" ht="12.75">
      <c r="A97" s="15" t="s">
        <v>96</v>
      </c>
      <c r="B97" s="43"/>
      <c r="C97" s="43">
        <f>C72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151.92707132275132</v>
      </c>
      <c r="C105" s="44">
        <f t="shared" si="6"/>
        <v>31.011413587301586</v>
      </c>
      <c r="D105" s="44">
        <f t="shared" si="6"/>
        <v>287.8309192663139</v>
      </c>
      <c r="E105" s="44">
        <f t="shared" si="6"/>
        <v>25.889248000000002</v>
      </c>
      <c r="F105" s="44">
        <f t="shared" si="6"/>
        <v>13.988984874779542</v>
      </c>
      <c r="G105" s="44">
        <f t="shared" si="6"/>
        <v>78.25082509919768</v>
      </c>
      <c r="H105" s="44">
        <f>H88+H96+H100+H104</f>
        <v>92.15669709919769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160.26727138257996</v>
      </c>
      <c r="H106" s="44">
        <f>F106+G106</f>
        <v>160.26727138257996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-144.24054424432197</v>
      </c>
      <c r="H108" s="43">
        <f>F108+G108</f>
        <v>-144.24054424432197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16.026727138257996</v>
      </c>
      <c r="H109" s="44">
        <f>F109+G109</f>
        <v>16.026727138257996</v>
      </c>
    </row>
    <row r="110" spans="1:8" ht="12.75">
      <c r="A110" s="15" t="s">
        <v>99</v>
      </c>
      <c r="B110" s="44">
        <f>B76</f>
        <v>48.84303350970018</v>
      </c>
      <c r="C110" s="44">
        <f aca="true" t="shared" si="7" ref="C110:H110">C76</f>
        <v>7.290564373897706</v>
      </c>
      <c r="D110" s="44">
        <f t="shared" si="7"/>
        <v>41.48456790123456</v>
      </c>
      <c r="E110" s="44">
        <f t="shared" si="7"/>
        <v>0</v>
      </c>
      <c r="F110" s="44">
        <f t="shared" si="7"/>
        <v>2.6014109347442678</v>
      </c>
      <c r="G110" s="44">
        <f t="shared" si="7"/>
        <v>117.18806099187114</v>
      </c>
      <c r="H110" s="44">
        <f t="shared" si="7"/>
        <v>119.7894719266154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48.84303350970018</v>
      </c>
      <c r="C113" s="44">
        <f t="shared" si="9"/>
        <v>7.290564373897706</v>
      </c>
      <c r="D113" s="44">
        <f t="shared" si="9"/>
        <v>41.48456790123456</v>
      </c>
      <c r="E113" s="44">
        <f t="shared" si="9"/>
        <v>0</v>
      </c>
      <c r="F113" s="44">
        <f t="shared" si="9"/>
        <v>2.6014109347442678</v>
      </c>
      <c r="G113" s="44">
        <f t="shared" si="9"/>
        <v>117.18806099187114</v>
      </c>
      <c r="H113" s="44">
        <f>F113+G113</f>
        <v>119.7894719266154</v>
      </c>
    </row>
    <row r="114" spans="1:8" ht="12.75">
      <c r="A114" s="15" t="s">
        <v>168</v>
      </c>
      <c r="B114" s="44">
        <f>B113+B109</f>
        <v>48.84303350970018</v>
      </c>
      <c r="C114" s="44">
        <f aca="true" t="shared" si="10" ref="C114:H114">C113+C109</f>
        <v>7.290564373897706</v>
      </c>
      <c r="D114" s="44">
        <f t="shared" si="10"/>
        <v>41.48456790123456</v>
      </c>
      <c r="E114" s="44">
        <f t="shared" si="10"/>
        <v>0</v>
      </c>
      <c r="F114" s="44">
        <f t="shared" si="10"/>
        <v>2.6014109347442678</v>
      </c>
      <c r="G114" s="44">
        <f t="shared" si="10"/>
        <v>133.21478813012914</v>
      </c>
      <c r="H114" s="44">
        <f t="shared" si="10"/>
        <v>135.8161990648734</v>
      </c>
    </row>
    <row r="115" spans="1:8" ht="12.75">
      <c r="A115" s="15" t="s">
        <v>24</v>
      </c>
      <c r="B115" s="44">
        <f>B105+B114</f>
        <v>200.7701048324515</v>
      </c>
      <c r="C115" s="44">
        <f aca="true" t="shared" si="11" ref="C115:H115">C105+C114</f>
        <v>38.30197796119929</v>
      </c>
      <c r="D115" s="44">
        <f t="shared" si="11"/>
        <v>329.3154871675485</v>
      </c>
      <c r="E115" s="44">
        <f t="shared" si="11"/>
        <v>25.889248000000002</v>
      </c>
      <c r="F115" s="44">
        <f t="shared" si="11"/>
        <v>16.59039580952381</v>
      </c>
      <c r="G115" s="44">
        <f t="shared" si="11"/>
        <v>211.46561322932683</v>
      </c>
      <c r="H115" s="44">
        <f t="shared" si="11"/>
        <v>227.97289616407107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40:F40"/>
    <mergeCell ref="A26:D26"/>
    <mergeCell ref="A27:D27"/>
    <mergeCell ref="A3:L3"/>
    <mergeCell ref="A4:L4"/>
    <mergeCell ref="A39:F39"/>
    <mergeCell ref="A45:G45"/>
    <mergeCell ref="A46:G46"/>
    <mergeCell ref="A67:H67"/>
    <mergeCell ref="A82:H82"/>
    <mergeCell ref="A83:H83"/>
    <mergeCell ref="A51:L51"/>
    <mergeCell ref="A52:L52"/>
    <mergeCell ref="A66:H66"/>
  </mergeCells>
  <printOptions horizontalCentered="1"/>
  <pageMargins left="0.75" right="0.75" top="1" bottom="1" header="0.5" footer="0.5"/>
  <pageSetup fitToHeight="20" horizontalDpi="300" verticalDpi="300" orientation="landscape" scale="77" r:id="rId1"/>
  <headerFooter alignWithMargins="0">
    <oddFooter>&amp;CPage &amp;P of &amp;N&amp;R&amp;D</oddFooter>
  </headerFooter>
  <rowBreaks count="2" manualBreakCount="2">
    <brk id="38" max="255" man="1"/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N117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37.57421875" style="0" bestFit="1" customWidth="1"/>
    <col min="2" max="2" width="8.7109375" style="0" customWidth="1"/>
    <col min="3" max="3" width="10.140625" style="0" customWidth="1"/>
    <col min="4" max="4" width="9.8515625" style="0" customWidth="1"/>
    <col min="6" max="6" width="10.003906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173</v>
      </c>
    </row>
    <row r="2" ht="12.75" hidden="1">
      <c r="A2" s="52">
        <v>10</v>
      </c>
    </row>
    <row r="3" spans="1:12" ht="12.75">
      <c r="A3" s="87" t="str">
        <f>"Table "&amp;A$2&amp;"-A"</f>
        <v>Table 10-A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HGS Foundations 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>
        <v>10</v>
      </c>
      <c r="C15" s="2">
        <v>16</v>
      </c>
      <c r="D15" s="2">
        <f>B15*C15</f>
        <v>160</v>
      </c>
      <c r="E15" s="2" t="s">
        <v>84</v>
      </c>
      <c r="F15" s="2" t="str">
        <f>IF(E15&lt;&gt;"N/A",B15*E15,"N/A")</f>
        <v>N/A</v>
      </c>
      <c r="G15" s="42">
        <f>$D15*VLOOKUP($A15,'Const. Equip. Emission Factors'!$A$5:$N$25,10,FALSE)</f>
        <v>141.35999999999999</v>
      </c>
      <c r="H15" s="42">
        <f>$D15*VLOOKUP($A15,'Const. Equip. Emission Factors'!$A$5:$N$25,11,FALSE)</f>
        <v>6.2</v>
      </c>
      <c r="I15" s="42">
        <f>$D15*VLOOKUP($A15,'Const. Equip. Emission Factors'!$A$5:$N$25,12,FALSE)</f>
        <v>2.7279999999999998</v>
      </c>
      <c r="J15" s="42">
        <f>$D15*VLOOKUP($A15,'Const. Equip. Emission Factors'!$A$5:$N$25,13,FALSE)</f>
        <v>0.124</v>
      </c>
      <c r="K15" s="42">
        <f>$D15*VLOOKUP($A15,'Const. Equip. Emission Factors'!$A$5:$N$25,14,FALSE)</f>
        <v>0.0124</v>
      </c>
      <c r="L15" s="43">
        <f>VLOOKUP(A15,'Const. Equip. Emission Factors'!$A$5:$P$23,16,FALSE)*D15</f>
        <v>29.759999999999994</v>
      </c>
    </row>
    <row r="16" spans="1:12" ht="12.75">
      <c r="A16" s="4" t="s">
        <v>289</v>
      </c>
      <c r="B16" s="2">
        <v>10</v>
      </c>
      <c r="C16" s="2">
        <v>16</v>
      </c>
      <c r="D16" s="2">
        <f>B16*C16</f>
        <v>160</v>
      </c>
      <c r="E16" s="2" t="s">
        <v>84</v>
      </c>
      <c r="F16" s="2" t="str">
        <f>IF(E16&lt;&gt;"N/A",B16*E16,"N/A")</f>
        <v>N/A</v>
      </c>
      <c r="G16" s="42">
        <f>$D16*VLOOKUP($A16,'Const. Equip. Emission Factors'!$A$5:$N$25,10,FALSE)</f>
        <v>65.47200000000001</v>
      </c>
      <c r="H16" s="42">
        <f>$D16*VLOOKUP($A16,'Const. Equip. Emission Factors'!$A$5:$N$25,11,FALSE)</f>
        <v>9.8208</v>
      </c>
      <c r="I16" s="42">
        <f>$D16*VLOOKUP($A16,'Const. Equip. Emission Factors'!$A$5:$N$25,12,FALSE)</f>
        <v>78.5664</v>
      </c>
      <c r="J16" s="42">
        <f>$D16*VLOOKUP($A16,'Const. Equip. Emission Factors'!$A$5:$N$25,13,FALSE)</f>
        <v>6.547200000000001</v>
      </c>
      <c r="K16" s="42">
        <f>$D16*VLOOKUP($A16,'Const. Equip. Emission Factors'!$A$5:$N$25,14,FALSE)</f>
        <v>4.9104</v>
      </c>
      <c r="L16" s="43">
        <f>VLOOKUP(A16,'Const. Equip. Emission Factors'!$A$5:$P$23,16,FALSE)*D16</f>
        <v>163.68</v>
      </c>
    </row>
    <row r="17" spans="1:12" ht="12.75">
      <c r="A17" s="4" t="s">
        <v>285</v>
      </c>
      <c r="B17" s="2">
        <v>20</v>
      </c>
      <c r="C17" s="2">
        <v>12</v>
      </c>
      <c r="D17" s="2">
        <f>B17*C17</f>
        <v>240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40.4736</v>
      </c>
      <c r="H17" s="42">
        <f>$D17*VLOOKUP($A17,'Const. Equip. Emission Factors'!$A$5:$N$25,11,FALSE)</f>
        <v>6.07104</v>
      </c>
      <c r="I17" s="42">
        <f>$D17*VLOOKUP($A17,'Const. Equip. Emission Factors'!$A$5:$N$25,12,FALSE)</f>
        <v>48.56832</v>
      </c>
      <c r="J17" s="42">
        <f>$D17*VLOOKUP($A17,'Const. Equip. Emission Factors'!$A$5:$N$25,13,FALSE)</f>
        <v>4.04736</v>
      </c>
      <c r="K17" s="42">
        <f>$D17*VLOOKUP($A17,'Const. Equip. Emission Factors'!$A$5:$N$25,14,FALSE)</f>
        <v>3.03552</v>
      </c>
      <c r="L17" s="43">
        <f>VLOOKUP(A17,'Const. Equip. Emission Factors'!$A$5:$P$23,16,FALSE)*D17</f>
        <v>101.18400000000001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42"/>
      <c r="H22" s="42"/>
      <c r="I22" s="42"/>
      <c r="J22" s="42"/>
      <c r="K22" s="42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247.3056</v>
      </c>
      <c r="H23" s="46">
        <f t="shared" si="0"/>
        <v>22.09184</v>
      </c>
      <c r="I23" s="46">
        <f t="shared" si="0"/>
        <v>129.86272</v>
      </c>
      <c r="J23" s="46">
        <f t="shared" si="0"/>
        <v>10.71856</v>
      </c>
      <c r="K23" s="46">
        <f t="shared" si="0"/>
        <v>7.9583200000000005</v>
      </c>
      <c r="L23" s="46">
        <f t="shared" si="0"/>
        <v>294.624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10-B</v>
      </c>
      <c r="B26" s="87"/>
      <c r="C26" s="87"/>
      <c r="D26" s="87"/>
    </row>
    <row r="27" spans="1:4" ht="12.75">
      <c r="A27" s="85" t="str">
        <f>A$1&amp;" Fugitive Dust Emissions (Pre-Mitigation)"</f>
        <v>HGS Foundations 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SUM(F6:F22)-F8+E55+E56+E57+E58</f>
        <v>33</v>
      </c>
      <c r="C31" s="2" t="s">
        <v>46</v>
      </c>
      <c r="D31" s="43">
        <f>B31*'Fug. Dust Emission Factors'!C50</f>
        <v>10.02464359604417</v>
      </c>
    </row>
    <row r="32" spans="1:4" ht="12.75">
      <c r="A32" s="4" t="s">
        <v>110</v>
      </c>
      <c r="B32" s="14">
        <f>E54</f>
        <v>100</v>
      </c>
      <c r="C32" s="2" t="s">
        <v>46</v>
      </c>
      <c r="D32" s="43">
        <f>B32*'Fug. Dust Emission Factors'!C65</f>
        <v>29.982544505479115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148</v>
      </c>
      <c r="B34" s="2">
        <f>B61</f>
        <v>0</v>
      </c>
      <c r="C34" s="2" t="s">
        <v>166</v>
      </c>
      <c r="D34" s="43">
        <f>B34*'Fug. Dust Emission Factors'!C129</f>
        <v>0</v>
      </c>
    </row>
    <row r="35" spans="1:4" ht="12.75">
      <c r="A35" s="15" t="s">
        <v>24</v>
      </c>
      <c r="B35" s="4"/>
      <c r="C35" s="4"/>
      <c r="D35" s="44">
        <f>SUM(D28:D34)</f>
        <v>40.00718810152328</v>
      </c>
    </row>
    <row r="36" spans="1:4" ht="12.75">
      <c r="A36" s="15" t="s">
        <v>24</v>
      </c>
      <c r="B36" s="4"/>
      <c r="C36" s="4"/>
      <c r="D36" s="44">
        <f>SUM(D29:D34)</f>
        <v>40.00718810152328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10-C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HGS Foundations 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10-D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HGS Foundations 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10-E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HGS Foundations 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10</v>
      </c>
      <c r="C54" s="2">
        <v>10</v>
      </c>
      <c r="D54" s="2">
        <v>4</v>
      </c>
      <c r="E54" s="14">
        <f>B54*C54</f>
        <v>100</v>
      </c>
      <c r="F54" s="14">
        <f>B54*D54</f>
        <v>40</v>
      </c>
      <c r="G54" s="42">
        <f>(E54*VLOOKUP(A54,'Motor Vehicle Emission Factors'!$A$6:$T$42,7,FALSE)+F54*VLOOKUP(A54,'Motor Vehicle Emission Factors'!$A$6:$T$42,8,FALSE))/453.6</f>
        <v>4.756613756613757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0.7727072310405644</v>
      </c>
      <c r="I54" s="42">
        <f>(E54*VLOOKUP(A54,'Motor Vehicle Emission Factors'!$A$6:$T$42,15,FALSE)+F54*VLOOKUP(A54,'Motor Vehicle Emission Factors'!$A$6:$T$42,16,FALSE))/453.6</f>
        <v>0.5542328042328042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0.002204585537918871</v>
      </c>
      <c r="L54" s="42">
        <f>J54+K54</f>
        <v>0.002204585537918871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33</v>
      </c>
      <c r="C58" s="2">
        <v>1</v>
      </c>
      <c r="D58" s="2">
        <v>1</v>
      </c>
      <c r="E58" s="14">
        <f>B58*C58</f>
        <v>33</v>
      </c>
      <c r="F58" s="14">
        <f>B58*D58</f>
        <v>33</v>
      </c>
      <c r="G58" s="42">
        <f>(E58*VLOOKUP(A58,'Motor Vehicle Emission Factors'!$A$6:$T$42,7,FALSE)+F58*VLOOKUP(A58,'Motor Vehicle Emission Factors'!$A$6:$T$42,8,FALSE))/453.6</f>
        <v>2.444444444444444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0.2539021164021164</v>
      </c>
      <c r="I58" s="42">
        <f>(E58*VLOOKUP(A58,'Motor Vehicle Emission Factors'!$A$6:$T$42,15,FALSE)+F58*VLOOKUP(A58,'Motor Vehicle Emission Factors'!$A$6:$T$42,16,FALSE))/453.6</f>
        <v>1.148015873015873</v>
      </c>
      <c r="J58" s="42">
        <f>E58*VLOOKUP(A58,'Motor Vehicle Emission Factors'!$A$6:$T$42,17,FALSE)/453.6</f>
        <v>0.04292328042328042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0.0007275132275132275</v>
      </c>
      <c r="L58" s="42">
        <f>J58+K58</f>
        <v>0.04365079365079365</v>
      </c>
    </row>
    <row r="59" spans="1:12" ht="12.75">
      <c r="A59" s="4" t="s">
        <v>105</v>
      </c>
      <c r="B59" s="2">
        <v>250</v>
      </c>
      <c r="C59" s="2">
        <v>40</v>
      </c>
      <c r="D59" s="2">
        <v>2</v>
      </c>
      <c r="E59" s="14">
        <f>B59*C59</f>
        <v>10000</v>
      </c>
      <c r="F59" s="14">
        <f>B59*D59</f>
        <v>500</v>
      </c>
      <c r="G59" s="42">
        <f>(E59*VLOOKUP(A59,'Motor Vehicle Emission Factors'!$A$6:$T$42,7,FALSE)+F59*VLOOKUP(A59,'Motor Vehicle Emission Factors'!$A$6:$T$42,8,FALSE))/453.6</f>
        <v>120.98765432098764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15.8179012345679</v>
      </c>
      <c r="I59" s="42">
        <f>(E59*VLOOKUP(A59,'Motor Vehicle Emission Factors'!$A$6:$T$42,15,FALSE)+F59*VLOOKUP(A59,'Motor Vehicle Emission Factors'!$A$6:$T$42,16,FALSE))/453.6</f>
        <v>17.493386243386244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12.402305878491859</v>
      </c>
      <c r="L59" s="42">
        <f>J59+K59</f>
        <v>12.402305878491859</v>
      </c>
    </row>
    <row r="60" spans="1:12" ht="12.75">
      <c r="A60" s="4" t="s">
        <v>129</v>
      </c>
      <c r="B60" s="2">
        <v>33</v>
      </c>
      <c r="C60" s="2">
        <v>40</v>
      </c>
      <c r="D60" s="2">
        <v>2</v>
      </c>
      <c r="E60" s="14">
        <f>B60*C60</f>
        <v>1320</v>
      </c>
      <c r="F60" s="14">
        <f>B60*D60</f>
        <v>66</v>
      </c>
      <c r="G60" s="42">
        <f>(E60*VLOOKUP(A60,'Motor Vehicle Emission Factors'!$A$6:$T$42,7,FALSE)+F60*VLOOKUP(A60,'Motor Vehicle Emission Factors'!$A$6:$T$42,8,FALSE))/453.6</f>
        <v>29.04232804232804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4.394179894179894</v>
      </c>
      <c r="I60" s="42">
        <f>(E60*VLOOKUP(A60,'Motor Vehicle Emission Factors'!$A$6:$T$42,15,FALSE)+F60*VLOOKUP(A60,'Motor Vehicle Emission Factors'!$A$6:$T$42,16,FALSE))/453.6</f>
        <v>26.917989417989418</v>
      </c>
      <c r="J60" s="42">
        <f>E60*VLOOKUP(A60,'Motor Vehicle Emission Factors'!$A$6:$T$42,17,FALSE)/453.6</f>
        <v>1.7169312169312168</v>
      </c>
      <c r="K60" s="42">
        <f>E60*(VLOOKUP(A60,'Motor Vehicle Emission Factors'!$A$6:$T$42,18,FALSE)+VLOOKUP(A60,'Motor Vehicle Emission Factors'!$A$6:$T$42,19,FALSE)+VLOOKUP(A60,'Motor Vehicle Emission Factors'!$A$6:$T$42,20,FALSE))/453.6</f>
        <v>77.01669937944277</v>
      </c>
      <c r="L60" s="42">
        <f>J60+K60</f>
        <v>78.73363059637398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157.2310405643739</v>
      </c>
      <c r="H62" s="46">
        <f t="shared" si="1"/>
        <v>21.238690476190477</v>
      </c>
      <c r="I62" s="46">
        <f t="shared" si="1"/>
        <v>46.113624338624334</v>
      </c>
      <c r="J62" s="46">
        <f t="shared" si="1"/>
        <v>1.7598544973544972</v>
      </c>
      <c r="K62" s="46">
        <f t="shared" si="1"/>
        <v>89.42193735670006</v>
      </c>
      <c r="L62" s="46">
        <f t="shared" si="1"/>
        <v>91.18179185405455</v>
      </c>
      <c r="M62" s="71">
        <f>E54+E59</f>
        <v>10100</v>
      </c>
      <c r="N62" s="71">
        <f>SUM(E54:E61)-M62</f>
        <v>1353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10-F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HGS Foundations 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247.3056</v>
      </c>
      <c r="C69" s="43">
        <f>H23</f>
        <v>22.09184</v>
      </c>
      <c r="D69" s="43">
        <f>I23</f>
        <v>129.86272</v>
      </c>
      <c r="E69" s="43">
        <f>J23</f>
        <v>10.71856</v>
      </c>
      <c r="F69" s="43">
        <f>K23</f>
        <v>7.9583200000000005</v>
      </c>
      <c r="G69" s="43"/>
      <c r="H69" s="43">
        <f>F69+G69</f>
        <v>7.9583200000000005</v>
      </c>
    </row>
    <row r="70" spans="1:8" ht="12.75">
      <c r="A70" s="51" t="s">
        <v>127</v>
      </c>
      <c r="B70" s="43">
        <f>SUM(G54:G58)</f>
        <v>7.201058201058201</v>
      </c>
      <c r="C70" s="43">
        <f>SUM(H54:H58)</f>
        <v>1.0266093474426807</v>
      </c>
      <c r="D70" s="43">
        <f>SUM(I54:I58)</f>
        <v>1.7022486772486771</v>
      </c>
      <c r="E70" s="43">
        <v>0</v>
      </c>
      <c r="F70" s="43">
        <f>SUM(J54:J58)</f>
        <v>0.04292328042328042</v>
      </c>
      <c r="G70" s="43"/>
      <c r="H70" s="43">
        <f aca="true" t="shared" si="2" ref="H70:H76">F70+G70</f>
        <v>0.04292328042328042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D35-D34</f>
        <v>40.00718810152328</v>
      </c>
      <c r="H71" s="43">
        <f t="shared" si="2"/>
        <v>40.00718810152328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254.5066582010582</v>
      </c>
      <c r="C74" s="44">
        <f t="shared" si="3"/>
        <v>23.11844934744268</v>
      </c>
      <c r="D74" s="44">
        <f t="shared" si="3"/>
        <v>131.5649686772487</v>
      </c>
      <c r="E74" s="44">
        <f t="shared" si="3"/>
        <v>10.71856</v>
      </c>
      <c r="F74" s="44">
        <f t="shared" si="3"/>
        <v>8.001243280423282</v>
      </c>
      <c r="G74" s="44">
        <f t="shared" si="3"/>
        <v>40.00718810152328</v>
      </c>
      <c r="H74" s="44">
        <f t="shared" si="2"/>
        <v>48.008431381946565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D34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150.0299823633157</v>
      </c>
      <c r="C76" s="45">
        <f>SUM(H59:H61)</f>
        <v>20.212081128747794</v>
      </c>
      <c r="D76" s="45">
        <f>SUM(I59:I61)</f>
        <v>44.41137566137566</v>
      </c>
      <c r="E76" s="45">
        <v>0</v>
      </c>
      <c r="F76" s="45">
        <f>SUM(J59:J61)</f>
        <v>1.7169312169312168</v>
      </c>
      <c r="G76" s="45">
        <f>SUM(K59:K61)</f>
        <v>89.41900525793463</v>
      </c>
      <c r="H76" s="45">
        <f t="shared" si="2"/>
        <v>91.13593647486584</v>
      </c>
    </row>
    <row r="77" spans="1:8" ht="12.75">
      <c r="A77" s="15" t="s">
        <v>168</v>
      </c>
      <c r="B77" s="44">
        <f aca="true" t="shared" si="4" ref="B77:G77">SUM(B75:B76)</f>
        <v>150.0299823633157</v>
      </c>
      <c r="C77" s="44">
        <f t="shared" si="4"/>
        <v>20.212081128747794</v>
      </c>
      <c r="D77" s="44">
        <f t="shared" si="4"/>
        <v>44.41137566137566</v>
      </c>
      <c r="E77" s="44">
        <f t="shared" si="4"/>
        <v>0</v>
      </c>
      <c r="F77" s="44">
        <f t="shared" si="4"/>
        <v>1.7169312169312168</v>
      </c>
      <c r="G77" s="44">
        <f t="shared" si="4"/>
        <v>89.41900525793463</v>
      </c>
      <c r="H77" s="44">
        <f>F77+G77</f>
        <v>91.13593647486584</v>
      </c>
    </row>
    <row r="78" spans="1:8" ht="12.75">
      <c r="A78" s="15" t="s">
        <v>24</v>
      </c>
      <c r="B78" s="44">
        <f>B74+B77</f>
        <v>404.5366405643739</v>
      </c>
      <c r="C78" s="44">
        <f aca="true" t="shared" si="5" ref="C78:H78">C74+C77</f>
        <v>43.330530476190475</v>
      </c>
      <c r="D78" s="44">
        <f t="shared" si="5"/>
        <v>175.97634433862436</v>
      </c>
      <c r="E78" s="44">
        <f t="shared" si="5"/>
        <v>10.71856</v>
      </c>
      <c r="F78" s="44">
        <f t="shared" si="5"/>
        <v>9.718174497354498</v>
      </c>
      <c r="G78" s="44">
        <f t="shared" si="5"/>
        <v>129.4261933594579</v>
      </c>
      <c r="H78" s="44">
        <f t="shared" si="5"/>
        <v>139.1443678568124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10-G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HGS Foundations 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247.3056</v>
      </c>
      <c r="C85" s="43">
        <f>C69</f>
        <v>22.09184</v>
      </c>
      <c r="D85" s="43">
        <f>D69</f>
        <v>129.86272</v>
      </c>
      <c r="E85" s="43">
        <f>E69</f>
        <v>10.71856</v>
      </c>
      <c r="F85" s="43">
        <f>F69</f>
        <v>7.9583200000000005</v>
      </c>
      <c r="G85" s="43"/>
      <c r="H85" s="43">
        <f>F85+G85</f>
        <v>7.9583200000000005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-1.104592</v>
      </c>
      <c r="D87" s="43">
        <f>-D86*D85</f>
        <v>-6.493136</v>
      </c>
      <c r="E87" s="43">
        <f>-E86*E85</f>
        <v>-0.5359280000000001</v>
      </c>
      <c r="F87" s="43">
        <f>-F86*F85</f>
        <v>-0.39791600000000005</v>
      </c>
      <c r="G87" s="43"/>
      <c r="H87" s="43">
        <f>F87+G87</f>
        <v>-0.39791600000000005</v>
      </c>
    </row>
    <row r="88" spans="1:8" ht="12.75">
      <c r="A88" s="15" t="s">
        <v>125</v>
      </c>
      <c r="B88" s="44">
        <f>B85+B87</f>
        <v>247.3056</v>
      </c>
      <c r="C88" s="44">
        <f>C85+C87</f>
        <v>20.987248</v>
      </c>
      <c r="D88" s="44">
        <f>D85+D87</f>
        <v>123.369584</v>
      </c>
      <c r="E88" s="44">
        <f>E85+E87</f>
        <v>10.182632</v>
      </c>
      <c r="F88" s="44">
        <f>F85+F87</f>
        <v>7.560404</v>
      </c>
      <c r="G88" s="44"/>
      <c r="H88" s="44">
        <f>F88+G88</f>
        <v>7.560404</v>
      </c>
    </row>
    <row r="89" spans="1:8" ht="12.75">
      <c r="A89" s="15" t="s">
        <v>127</v>
      </c>
      <c r="B89" s="45">
        <f>B70</f>
        <v>7.201058201058201</v>
      </c>
      <c r="C89" s="45">
        <f>C70</f>
        <v>1.0266093474426807</v>
      </c>
      <c r="D89" s="45">
        <f>D70</f>
        <v>1.7022486772486771</v>
      </c>
      <c r="E89" s="45">
        <f>E70</f>
        <v>0</v>
      </c>
      <c r="F89" s="45">
        <f>F70</f>
        <v>0.04292328042328042</v>
      </c>
      <c r="G89" s="45"/>
      <c r="H89" s="43">
        <f>F89+G89</f>
        <v>0.04292328042328042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7.201058201058201</v>
      </c>
      <c r="C92" s="44">
        <f>C89+C91</f>
        <v>1.0266093474426807</v>
      </c>
      <c r="D92" s="44">
        <f>D89+D91</f>
        <v>1.7022486772486771</v>
      </c>
      <c r="E92" s="44">
        <f>E89+E91</f>
        <v>0</v>
      </c>
      <c r="F92" s="44">
        <f>F89+F91</f>
        <v>0.04292328042328042</v>
      </c>
      <c r="G92" s="44"/>
      <c r="H92" s="44">
        <f>F92+G92</f>
        <v>0.04292328042328042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40.00718810152328</v>
      </c>
      <c r="H93" s="43">
        <f>F93+G93</f>
        <v>40.00718810152328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-6.401150096243725</v>
      </c>
      <c r="H95" s="43">
        <f>F95+G95</f>
        <v>-6.401150096243725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33.60603800527956</v>
      </c>
      <c r="H96" s="44">
        <f>F96+G96</f>
        <v>33.60603800527956</v>
      </c>
    </row>
    <row r="97" spans="1:8" ht="12.75">
      <c r="A97" s="15" t="s">
        <v>96</v>
      </c>
      <c r="B97" s="43"/>
      <c r="C97" s="43">
        <f>C72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254.5066582010582</v>
      </c>
      <c r="C105" s="44">
        <f t="shared" si="6"/>
        <v>22.01385734744268</v>
      </c>
      <c r="D105" s="44">
        <f t="shared" si="6"/>
        <v>125.07183267724868</v>
      </c>
      <c r="E105" s="44">
        <f t="shared" si="6"/>
        <v>10.182632</v>
      </c>
      <c r="F105" s="44">
        <f t="shared" si="6"/>
        <v>7.60332728042328</v>
      </c>
      <c r="G105" s="44">
        <f t="shared" si="6"/>
        <v>33.60603800527956</v>
      </c>
      <c r="H105" s="44">
        <f>H88+H96+H100+H104</f>
        <v>41.166442005279556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>B76</f>
        <v>150.0299823633157</v>
      </c>
      <c r="C110" s="44">
        <f aca="true" t="shared" si="7" ref="C110:H110">C76</f>
        <v>20.212081128747794</v>
      </c>
      <c r="D110" s="44">
        <f t="shared" si="7"/>
        <v>44.41137566137566</v>
      </c>
      <c r="E110" s="44">
        <f t="shared" si="7"/>
        <v>0</v>
      </c>
      <c r="F110" s="44">
        <f t="shared" si="7"/>
        <v>1.7169312169312168</v>
      </c>
      <c r="G110" s="44">
        <f t="shared" si="7"/>
        <v>89.41900525793463</v>
      </c>
      <c r="H110" s="44">
        <f t="shared" si="7"/>
        <v>91.13593647486584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150.0299823633157</v>
      </c>
      <c r="C113" s="44">
        <f t="shared" si="9"/>
        <v>20.212081128747794</v>
      </c>
      <c r="D113" s="44">
        <f t="shared" si="9"/>
        <v>44.41137566137566</v>
      </c>
      <c r="E113" s="44">
        <f t="shared" si="9"/>
        <v>0</v>
      </c>
      <c r="F113" s="44">
        <f t="shared" si="9"/>
        <v>1.7169312169312168</v>
      </c>
      <c r="G113" s="44">
        <f t="shared" si="9"/>
        <v>89.41900525793463</v>
      </c>
      <c r="H113" s="44">
        <f>F113+G113</f>
        <v>91.13593647486584</v>
      </c>
    </row>
    <row r="114" spans="1:8" ht="12.75">
      <c r="A114" s="15" t="s">
        <v>168</v>
      </c>
      <c r="B114" s="44">
        <f>B113+B109</f>
        <v>150.0299823633157</v>
      </c>
      <c r="C114" s="44">
        <f aca="true" t="shared" si="10" ref="C114:H114">C113+C109</f>
        <v>20.212081128747794</v>
      </c>
      <c r="D114" s="44">
        <f t="shared" si="10"/>
        <v>44.41137566137566</v>
      </c>
      <c r="E114" s="44">
        <f t="shared" si="10"/>
        <v>0</v>
      </c>
      <c r="F114" s="44">
        <f t="shared" si="10"/>
        <v>1.7169312169312168</v>
      </c>
      <c r="G114" s="44">
        <f t="shared" si="10"/>
        <v>89.41900525793463</v>
      </c>
      <c r="H114" s="44">
        <f t="shared" si="10"/>
        <v>91.13593647486584</v>
      </c>
    </row>
    <row r="115" spans="1:8" ht="12.75">
      <c r="A115" s="15" t="s">
        <v>24</v>
      </c>
      <c r="B115" s="44">
        <f>B105+B114</f>
        <v>404.5366405643739</v>
      </c>
      <c r="C115" s="44">
        <f aca="true" t="shared" si="11" ref="C115:H115">C105+C114</f>
        <v>42.22593847619048</v>
      </c>
      <c r="D115" s="44">
        <f t="shared" si="11"/>
        <v>169.48320833862434</v>
      </c>
      <c r="E115" s="44">
        <f t="shared" si="11"/>
        <v>10.182632</v>
      </c>
      <c r="F115" s="44">
        <f t="shared" si="11"/>
        <v>9.320258497354498</v>
      </c>
      <c r="G115" s="44">
        <f t="shared" si="11"/>
        <v>123.02504326321419</v>
      </c>
      <c r="H115" s="44">
        <f t="shared" si="11"/>
        <v>132.3023784801454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40:F40"/>
    <mergeCell ref="A26:D26"/>
    <mergeCell ref="A27:D27"/>
    <mergeCell ref="A3:L3"/>
    <mergeCell ref="A4:L4"/>
    <mergeCell ref="A39:F39"/>
    <mergeCell ref="A45:G45"/>
    <mergeCell ref="A46:G46"/>
    <mergeCell ref="A82:H82"/>
    <mergeCell ref="A83:H83"/>
    <mergeCell ref="A51:L51"/>
    <mergeCell ref="A52:L52"/>
    <mergeCell ref="A66:H66"/>
    <mergeCell ref="A67:H67"/>
  </mergeCells>
  <printOptions horizontalCentered="1"/>
  <pageMargins left="0.75" right="0.75" top="1" bottom="1" header="0.5" footer="0.5"/>
  <pageSetup fitToHeight="20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N116"/>
  <sheetViews>
    <sheetView zoomScalePageLayoutView="0" workbookViewId="0" topLeftCell="A3">
      <selection activeCell="A3" sqref="A3:L3"/>
    </sheetView>
  </sheetViews>
  <sheetFormatPr defaultColWidth="9.140625" defaultRowHeight="12.75"/>
  <cols>
    <col min="1" max="1" width="37.57421875" style="0" bestFit="1" customWidth="1"/>
    <col min="2" max="2" width="8.57421875" style="0" customWidth="1"/>
    <col min="3" max="3" width="10.7109375" style="0" customWidth="1"/>
    <col min="4" max="4" width="9.7109375" style="0" customWidth="1"/>
    <col min="6" max="6" width="9.5742187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174</v>
      </c>
    </row>
    <row r="2" ht="12.75" hidden="1">
      <c r="A2" s="52">
        <v>11</v>
      </c>
    </row>
    <row r="3" spans="1:12" ht="12.75">
      <c r="A3" s="87" t="str">
        <f>"Table "&amp;A$2&amp;"-A"</f>
        <v>Table 11-A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HGS Equipment Installation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169</v>
      </c>
      <c r="B14" s="2">
        <v>6</v>
      </c>
      <c r="C14" s="2">
        <v>16</v>
      </c>
      <c r="D14" s="2">
        <f>B14*C14</f>
        <v>96</v>
      </c>
      <c r="E14" s="2">
        <v>4</v>
      </c>
      <c r="F14" s="2">
        <f>B14*E14</f>
        <v>24</v>
      </c>
      <c r="G14" s="42">
        <f>$D14*VLOOKUP($A14,'Const. Equip. Emission Factors'!$A$5:$N$25,10,FALSE)</f>
        <v>49.2024</v>
      </c>
      <c r="H14" s="42">
        <f>$D14*VLOOKUP($A14,'Const. Equip. Emission Factors'!$A$5:$N$25,11,FALSE)</f>
        <v>11.3544</v>
      </c>
      <c r="I14" s="42">
        <f>$D14*VLOOKUP($A14,'Const. Equip. Emission Factors'!$A$5:$N$25,12,FALSE)</f>
        <v>117.3288</v>
      </c>
      <c r="J14" s="42">
        <f>$D14*VLOOKUP($A14,'Const. Equip. Emission Factors'!$A$5:$N$25,13,FALSE)</f>
        <v>7.5696</v>
      </c>
      <c r="K14" s="42">
        <f>$D14*VLOOKUP($A14,'Const. Equip. Emission Factors'!$A$5:$N$25,14,FALSE)</f>
        <v>5.6772</v>
      </c>
      <c r="L14" s="43">
        <f>VLOOKUP(A14,'Const. Equip. Emission Factors'!$A$5:$P$23,16,FALSE)*D14</f>
        <v>189.24000000000004</v>
      </c>
    </row>
    <row r="15" spans="1:12" ht="12.75">
      <c r="A15" s="4" t="s">
        <v>283</v>
      </c>
      <c r="B15" s="2">
        <v>2</v>
      </c>
      <c r="C15" s="2">
        <v>16</v>
      </c>
      <c r="D15" s="2">
        <f>B15*C15</f>
        <v>32</v>
      </c>
      <c r="E15" s="2">
        <v>4</v>
      </c>
      <c r="F15" s="2">
        <f>B15*E15</f>
        <v>8</v>
      </c>
      <c r="G15" s="42">
        <f>$D15*VLOOKUP($A15,'Const. Equip. Emission Factors'!$A$5:$N$25,10,FALSE)</f>
        <v>17.6328</v>
      </c>
      <c r="H15" s="42">
        <f>$D15*VLOOKUP($A15,'Const. Equip. Emission Factors'!$A$5:$N$25,11,FALSE)</f>
        <v>3.52656</v>
      </c>
      <c r="I15" s="42">
        <f>$D15*VLOOKUP($A15,'Const. Equip. Emission Factors'!$A$5:$N$25,12,FALSE)</f>
        <v>25.861439999999998</v>
      </c>
      <c r="J15" s="42">
        <f>$D15*VLOOKUP($A15,'Const. Equip. Emission Factors'!$A$5:$N$25,13,FALSE)</f>
        <v>2.3510400000000002</v>
      </c>
      <c r="K15" s="42">
        <f>$D15*VLOOKUP($A15,'Const. Equip. Emission Factors'!$A$5:$N$25,14,FALSE)</f>
        <v>1.1755200000000001</v>
      </c>
      <c r="L15" s="43">
        <f>VLOOKUP(A15,'Const. Equip. Emission Factors'!$A$5:$P$23,16,FALSE)*D15</f>
        <v>58.776</v>
      </c>
    </row>
    <row r="16" spans="1:12" ht="12.75">
      <c r="A16" s="4" t="s">
        <v>284</v>
      </c>
      <c r="B16" s="2"/>
      <c r="C16" s="2"/>
      <c r="D16" s="2"/>
      <c r="E16" s="2"/>
      <c r="F16" s="2"/>
      <c r="G16" s="42"/>
      <c r="H16" s="42"/>
      <c r="I16" s="42"/>
      <c r="J16" s="42"/>
      <c r="K16" s="42"/>
      <c r="L16" s="43"/>
    </row>
    <row r="17" spans="1:12" ht="12.75">
      <c r="A17" s="4" t="s">
        <v>289</v>
      </c>
      <c r="B17" s="2"/>
      <c r="C17" s="2"/>
      <c r="D17" s="2"/>
      <c r="E17" s="2"/>
      <c r="F17" s="2"/>
      <c r="G17" s="42"/>
      <c r="H17" s="42"/>
      <c r="I17" s="42"/>
      <c r="J17" s="42"/>
      <c r="K17" s="42"/>
      <c r="L17" s="43"/>
    </row>
    <row r="18" spans="1:12" ht="12.75">
      <c r="A18" s="4" t="s">
        <v>285</v>
      </c>
      <c r="B18" s="2">
        <v>20</v>
      </c>
      <c r="C18" s="2">
        <v>12</v>
      </c>
      <c r="D18" s="2">
        <f>B18*C18</f>
        <v>240</v>
      </c>
      <c r="E18" s="2" t="s">
        <v>84</v>
      </c>
      <c r="F18" s="2" t="str">
        <f>IF(E18&lt;&gt;"N/A",B18*E18,"N/A")</f>
        <v>N/A</v>
      </c>
      <c r="G18" s="42">
        <f>$D18*VLOOKUP($A18,'Const. Equip. Emission Factors'!$A$5:$N$25,10,FALSE)</f>
        <v>40.4736</v>
      </c>
      <c r="H18" s="42">
        <f>$D18*VLOOKUP($A18,'Const. Equip. Emission Factors'!$A$5:$N$25,11,FALSE)</f>
        <v>6.07104</v>
      </c>
      <c r="I18" s="42">
        <f>$D18*VLOOKUP($A18,'Const. Equip. Emission Factors'!$A$5:$N$25,12,FALSE)</f>
        <v>48.56832</v>
      </c>
      <c r="J18" s="42">
        <f>$D18*VLOOKUP($A18,'Const. Equip. Emission Factors'!$A$5:$N$25,13,FALSE)</f>
        <v>4.04736</v>
      </c>
      <c r="K18" s="42">
        <f>$D18*VLOOKUP($A18,'Const. Equip. Emission Factors'!$A$5:$N$25,14,FALSE)</f>
        <v>3.03552</v>
      </c>
      <c r="L18" s="43">
        <f>VLOOKUP(A18,'Const. Equip. Emission Factors'!$A$5:$P$23,16,FALSE)*D18</f>
        <v>101.18400000000001</v>
      </c>
    </row>
    <row r="19" spans="1:12" ht="12.75">
      <c r="A19" s="4" t="s">
        <v>364</v>
      </c>
      <c r="B19" s="2">
        <v>2</v>
      </c>
      <c r="C19" s="2">
        <v>16</v>
      </c>
      <c r="D19" s="2">
        <f>B19*C19</f>
        <v>32</v>
      </c>
      <c r="E19" s="2" t="s">
        <v>84</v>
      </c>
      <c r="F19" s="2" t="str">
        <f>IF(E19&lt;&gt;"N/A",B19*E19,"N/A")</f>
        <v>N/A</v>
      </c>
      <c r="G19" s="42">
        <f>$D19*VLOOKUP($A19,'Const. Equip. Emission Factors'!$A$5:$N$25,10,FALSE)</f>
        <v>6.251519999999999</v>
      </c>
      <c r="H19" s="42">
        <f>$D19*VLOOKUP($A19,'Const. Equip. Emission Factors'!$A$5:$N$25,11,FALSE)</f>
        <v>1.13664</v>
      </c>
      <c r="I19" s="42">
        <f>$D19*VLOOKUP($A19,'Const. Equip. Emission Factors'!$A$5:$N$25,12,FALSE)</f>
        <v>10.229759999999999</v>
      </c>
      <c r="J19" s="42">
        <f>$D19*VLOOKUP($A19,'Const. Equip. Emission Factors'!$A$5:$N$25,13,FALSE)</f>
        <v>1.13664</v>
      </c>
      <c r="K19" s="42">
        <f>$D19*VLOOKUP($A19,'Const. Equip. Emission Factors'!$A$5:$N$25,14,FALSE)</f>
        <v>0.56832</v>
      </c>
      <c r="L19" s="43">
        <f>VLOOKUP(A19,'Const. Equip. Emission Factors'!$A$5:$P$23,16,FALSE)*D19</f>
        <v>28.416000000000004</v>
      </c>
    </row>
    <row r="20" spans="1:12" ht="12.75">
      <c r="A20" s="4" t="s">
        <v>286</v>
      </c>
      <c r="B20" s="2"/>
      <c r="C20" s="2"/>
      <c r="D20" s="2"/>
      <c r="E20" s="2"/>
      <c r="F20" s="2"/>
      <c r="G20" s="42"/>
      <c r="H20" s="42"/>
      <c r="I20" s="42"/>
      <c r="J20" s="42"/>
      <c r="K20" s="42"/>
      <c r="L20" s="43"/>
    </row>
    <row r="21" spans="1:12" ht="12.75">
      <c r="A21" s="4" t="s">
        <v>287</v>
      </c>
      <c r="B21" s="2">
        <v>1</v>
      </c>
      <c r="C21" s="2">
        <v>16</v>
      </c>
      <c r="D21" s="2">
        <f>B21*C21</f>
        <v>16</v>
      </c>
      <c r="E21" s="2" t="s">
        <v>84</v>
      </c>
      <c r="F21" s="2" t="str">
        <f>IF(E21&lt;&gt;"N/A",B21*E21,"N/A")</f>
        <v>N/A</v>
      </c>
      <c r="G21" s="42">
        <f>$D21*VLOOKUP($A21,'Const. Equip. Emission Factors'!$A$5:$N$25,10,FALSE)</f>
        <v>13.344000000000001</v>
      </c>
      <c r="H21" s="42">
        <f>$D21*VLOOKUP($A21,'Const. Equip. Emission Factors'!$A$5:$N$25,11,FALSE)</f>
        <v>2.0016</v>
      </c>
      <c r="I21" s="42">
        <f>$D21*VLOOKUP($A21,'Const. Equip. Emission Factors'!$A$5:$N$25,12,FALSE)</f>
        <v>14.6784</v>
      </c>
      <c r="J21" s="42">
        <f>$D21*VLOOKUP($A21,'Const. Equip. Emission Factors'!$A$5:$N$25,13,FALSE)</f>
        <v>1.3344</v>
      </c>
      <c r="K21" s="42">
        <f>$D21*VLOOKUP($A21,'Const. Equip. Emission Factors'!$A$5:$N$25,14,FALSE)</f>
        <v>1.0008</v>
      </c>
      <c r="L21" s="43">
        <f>VLOOKUP(A21,'Const. Equip. Emission Factors'!$A$5:$P$23,16,FALSE)*D21</f>
        <v>33.36</v>
      </c>
    </row>
    <row r="22" spans="1:12" ht="12.75">
      <c r="A22" s="4" t="s">
        <v>288</v>
      </c>
      <c r="B22" s="2">
        <v>1</v>
      </c>
      <c r="C22" s="2">
        <v>16</v>
      </c>
      <c r="D22" s="2">
        <f>B22*C22</f>
        <v>16</v>
      </c>
      <c r="E22" s="2" t="s">
        <v>84</v>
      </c>
      <c r="F22" s="2" t="str">
        <f>IF(E22&lt;&gt;"N/A",B22*E22,"N/A")</f>
        <v>N/A</v>
      </c>
      <c r="G22" s="42">
        <f>$D22*VLOOKUP($A22,'Const. Equip. Emission Factors'!$A$5:$N$25,10,FALSE)</f>
        <v>0.4928</v>
      </c>
      <c r="H22" s="42">
        <f>$D22*VLOOKUP($A22,'Const. Equip. Emission Factors'!$A$5:$N$25,11,FALSE)</f>
        <v>0.1408</v>
      </c>
      <c r="I22" s="42">
        <f>$D22*VLOOKUP($A22,'Const. Equip. Emission Factors'!$A$5:$N$25,12,FALSE)</f>
        <v>1.4080000000000001</v>
      </c>
      <c r="J22" s="42">
        <f>$D22*VLOOKUP($A22,'Const. Equip. Emission Factors'!$A$5:$N$25,13,FALSE)</f>
        <v>0.1408</v>
      </c>
      <c r="K22" s="42">
        <f>$D22*VLOOKUP($A22,'Const. Equip. Emission Factors'!$A$5:$N$25,14,FALSE)</f>
        <v>0.0704</v>
      </c>
      <c r="L22" s="43">
        <f>VLOOKUP(A22,'Const. Equip. Emission Factors'!$A$5:$P$23,16,FALSE)*D22</f>
        <v>3.52</v>
      </c>
    </row>
    <row r="23" spans="1:12" ht="12.75">
      <c r="A23" s="4" t="s">
        <v>27</v>
      </c>
      <c r="B23" s="2">
        <v>4</v>
      </c>
      <c r="C23" s="2">
        <v>16</v>
      </c>
      <c r="D23" s="2">
        <f>B23*C23</f>
        <v>64</v>
      </c>
      <c r="E23" s="2" t="s">
        <v>84</v>
      </c>
      <c r="F23" s="2" t="s">
        <v>84</v>
      </c>
      <c r="G23" s="42">
        <f>$D23*VLOOKUP($A23,'Const. Equip. Emission Factors'!$A$5:$N$25,10,FALSE)</f>
        <v>48.04991999999999</v>
      </c>
      <c r="H23" s="42">
        <f>$D23*VLOOKUP($A23,'Const. Equip. Emission Factors'!$A$5:$N$25,11,FALSE)</f>
        <v>16.01664</v>
      </c>
      <c r="I23" s="42">
        <f>$D23*VLOOKUP($A23,'Const. Equip. Emission Factors'!$A$5:$N$25,12,FALSE)</f>
        <v>122.79423999999999</v>
      </c>
      <c r="J23" s="42">
        <f>$D23*VLOOKUP($A23,'Const. Equip. Emission Factors'!$A$5:$N$25,13,FALSE)</f>
        <v>10.677760000000001</v>
      </c>
      <c r="K23" s="42">
        <f>$D23*VLOOKUP($A23,'Const. Equip. Emission Factors'!$A$5:$N$25,14,FALSE)</f>
        <v>8.00832</v>
      </c>
      <c r="L23" s="43">
        <f>VLOOKUP(A23,'Const. Equip. Emission Factors'!$A$5:$P$23,16,FALSE)*D23</f>
        <v>266.944</v>
      </c>
    </row>
    <row r="24" spans="1:12" ht="12.75">
      <c r="A24" s="15" t="s">
        <v>24</v>
      </c>
      <c r="B24" s="18"/>
      <c r="C24" s="18"/>
      <c r="D24" s="18"/>
      <c r="E24" s="18"/>
      <c r="F24" s="18"/>
      <c r="G24" s="46">
        <f aca="true" t="shared" si="0" ref="G24:L24">SUM(G6:G23)</f>
        <v>175.44704</v>
      </c>
      <c r="H24" s="46">
        <f t="shared" si="0"/>
        <v>40.247679999999995</v>
      </c>
      <c r="I24" s="46">
        <f t="shared" si="0"/>
        <v>340.86895999999996</v>
      </c>
      <c r="J24" s="46">
        <f t="shared" si="0"/>
        <v>27.257599999999996</v>
      </c>
      <c r="K24" s="46">
        <f t="shared" si="0"/>
        <v>19.53608</v>
      </c>
      <c r="L24" s="46">
        <f t="shared" si="0"/>
        <v>681.44</v>
      </c>
    </row>
    <row r="26" spans="1:4" ht="12.75">
      <c r="A26" s="87" t="str">
        <f>"Table "&amp;A$2&amp;"-B"</f>
        <v>Table 11-B</v>
      </c>
      <c r="B26" s="87"/>
      <c r="C26" s="87"/>
      <c r="D26" s="87"/>
    </row>
    <row r="27" spans="1:4" ht="12.75">
      <c r="A27" s="85" t="str">
        <f>A$1&amp;" Fugitive Dust Emissions (Pre-Mitigation)"</f>
        <v>HGS Equipment Installation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SUM(F6:F23)-F8+E55+E56+E57+E58</f>
        <v>42</v>
      </c>
      <c r="C31" s="2" t="s">
        <v>46</v>
      </c>
      <c r="D31" s="43">
        <f>B31*'Fug. Dust Emission Factors'!C50</f>
        <v>12.758637304056215</v>
      </c>
    </row>
    <row r="32" spans="1:4" ht="12.75">
      <c r="A32" s="4" t="s">
        <v>110</v>
      </c>
      <c r="B32" s="14">
        <f>E54</f>
        <v>20</v>
      </c>
      <c r="C32" s="2" t="s">
        <v>46</v>
      </c>
      <c r="D32" s="43">
        <f>B32*'Fug. Dust Emission Factors'!C65</f>
        <v>5.996508901095822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2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0</v>
      </c>
      <c r="C35" s="2" t="s">
        <v>166</v>
      </c>
      <c r="D35" s="43">
        <f>B35*'Fug. Dust Emission Factors'!C129</f>
        <v>0</v>
      </c>
    </row>
    <row r="36" spans="1:4" ht="12.75">
      <c r="A36" s="15" t="s">
        <v>24</v>
      </c>
      <c r="B36" s="4"/>
      <c r="C36" s="4"/>
      <c r="D36" s="44">
        <f>SUM(D29:D35)</f>
        <v>18.755146205152037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11-C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HGS Equipment Installation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11-D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HGS Equipment Installation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100</v>
      </c>
      <c r="B47" s="2">
        <v>10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35</v>
      </c>
      <c r="C49" s="33"/>
      <c r="D49" s="31"/>
      <c r="E49" s="31"/>
      <c r="F49" s="31"/>
      <c r="G49" s="32"/>
    </row>
    <row r="50" ht="12.75">
      <c r="A50" s="39" t="s">
        <v>278</v>
      </c>
    </row>
    <row r="51" spans="1:12" ht="12.75">
      <c r="A51" s="87" t="str">
        <f>"Table "&amp;A$2&amp;"-E"</f>
        <v>Table 11-E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HGS Equipment Installation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10</v>
      </c>
      <c r="C54" s="2">
        <v>2</v>
      </c>
      <c r="D54" s="2">
        <v>4</v>
      </c>
      <c r="E54" s="14">
        <f>B54*C54</f>
        <v>20</v>
      </c>
      <c r="F54" s="14">
        <f>B54*D54</f>
        <v>40</v>
      </c>
      <c r="G54" s="42">
        <f>(E54*VLOOKUP(A54,'Motor Vehicle Emission Factors'!$A$6:$T$42,7,FALSE)+F54*VLOOKUP(A54,'Motor Vehicle Emission Factors'!$A$6:$T$42,8,FALSE))/453.6</f>
        <v>3.797178130511464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0.6300264550264549</v>
      </c>
      <c r="I54" s="42">
        <f>(E54*VLOOKUP(A54,'Motor Vehicle Emission Factors'!$A$6:$T$42,15,FALSE)+F54*VLOOKUP(A54,'Motor Vehicle Emission Factors'!$A$6:$T$42,16,FALSE))/453.6</f>
        <v>0.3196649029982363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0.0004409171075837742</v>
      </c>
      <c r="L54" s="42">
        <f>J54+K54</f>
        <v>0.0004409171075837742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10</v>
      </c>
      <c r="C58" s="2">
        <v>1</v>
      </c>
      <c r="D58" s="2">
        <v>2</v>
      </c>
      <c r="E58" s="14">
        <f>B58*C58</f>
        <v>10</v>
      </c>
      <c r="F58" s="14">
        <f>B58*D58</f>
        <v>20</v>
      </c>
      <c r="G58" s="42">
        <f>(E58*VLOOKUP(A58,'Motor Vehicle Emission Factors'!$A$6:$T$42,7,FALSE)+F58*VLOOKUP(A58,'Motor Vehicle Emission Factors'!$A$6:$T$42,8,FALSE))/453.6</f>
        <v>0.7407407407407407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0.07694003527336861</v>
      </c>
      <c r="I58" s="42">
        <f>(E58*VLOOKUP(A58,'Motor Vehicle Emission Factors'!$A$6:$T$42,15,FALSE)+F58*VLOOKUP(A58,'Motor Vehicle Emission Factors'!$A$6:$T$42,16,FALSE))/453.6</f>
        <v>0.34788359788359785</v>
      </c>
      <c r="J58" s="42">
        <f>E58*VLOOKUP(A58,'Motor Vehicle Emission Factors'!$A$6:$T$42,17,FALSE)/453.6</f>
        <v>0.013007054673721338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0.0002204585537918871</v>
      </c>
      <c r="L58" s="42">
        <f>J58+K58</f>
        <v>0.013227513227513225</v>
      </c>
    </row>
    <row r="59" spans="1:12" ht="12.75">
      <c r="A59" s="4" t="s">
        <v>105</v>
      </c>
      <c r="B59" s="2">
        <v>400</v>
      </c>
      <c r="C59" s="2">
        <v>40</v>
      </c>
      <c r="D59" s="2">
        <v>2</v>
      </c>
      <c r="E59" s="14">
        <f>B59*C59</f>
        <v>16000</v>
      </c>
      <c r="F59" s="14">
        <f>B59*D59</f>
        <v>800</v>
      </c>
      <c r="G59" s="42">
        <f>(E59*VLOOKUP(A59,'Motor Vehicle Emission Factors'!$A$6:$T$42,7,FALSE)+F59*VLOOKUP(A59,'Motor Vehicle Emission Factors'!$A$6:$T$42,8,FALSE))/453.6</f>
        <v>193.58024691358023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25.308641975308642</v>
      </c>
      <c r="I59" s="42">
        <f>(E59*VLOOKUP(A59,'Motor Vehicle Emission Factors'!$A$6:$T$42,15,FALSE)+F59*VLOOKUP(A59,'Motor Vehicle Emission Factors'!$A$6:$T$42,16,FALSE))/453.6</f>
        <v>27.989417989417987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19.84368940558697</v>
      </c>
      <c r="L59" s="42">
        <f>J59+K59</f>
        <v>19.84368940558697</v>
      </c>
    </row>
    <row r="60" spans="1:12" ht="12.75">
      <c r="A60" s="4" t="s">
        <v>129</v>
      </c>
      <c r="B60" s="2">
        <v>10</v>
      </c>
      <c r="C60" s="2">
        <v>40</v>
      </c>
      <c r="D60" s="2">
        <v>2</v>
      </c>
      <c r="E60" s="14">
        <f>B60*C60</f>
        <v>400</v>
      </c>
      <c r="F60" s="14">
        <f>B60*D60</f>
        <v>20</v>
      </c>
      <c r="G60" s="42">
        <f>(E60*VLOOKUP(A60,'Motor Vehicle Emission Factors'!$A$6:$T$42,7,FALSE)+F60*VLOOKUP(A60,'Motor Vehicle Emission Factors'!$A$6:$T$42,8,FALSE))/453.6</f>
        <v>8.800705467372133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1.3315696649029982</v>
      </c>
      <c r="I60" s="42">
        <f>(E60*VLOOKUP(A60,'Motor Vehicle Emission Factors'!$A$6:$T$42,15,FALSE)+F60*VLOOKUP(A60,'Motor Vehicle Emission Factors'!$A$6:$T$42,16,FALSE))/453.6</f>
        <v>8.156966490299823</v>
      </c>
      <c r="J60" s="42">
        <f>E60*VLOOKUP(A60,'Motor Vehicle Emission Factors'!$A$6:$T$42,17,FALSE)/453.6</f>
        <v>0.5202821869488536</v>
      </c>
      <c r="K60" s="42">
        <f>E60*(VLOOKUP(A60,'Motor Vehicle Emission Factors'!$A$6:$T$42,18,FALSE)+VLOOKUP(A60,'Motor Vehicle Emission Factors'!$A$6:$T$42,19,FALSE)+VLOOKUP(A60,'Motor Vehicle Emission Factors'!$A$6:$T$42,20,FALSE))/453.6</f>
        <v>23.3383937513463</v>
      </c>
      <c r="L60" s="42">
        <f>J60+K60</f>
        <v>23.858675938295153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206.91887125220455</v>
      </c>
      <c r="H62" s="46">
        <f t="shared" si="1"/>
        <v>27.347178130511463</v>
      </c>
      <c r="I62" s="46">
        <f t="shared" si="1"/>
        <v>36.813932980599645</v>
      </c>
      <c r="J62" s="46">
        <f t="shared" si="1"/>
        <v>0.533289241622575</v>
      </c>
      <c r="K62" s="46">
        <f t="shared" si="1"/>
        <v>43.18274453259465</v>
      </c>
      <c r="L62" s="46">
        <f t="shared" si="1"/>
        <v>43.71603377421722</v>
      </c>
      <c r="M62" s="71">
        <f>E54+E59</f>
        <v>16020</v>
      </c>
      <c r="N62" s="71">
        <f>SUM(E54:E61)-M62</f>
        <v>410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11-F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HGS Equipment Installation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G24</f>
        <v>175.44704</v>
      </c>
      <c r="C69" s="43">
        <f>H24</f>
        <v>40.247679999999995</v>
      </c>
      <c r="D69" s="43">
        <f>I24</f>
        <v>340.86895999999996</v>
      </c>
      <c r="E69" s="43">
        <f>J24</f>
        <v>27.257599999999996</v>
      </c>
      <c r="F69" s="43">
        <f>K24</f>
        <v>19.53608</v>
      </c>
      <c r="G69" s="43"/>
      <c r="H69" s="43">
        <f>F69+G69</f>
        <v>19.53608</v>
      </c>
    </row>
    <row r="70" spans="1:8" ht="12.75">
      <c r="A70" s="51" t="s">
        <v>127</v>
      </c>
      <c r="B70" s="43">
        <f>SUM(G54:G58)</f>
        <v>4.537918871252205</v>
      </c>
      <c r="C70" s="43">
        <f>SUM(H54:H58)</f>
        <v>0.7069664902998235</v>
      </c>
      <c r="D70" s="43">
        <f>SUM(I54:I58)</f>
        <v>0.6675485008818342</v>
      </c>
      <c r="E70" s="43">
        <v>0</v>
      </c>
      <c r="F70" s="43">
        <f>SUM(J54:J58)</f>
        <v>0.013007054673721338</v>
      </c>
      <c r="G70" s="43"/>
      <c r="H70" s="43">
        <f aca="true" t="shared" si="2" ref="H70:H76">F70+G70</f>
        <v>0.013007054673721338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18.755146205152037</v>
      </c>
      <c r="H71" s="43">
        <f t="shared" si="2"/>
        <v>18.755146205152037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35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179.9849588712522</v>
      </c>
      <c r="C74" s="44">
        <f t="shared" si="3"/>
        <v>75.95464649029982</v>
      </c>
      <c r="D74" s="44">
        <f t="shared" si="3"/>
        <v>341.5365085008818</v>
      </c>
      <c r="E74" s="44">
        <f t="shared" si="3"/>
        <v>27.257599999999996</v>
      </c>
      <c r="F74" s="44">
        <f t="shared" si="3"/>
        <v>19.54908705467372</v>
      </c>
      <c r="G74" s="44">
        <f t="shared" si="3"/>
        <v>18.755146205152037</v>
      </c>
      <c r="H74" s="44">
        <f t="shared" si="2"/>
        <v>38.30423325982576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202.38095238095235</v>
      </c>
      <c r="C76" s="45">
        <f>SUM(H59:H61)</f>
        <v>26.64021164021164</v>
      </c>
      <c r="D76" s="45">
        <f>SUM(I59:I61)</f>
        <v>36.14638447971781</v>
      </c>
      <c r="E76" s="45">
        <v>0</v>
      </c>
      <c r="F76" s="45">
        <f>SUM(J59:J61)</f>
        <v>0.5202821869488536</v>
      </c>
      <c r="G76" s="45">
        <f>SUM(K59:K61)</f>
        <v>43.182083156933274</v>
      </c>
      <c r="H76" s="45">
        <f t="shared" si="2"/>
        <v>43.70236534388213</v>
      </c>
    </row>
    <row r="77" spans="1:8" ht="12.75">
      <c r="A77" s="15" t="s">
        <v>168</v>
      </c>
      <c r="B77" s="44">
        <f aca="true" t="shared" si="4" ref="B77:G77">SUM(B75:B76)</f>
        <v>202.38095238095235</v>
      </c>
      <c r="C77" s="44">
        <f t="shared" si="4"/>
        <v>26.64021164021164</v>
      </c>
      <c r="D77" s="44">
        <f t="shared" si="4"/>
        <v>36.14638447971781</v>
      </c>
      <c r="E77" s="44">
        <f t="shared" si="4"/>
        <v>0</v>
      </c>
      <c r="F77" s="44">
        <f t="shared" si="4"/>
        <v>0.5202821869488536</v>
      </c>
      <c r="G77" s="44">
        <f t="shared" si="4"/>
        <v>43.182083156933274</v>
      </c>
      <c r="H77" s="44">
        <f>F77+G77</f>
        <v>43.70236534388213</v>
      </c>
    </row>
    <row r="78" spans="1:8" ht="12.75">
      <c r="A78" s="15" t="s">
        <v>24</v>
      </c>
      <c r="B78" s="44">
        <f>B74+B77</f>
        <v>382.36591125220457</v>
      </c>
      <c r="C78" s="44">
        <f aca="true" t="shared" si="5" ref="C78:H78">C74+C77</f>
        <v>102.59485813051145</v>
      </c>
      <c r="D78" s="44">
        <f t="shared" si="5"/>
        <v>377.6828929805996</v>
      </c>
      <c r="E78" s="44">
        <f t="shared" si="5"/>
        <v>27.257599999999996</v>
      </c>
      <c r="F78" s="44">
        <f t="shared" si="5"/>
        <v>20.069369241622574</v>
      </c>
      <c r="G78" s="44">
        <f t="shared" si="5"/>
        <v>61.93722936208531</v>
      </c>
      <c r="H78" s="44">
        <f t="shared" si="5"/>
        <v>82.00659860370789</v>
      </c>
    </row>
    <row r="79" ht="12.75">
      <c r="A79" s="39" t="s">
        <v>132</v>
      </c>
    </row>
    <row r="80" ht="12.75">
      <c r="A80" s="39"/>
    </row>
    <row r="81" spans="1:8" ht="12.75">
      <c r="A81" s="87" t="str">
        <f>"Table "&amp;A$2&amp;"-G"</f>
        <v>Table 11-G</v>
      </c>
      <c r="B81" s="87"/>
      <c r="C81" s="87"/>
      <c r="D81" s="87"/>
      <c r="E81" s="87"/>
      <c r="F81" s="87"/>
      <c r="G81" s="87"/>
      <c r="H81" s="87"/>
    </row>
    <row r="82" spans="1:8" ht="12.75">
      <c r="A82" s="87" t="str">
        <f>A$1&amp;" Emissions Summary (Mitigated)"</f>
        <v>HGS Equipment Installation Emissions Summary (Mitigated)</v>
      </c>
      <c r="B82" s="87"/>
      <c r="C82" s="87"/>
      <c r="D82" s="87"/>
      <c r="E82" s="87"/>
      <c r="F82" s="87"/>
      <c r="G82" s="87"/>
      <c r="H82" s="87"/>
    </row>
    <row r="83" spans="1:8" ht="42">
      <c r="A83" s="2" t="s">
        <v>131</v>
      </c>
      <c r="B83" s="3" t="s">
        <v>193</v>
      </c>
      <c r="C83" s="3" t="s">
        <v>194</v>
      </c>
      <c r="D83" s="3" t="s">
        <v>199</v>
      </c>
      <c r="E83" s="3" t="s">
        <v>200</v>
      </c>
      <c r="F83" s="3" t="s">
        <v>208</v>
      </c>
      <c r="G83" s="3" t="s">
        <v>209</v>
      </c>
      <c r="H83" s="3" t="s">
        <v>210</v>
      </c>
    </row>
    <row r="84" spans="1:8" ht="12.75">
      <c r="A84" s="15" t="s">
        <v>94</v>
      </c>
      <c r="B84" s="43">
        <f>B69</f>
        <v>175.44704</v>
      </c>
      <c r="C84" s="43">
        <f>C69</f>
        <v>40.247679999999995</v>
      </c>
      <c r="D84" s="43">
        <f>D69</f>
        <v>340.86895999999996</v>
      </c>
      <c r="E84" s="43">
        <f>E69</f>
        <v>27.257599999999996</v>
      </c>
      <c r="F84" s="43">
        <f>F69</f>
        <v>19.53608</v>
      </c>
      <c r="G84" s="43"/>
      <c r="H84" s="43">
        <f>F84+G84</f>
        <v>19.53608</v>
      </c>
    </row>
    <row r="85" spans="1:8" ht="12.75">
      <c r="A85" s="4" t="s">
        <v>123</v>
      </c>
      <c r="B85" s="40">
        <v>0</v>
      </c>
      <c r="C85" s="40">
        <v>0.05</v>
      </c>
      <c r="D85" s="40">
        <v>0.05</v>
      </c>
      <c r="E85" s="40">
        <v>0.05</v>
      </c>
      <c r="F85" s="40">
        <v>0.05</v>
      </c>
      <c r="G85" s="40"/>
      <c r="H85" s="43"/>
    </row>
    <row r="86" spans="1:8" ht="12.75">
      <c r="A86" s="4" t="s">
        <v>124</v>
      </c>
      <c r="B86" s="43">
        <f>-B85*B84</f>
        <v>0</v>
      </c>
      <c r="C86" s="43">
        <f>-C85*C84</f>
        <v>-2.012384</v>
      </c>
      <c r="D86" s="43">
        <f>-D85*D84</f>
        <v>-17.043447999999998</v>
      </c>
      <c r="E86" s="43">
        <f>-E85*E84</f>
        <v>-1.3628799999999999</v>
      </c>
      <c r="F86" s="43">
        <f>-F85*F84</f>
        <v>-0.976804</v>
      </c>
      <c r="G86" s="43"/>
      <c r="H86" s="43">
        <f>F86+G86</f>
        <v>-0.976804</v>
      </c>
    </row>
    <row r="87" spans="1:8" ht="12.75">
      <c r="A87" s="15" t="s">
        <v>125</v>
      </c>
      <c r="B87" s="44">
        <f>B84+B86</f>
        <v>175.44704</v>
      </c>
      <c r="C87" s="44">
        <f>C84+C86</f>
        <v>38.235296</v>
      </c>
      <c r="D87" s="44">
        <f>D84+D86</f>
        <v>323.82551199999995</v>
      </c>
      <c r="E87" s="44">
        <f>E84+E86</f>
        <v>25.894719999999996</v>
      </c>
      <c r="F87" s="44">
        <f>F84+F86</f>
        <v>18.559275999999997</v>
      </c>
      <c r="G87" s="44"/>
      <c r="H87" s="44">
        <f>F87+G87</f>
        <v>18.559275999999997</v>
      </c>
    </row>
    <row r="88" spans="1:8" ht="12.75">
      <c r="A88" s="15" t="s">
        <v>127</v>
      </c>
      <c r="B88" s="45">
        <f>B70</f>
        <v>4.537918871252205</v>
      </c>
      <c r="C88" s="45">
        <f>C70</f>
        <v>0.7069664902998235</v>
      </c>
      <c r="D88" s="45">
        <f>D70</f>
        <v>0.6675485008818342</v>
      </c>
      <c r="E88" s="45">
        <f>E70</f>
        <v>0</v>
      </c>
      <c r="F88" s="45">
        <f>F70</f>
        <v>0.013007054673721338</v>
      </c>
      <c r="G88" s="45"/>
      <c r="H88" s="43">
        <f>F88+G88</f>
        <v>0.013007054673721338</v>
      </c>
    </row>
    <row r="89" spans="1:8" ht="12.75">
      <c r="A89" s="4" t="s">
        <v>123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/>
      <c r="H89" s="44"/>
    </row>
    <row r="90" spans="1:8" ht="12.75">
      <c r="A90" s="4" t="s">
        <v>124</v>
      </c>
      <c r="B90" s="43">
        <f>-B89*B88</f>
        <v>0</v>
      </c>
      <c r="C90" s="43">
        <f>-C89*C88</f>
        <v>0</v>
      </c>
      <c r="D90" s="43">
        <f>-D89*D88</f>
        <v>0</v>
      </c>
      <c r="E90" s="43">
        <f>-E89*E88</f>
        <v>0</v>
      </c>
      <c r="F90" s="43">
        <f>-F89*F88</f>
        <v>0</v>
      </c>
      <c r="G90" s="43"/>
      <c r="H90" s="43">
        <f>F90+G90</f>
        <v>0</v>
      </c>
    </row>
    <row r="91" spans="1:8" ht="12.75">
      <c r="A91" s="15" t="s">
        <v>125</v>
      </c>
      <c r="B91" s="44">
        <f>B88+B90</f>
        <v>4.537918871252205</v>
      </c>
      <c r="C91" s="44">
        <f>C88+C90</f>
        <v>0.7069664902998235</v>
      </c>
      <c r="D91" s="44">
        <f>D88+D90</f>
        <v>0.6675485008818342</v>
      </c>
      <c r="E91" s="44">
        <f>E88+E90</f>
        <v>0</v>
      </c>
      <c r="F91" s="44">
        <f>F88+F90</f>
        <v>0.013007054673721338</v>
      </c>
      <c r="G91" s="44"/>
      <c r="H91" s="44">
        <f>F91+G91</f>
        <v>0.013007054673721338</v>
      </c>
    </row>
    <row r="92" spans="1:8" ht="12.75">
      <c r="A92" s="15" t="s">
        <v>95</v>
      </c>
      <c r="B92" s="43"/>
      <c r="C92" s="43"/>
      <c r="D92" s="43"/>
      <c r="E92" s="43"/>
      <c r="F92" s="43"/>
      <c r="G92" s="43">
        <f>G71</f>
        <v>18.755146205152037</v>
      </c>
      <c r="H92" s="43">
        <f>F92+G92</f>
        <v>18.755146205152037</v>
      </c>
    </row>
    <row r="93" spans="1:8" ht="12.75">
      <c r="A93" s="4" t="s">
        <v>123</v>
      </c>
      <c r="B93" s="40"/>
      <c r="C93" s="40"/>
      <c r="D93" s="40"/>
      <c r="E93" s="40"/>
      <c r="F93" s="40"/>
      <c r="G93" s="40">
        <v>0.16</v>
      </c>
      <c r="H93" s="43"/>
    </row>
    <row r="94" spans="1:8" ht="12.75">
      <c r="A94" s="4" t="s">
        <v>124</v>
      </c>
      <c r="B94" s="43"/>
      <c r="C94" s="43"/>
      <c r="D94" s="43"/>
      <c r="E94" s="43"/>
      <c r="F94" s="43"/>
      <c r="G94" s="43">
        <f>-G93*G92</f>
        <v>-3.000823392824326</v>
      </c>
      <c r="H94" s="43">
        <f>F94+G94</f>
        <v>-3.000823392824326</v>
      </c>
    </row>
    <row r="95" spans="1:8" ht="12.75">
      <c r="A95" s="15" t="s">
        <v>125</v>
      </c>
      <c r="B95" s="44"/>
      <c r="C95" s="44"/>
      <c r="D95" s="44"/>
      <c r="E95" s="44"/>
      <c r="F95" s="44"/>
      <c r="G95" s="44">
        <f>G92+G94</f>
        <v>15.754322812327711</v>
      </c>
      <c r="H95" s="44">
        <f>F95+G95</f>
        <v>15.754322812327711</v>
      </c>
    </row>
    <row r="96" spans="1:8" ht="12.75">
      <c r="A96" s="15" t="s">
        <v>96</v>
      </c>
      <c r="B96" s="43"/>
      <c r="C96" s="43">
        <f>C72</f>
        <v>0</v>
      </c>
      <c r="D96" s="43"/>
      <c r="E96" s="43"/>
      <c r="F96" s="43"/>
      <c r="G96" s="43"/>
      <c r="H96" s="43"/>
    </row>
    <row r="97" spans="1:8" ht="12.75">
      <c r="A97" s="4" t="s">
        <v>123</v>
      </c>
      <c r="B97" s="40"/>
      <c r="C97" s="40">
        <v>0</v>
      </c>
      <c r="D97" s="40"/>
      <c r="E97" s="40"/>
      <c r="F97" s="40"/>
      <c r="G97" s="40"/>
      <c r="H97" s="43"/>
    </row>
    <row r="98" spans="1:8" ht="12.75">
      <c r="A98" s="4" t="s">
        <v>124</v>
      </c>
      <c r="B98" s="43"/>
      <c r="C98" s="43">
        <f>-C97*C96</f>
        <v>0</v>
      </c>
      <c r="D98" s="43"/>
      <c r="E98" s="43"/>
      <c r="F98" s="43"/>
      <c r="G98" s="43"/>
      <c r="H98" s="43"/>
    </row>
    <row r="99" spans="1:8" ht="12.75">
      <c r="A99" s="15" t="s">
        <v>125</v>
      </c>
      <c r="B99" s="44"/>
      <c r="C99" s="44">
        <f>C96+C98</f>
        <v>0</v>
      </c>
      <c r="D99" s="44"/>
      <c r="E99" s="44"/>
      <c r="F99" s="44"/>
      <c r="G99" s="44"/>
      <c r="H99" s="44"/>
    </row>
    <row r="100" spans="1:8" ht="12.75">
      <c r="A100" s="15" t="s">
        <v>97</v>
      </c>
      <c r="B100" s="43"/>
      <c r="C100" s="43">
        <f>C73</f>
        <v>35</v>
      </c>
      <c r="D100" s="43"/>
      <c r="E100" s="43"/>
      <c r="F100" s="43"/>
      <c r="G100" s="43"/>
      <c r="H100" s="43"/>
    </row>
    <row r="101" spans="1:8" ht="12.75">
      <c r="A101" s="4" t="s">
        <v>123</v>
      </c>
      <c r="B101" s="40"/>
      <c r="C101" s="40">
        <v>0</v>
      </c>
      <c r="D101" s="40"/>
      <c r="E101" s="40"/>
      <c r="F101" s="40"/>
      <c r="G101" s="40"/>
      <c r="H101" s="43"/>
    </row>
    <row r="102" spans="1:8" ht="12.75">
      <c r="A102" s="4" t="s">
        <v>124</v>
      </c>
      <c r="B102" s="43"/>
      <c r="C102" s="43">
        <f>-C101*C100</f>
        <v>0</v>
      </c>
      <c r="D102" s="43"/>
      <c r="E102" s="43"/>
      <c r="F102" s="43"/>
      <c r="G102" s="43"/>
      <c r="H102" s="43"/>
    </row>
    <row r="103" spans="1:8" ht="12.75">
      <c r="A103" s="15" t="s">
        <v>125</v>
      </c>
      <c r="B103" s="44"/>
      <c r="C103" s="44">
        <f>C100+C102</f>
        <v>35</v>
      </c>
      <c r="D103" s="44"/>
      <c r="E103" s="44"/>
      <c r="F103" s="44"/>
      <c r="G103" s="44"/>
      <c r="H103" s="44"/>
    </row>
    <row r="104" spans="1:8" ht="12.75">
      <c r="A104" s="15" t="s">
        <v>98</v>
      </c>
      <c r="B104" s="44">
        <f aca="true" t="shared" si="6" ref="B104:G104">B87+B91+B95+B99+B103</f>
        <v>179.9849588712522</v>
      </c>
      <c r="C104" s="44">
        <f t="shared" si="6"/>
        <v>73.94226249029983</v>
      </c>
      <c r="D104" s="44">
        <f t="shared" si="6"/>
        <v>324.49306050088177</v>
      </c>
      <c r="E104" s="44">
        <f t="shared" si="6"/>
        <v>25.894719999999996</v>
      </c>
      <c r="F104" s="44">
        <f t="shared" si="6"/>
        <v>18.57228305467372</v>
      </c>
      <c r="G104" s="44">
        <f t="shared" si="6"/>
        <v>15.754322812327711</v>
      </c>
      <c r="H104" s="44">
        <f>H87+H95+H99+H103</f>
        <v>34.31359881232771</v>
      </c>
    </row>
    <row r="105" spans="1:8" ht="15">
      <c r="A105" s="15" t="s">
        <v>227</v>
      </c>
      <c r="B105" s="44"/>
      <c r="C105" s="44"/>
      <c r="D105" s="44"/>
      <c r="E105" s="44"/>
      <c r="F105" s="44"/>
      <c r="G105" s="44">
        <f>G75*2</f>
        <v>0</v>
      </c>
      <c r="H105" s="44">
        <f>F105+G105</f>
        <v>0</v>
      </c>
    </row>
    <row r="106" spans="1:8" ht="12.75">
      <c r="A106" s="4" t="s">
        <v>123</v>
      </c>
      <c r="B106" s="44"/>
      <c r="C106" s="44"/>
      <c r="D106" s="44"/>
      <c r="E106" s="44"/>
      <c r="F106" s="44"/>
      <c r="G106" s="61">
        <v>0.9</v>
      </c>
      <c r="H106" s="44"/>
    </row>
    <row r="107" spans="1:8" ht="12.75">
      <c r="A107" s="4" t="s">
        <v>124</v>
      </c>
      <c r="B107" s="44"/>
      <c r="C107" s="44"/>
      <c r="D107" s="44"/>
      <c r="E107" s="44"/>
      <c r="F107" s="44"/>
      <c r="G107" s="43">
        <f>-G106*G105</f>
        <v>0</v>
      </c>
      <c r="H107" s="43">
        <f>F107+G107</f>
        <v>0</v>
      </c>
    </row>
    <row r="108" spans="1:8" ht="12.75">
      <c r="A108" s="15" t="s">
        <v>125</v>
      </c>
      <c r="B108" s="44"/>
      <c r="C108" s="44"/>
      <c r="D108" s="44"/>
      <c r="E108" s="44"/>
      <c r="F108" s="44"/>
      <c r="G108" s="44">
        <f>G105+G107</f>
        <v>0</v>
      </c>
      <c r="H108" s="44">
        <f>F108+G108</f>
        <v>0</v>
      </c>
    </row>
    <row r="109" spans="1:8" ht="12.75">
      <c r="A109" s="15" t="s">
        <v>99</v>
      </c>
      <c r="B109" s="44">
        <f>B76</f>
        <v>202.38095238095235</v>
      </c>
      <c r="C109" s="44">
        <f aca="true" t="shared" si="7" ref="C109:H109">C76</f>
        <v>26.64021164021164</v>
      </c>
      <c r="D109" s="44">
        <f t="shared" si="7"/>
        <v>36.14638447971781</v>
      </c>
      <c r="E109" s="44">
        <f t="shared" si="7"/>
        <v>0</v>
      </c>
      <c r="F109" s="44">
        <f t="shared" si="7"/>
        <v>0.5202821869488536</v>
      </c>
      <c r="G109" s="44">
        <f t="shared" si="7"/>
        <v>43.182083156933274</v>
      </c>
      <c r="H109" s="44">
        <f t="shared" si="7"/>
        <v>43.70236534388213</v>
      </c>
    </row>
    <row r="110" spans="1:8" ht="12.75">
      <c r="A110" s="4" t="s">
        <v>123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3"/>
    </row>
    <row r="111" spans="1:8" ht="12.75">
      <c r="A111" s="4" t="s">
        <v>124</v>
      </c>
      <c r="B111" s="43">
        <f aca="true" t="shared" si="8" ref="B111:G111">-B110*B109</f>
        <v>0</v>
      </c>
      <c r="C111" s="43">
        <f t="shared" si="8"/>
        <v>0</v>
      </c>
      <c r="D111" s="43">
        <f t="shared" si="8"/>
        <v>0</v>
      </c>
      <c r="E111" s="43">
        <f t="shared" si="8"/>
        <v>0</v>
      </c>
      <c r="F111" s="43">
        <f t="shared" si="8"/>
        <v>0</v>
      </c>
      <c r="G111" s="43">
        <f t="shared" si="8"/>
        <v>0</v>
      </c>
      <c r="H111" s="43">
        <f>F111+G111</f>
        <v>0</v>
      </c>
    </row>
    <row r="112" spans="1:8" ht="12.75">
      <c r="A112" s="15" t="s">
        <v>125</v>
      </c>
      <c r="B112" s="44">
        <f aca="true" t="shared" si="9" ref="B112:G112">B109+B111</f>
        <v>202.38095238095235</v>
      </c>
      <c r="C112" s="44">
        <f t="shared" si="9"/>
        <v>26.64021164021164</v>
      </c>
      <c r="D112" s="44">
        <f t="shared" si="9"/>
        <v>36.14638447971781</v>
      </c>
      <c r="E112" s="44">
        <f t="shared" si="9"/>
        <v>0</v>
      </c>
      <c r="F112" s="44">
        <f t="shared" si="9"/>
        <v>0.5202821869488536</v>
      </c>
      <c r="G112" s="44">
        <f t="shared" si="9"/>
        <v>43.182083156933274</v>
      </c>
      <c r="H112" s="44">
        <f>F112+G112</f>
        <v>43.70236534388213</v>
      </c>
    </row>
    <row r="113" spans="1:8" ht="12.75">
      <c r="A113" s="15" t="s">
        <v>168</v>
      </c>
      <c r="B113" s="44">
        <f>B112+B108</f>
        <v>202.38095238095235</v>
      </c>
      <c r="C113" s="44">
        <f aca="true" t="shared" si="10" ref="C113:H113">C112+C108</f>
        <v>26.64021164021164</v>
      </c>
      <c r="D113" s="44">
        <f t="shared" si="10"/>
        <v>36.14638447971781</v>
      </c>
      <c r="E113" s="44">
        <f t="shared" si="10"/>
        <v>0</v>
      </c>
      <c r="F113" s="44">
        <f t="shared" si="10"/>
        <v>0.5202821869488536</v>
      </c>
      <c r="G113" s="44">
        <f t="shared" si="10"/>
        <v>43.182083156933274</v>
      </c>
      <c r="H113" s="44">
        <f t="shared" si="10"/>
        <v>43.70236534388213</v>
      </c>
    </row>
    <row r="114" spans="1:8" ht="12.75">
      <c r="A114" s="15" t="s">
        <v>24</v>
      </c>
      <c r="B114" s="44">
        <f>B104+B113</f>
        <v>382.36591125220457</v>
      </c>
      <c r="C114" s="44">
        <f aca="true" t="shared" si="11" ref="C114:H114">C104+C113</f>
        <v>100.58247413051146</v>
      </c>
      <c r="D114" s="44">
        <f t="shared" si="11"/>
        <v>360.6394449805996</v>
      </c>
      <c r="E114" s="44">
        <f t="shared" si="11"/>
        <v>25.894719999999996</v>
      </c>
      <c r="F114" s="44">
        <f t="shared" si="11"/>
        <v>19.092565241622573</v>
      </c>
      <c r="G114" s="44">
        <f t="shared" si="11"/>
        <v>58.93640596926099</v>
      </c>
      <c r="H114" s="44">
        <f t="shared" si="11"/>
        <v>78.01596415620983</v>
      </c>
    </row>
    <row r="115" ht="12.75">
      <c r="A115" s="39" t="s">
        <v>132</v>
      </c>
    </row>
    <row r="116" ht="12.75">
      <c r="A116" s="13" t="s">
        <v>228</v>
      </c>
    </row>
  </sheetData>
  <sheetProtection/>
  <mergeCells count="14">
    <mergeCell ref="A40:F40"/>
    <mergeCell ref="A26:D26"/>
    <mergeCell ref="A27:D27"/>
    <mergeCell ref="A3:L3"/>
    <mergeCell ref="A4:L4"/>
    <mergeCell ref="A39:F39"/>
    <mergeCell ref="A45:G45"/>
    <mergeCell ref="A46:G46"/>
    <mergeCell ref="A81:H81"/>
    <mergeCell ref="A82:H82"/>
    <mergeCell ref="A51:L51"/>
    <mergeCell ref="A52:L52"/>
    <mergeCell ref="A66:H66"/>
    <mergeCell ref="A67:H67"/>
  </mergeCells>
  <printOptions horizontalCentered="1"/>
  <pageMargins left="0.75" right="0.75" top="1" bottom="1" header="0.5" footer="0.5"/>
  <pageSetup fitToHeight="21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N117"/>
  <sheetViews>
    <sheetView zoomScalePageLayoutView="0" workbookViewId="0" topLeftCell="A3">
      <selection activeCell="L17" sqref="L17"/>
    </sheetView>
  </sheetViews>
  <sheetFormatPr defaultColWidth="9.140625" defaultRowHeight="12.75"/>
  <cols>
    <col min="1" max="1" width="37.57421875" style="0" bestFit="1" customWidth="1"/>
    <col min="2" max="2" width="7.7109375" style="0" customWidth="1"/>
    <col min="3" max="3" width="10.421875" style="0" customWidth="1"/>
    <col min="4" max="4" width="9.7109375" style="0" customWidth="1"/>
    <col min="6" max="6" width="10.003906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175</v>
      </c>
    </row>
    <row r="2" ht="12.75" hidden="1">
      <c r="A2" s="52">
        <v>12</v>
      </c>
    </row>
    <row r="3" spans="1:12" ht="12.75">
      <c r="A3" s="87" t="str">
        <f>"Table "&amp;A$2&amp;"-A"</f>
        <v>Table 12-A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HGS Paving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14"/>
      <c r="H7" s="14"/>
      <c r="I7" s="14"/>
      <c r="J7" s="14"/>
      <c r="K7" s="14"/>
      <c r="L7" s="2"/>
    </row>
    <row r="8" spans="1:12" ht="12.75">
      <c r="A8" s="4" t="s">
        <v>43</v>
      </c>
      <c r="B8" s="2"/>
      <c r="C8" s="2"/>
      <c r="D8" s="2"/>
      <c r="E8" s="2"/>
      <c r="F8" s="2"/>
      <c r="G8" s="14"/>
      <c r="H8" s="14"/>
      <c r="I8" s="14"/>
      <c r="J8" s="14"/>
      <c r="K8" s="14"/>
      <c r="L8" s="43"/>
    </row>
    <row r="9" spans="1:12" ht="12.75">
      <c r="A9" s="4" t="s">
        <v>33</v>
      </c>
      <c r="B9" s="2"/>
      <c r="C9" s="2"/>
      <c r="D9" s="2"/>
      <c r="E9" s="2"/>
      <c r="F9" s="2"/>
      <c r="G9" s="14"/>
      <c r="H9" s="14"/>
      <c r="I9" s="14"/>
      <c r="J9" s="14"/>
      <c r="K9" s="14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14"/>
      <c r="H10" s="14"/>
      <c r="I10" s="14"/>
      <c r="J10" s="14"/>
      <c r="K10" s="14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14"/>
      <c r="H11" s="14"/>
      <c r="I11" s="14"/>
      <c r="J11" s="14"/>
      <c r="K11" s="14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14"/>
      <c r="H12" s="14"/>
      <c r="I12" s="14"/>
      <c r="J12" s="14"/>
      <c r="K12" s="14"/>
      <c r="L12" s="2"/>
    </row>
    <row r="13" spans="1:12" ht="12.75">
      <c r="A13" s="4" t="s">
        <v>51</v>
      </c>
      <c r="B13" s="2">
        <v>1</v>
      </c>
      <c r="C13" s="2">
        <v>16</v>
      </c>
      <c r="D13" s="2">
        <f>B13*C13</f>
        <v>16</v>
      </c>
      <c r="E13" s="2">
        <v>1</v>
      </c>
      <c r="F13" s="2">
        <f>IF(E13&lt;&gt;"N/A",B13*E13,"N/A")</f>
        <v>1</v>
      </c>
      <c r="G13" s="42">
        <f>$D13*VLOOKUP($A13,'Const. Equip. Emission Factors'!$A$5:$N$25,10,FALSE)</f>
        <v>6.01328</v>
      </c>
      <c r="H13" s="42">
        <f>$D13*VLOOKUP($A13,'Const. Equip. Emission Factors'!$A$5:$N$25,11,FALSE)</f>
        <v>0.8590399999999999</v>
      </c>
      <c r="I13" s="42">
        <f>$D13*VLOOKUP($A13,'Const. Equip. Emission Factors'!$A$5:$N$25,12,FALSE)</f>
        <v>19.75792</v>
      </c>
      <c r="J13" s="42">
        <f>$D13*VLOOKUP($A13,'Const. Equip. Emission Factors'!$A$5:$N$25,13,FALSE)</f>
        <v>1.7180799999999998</v>
      </c>
      <c r="K13" s="42">
        <f>$D13*VLOOKUP($A13,'Const. Equip. Emission Factors'!$A$5:$N$25,14,FALSE)</f>
        <v>0.8590399999999999</v>
      </c>
      <c r="L13" s="43">
        <f>VLOOKUP(A13,'Const. Equip. Emission Factors'!$A$5:$P$23,16,FALSE)*D13</f>
        <v>42.952</v>
      </c>
    </row>
    <row r="14" spans="1:12" ht="12.75">
      <c r="A14" s="4" t="s">
        <v>283</v>
      </c>
      <c r="B14" s="2"/>
      <c r="C14" s="2"/>
      <c r="D14" s="2"/>
      <c r="E14" s="2"/>
      <c r="F14" s="2"/>
      <c r="G14" s="42"/>
      <c r="H14" s="42"/>
      <c r="I14" s="42"/>
      <c r="J14" s="42"/>
      <c r="K14" s="42"/>
      <c r="L14" s="43"/>
    </row>
    <row r="15" spans="1:12" ht="12.75">
      <c r="A15" s="4" t="s">
        <v>284</v>
      </c>
      <c r="B15" s="2"/>
      <c r="C15" s="2"/>
      <c r="D15" s="2"/>
      <c r="E15" s="2"/>
      <c r="F15" s="2"/>
      <c r="G15" s="42"/>
      <c r="H15" s="42"/>
      <c r="I15" s="42"/>
      <c r="J15" s="42"/>
      <c r="K15" s="42"/>
      <c r="L15" s="43"/>
    </row>
    <row r="16" spans="1:12" ht="12.75">
      <c r="A16" s="4" t="s">
        <v>289</v>
      </c>
      <c r="B16" s="2"/>
      <c r="C16" s="2"/>
      <c r="D16" s="2"/>
      <c r="E16" s="2"/>
      <c r="F16" s="2"/>
      <c r="G16" s="42"/>
      <c r="H16" s="42"/>
      <c r="I16" s="42"/>
      <c r="J16" s="42"/>
      <c r="K16" s="42"/>
      <c r="L16" s="43"/>
    </row>
    <row r="17" spans="1:12" ht="12.75">
      <c r="A17" s="4" t="s">
        <v>285</v>
      </c>
      <c r="B17" s="2">
        <v>20</v>
      </c>
      <c r="C17" s="2">
        <v>12</v>
      </c>
      <c r="D17" s="2">
        <f>B17*C17</f>
        <v>240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40.4736</v>
      </c>
      <c r="H17" s="42">
        <f>$D17*VLOOKUP($A17,'Const. Equip. Emission Factors'!$A$5:$N$25,11,FALSE)</f>
        <v>6.07104</v>
      </c>
      <c r="I17" s="42">
        <f>$D17*VLOOKUP($A17,'Const. Equip. Emission Factors'!$A$5:$N$25,12,FALSE)</f>
        <v>48.56832</v>
      </c>
      <c r="J17" s="42">
        <f>$D17*VLOOKUP($A17,'Const. Equip. Emission Factors'!$A$5:$N$25,13,FALSE)</f>
        <v>4.04736</v>
      </c>
      <c r="K17" s="42">
        <f>$D17*VLOOKUP($A17,'Const. Equip. Emission Factors'!$A$5:$N$25,14,FALSE)</f>
        <v>3.03552</v>
      </c>
      <c r="L17" s="43">
        <f>VLOOKUP(A17,'Const. Equip. Emission Factors'!$A$5:$P$23,16,FALSE)*D17</f>
        <v>101.18400000000001</v>
      </c>
    </row>
    <row r="18" spans="1:12" ht="12.75">
      <c r="A18" s="4" t="s">
        <v>364</v>
      </c>
      <c r="B18" s="2"/>
      <c r="C18" s="2"/>
      <c r="D18" s="2"/>
      <c r="E18" s="2"/>
      <c r="F18" s="2"/>
      <c r="G18" s="42"/>
      <c r="H18" s="42"/>
      <c r="I18" s="42"/>
      <c r="J18" s="42"/>
      <c r="K18" s="42"/>
      <c r="L18" s="43"/>
    </row>
    <row r="19" spans="1:12" ht="12.75">
      <c r="A19" s="4" t="s">
        <v>286</v>
      </c>
      <c r="B19" s="2"/>
      <c r="C19" s="2"/>
      <c r="D19" s="2"/>
      <c r="E19" s="2"/>
      <c r="F19" s="2"/>
      <c r="G19" s="42"/>
      <c r="H19" s="42"/>
      <c r="I19" s="42"/>
      <c r="J19" s="42"/>
      <c r="K19" s="42"/>
      <c r="L19" s="43"/>
    </row>
    <row r="20" spans="1:12" ht="12.75">
      <c r="A20" s="4" t="s">
        <v>287</v>
      </c>
      <c r="B20" s="2"/>
      <c r="C20" s="2"/>
      <c r="D20" s="2"/>
      <c r="E20" s="2"/>
      <c r="F20" s="2"/>
      <c r="G20" s="42"/>
      <c r="H20" s="42"/>
      <c r="I20" s="42"/>
      <c r="J20" s="42"/>
      <c r="K20" s="42"/>
      <c r="L20" s="43"/>
    </row>
    <row r="21" spans="1:12" ht="12.75">
      <c r="A21" s="4" t="s">
        <v>288</v>
      </c>
      <c r="B21" s="2"/>
      <c r="C21" s="2"/>
      <c r="D21" s="2"/>
      <c r="E21" s="2"/>
      <c r="F21" s="2"/>
      <c r="G21" s="42"/>
      <c r="H21" s="42"/>
      <c r="I21" s="42"/>
      <c r="J21" s="42"/>
      <c r="K21" s="42"/>
      <c r="L21" s="43"/>
    </row>
    <row r="22" spans="1:12" ht="12.75">
      <c r="A22" s="4" t="s">
        <v>27</v>
      </c>
      <c r="B22" s="2"/>
      <c r="C22" s="2"/>
      <c r="D22" s="2"/>
      <c r="E22" s="2"/>
      <c r="F22" s="2"/>
      <c r="G22" s="14"/>
      <c r="H22" s="14"/>
      <c r="I22" s="14"/>
      <c r="J22" s="14"/>
      <c r="K22" s="14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46.48688</v>
      </c>
      <c r="H23" s="46">
        <f t="shared" si="0"/>
        <v>6.93008</v>
      </c>
      <c r="I23" s="46">
        <f t="shared" si="0"/>
        <v>68.32624</v>
      </c>
      <c r="J23" s="46">
        <f t="shared" si="0"/>
        <v>5.76544</v>
      </c>
      <c r="K23" s="46">
        <f t="shared" si="0"/>
        <v>3.89456</v>
      </c>
      <c r="L23" s="46">
        <f t="shared" si="0"/>
        <v>144.13600000000002</v>
      </c>
    </row>
    <row r="25" spans="1:4" ht="12.75">
      <c r="A25" s="87" t="str">
        <f>"Table "&amp;A$2&amp;"-B"</f>
        <v>Table 12-B</v>
      </c>
      <c r="B25" s="87"/>
      <c r="C25" s="87"/>
      <c r="D25" s="87"/>
    </row>
    <row r="26" spans="1:4" ht="12.75">
      <c r="A26" s="85" t="str">
        <f>A$1&amp;" Fugitive Dust Emissions (Pre-Mitigation)"</f>
        <v>HGS Paving Fugitive Dust Emissions (Pre-Mitigation)</v>
      </c>
      <c r="B26" s="85"/>
      <c r="C26" s="85"/>
      <c r="D26" s="85"/>
    </row>
    <row r="27" spans="1:4" ht="28.5">
      <c r="A27" s="2" t="s">
        <v>87</v>
      </c>
      <c r="B27" s="3" t="s">
        <v>81</v>
      </c>
      <c r="C27" s="2" t="s">
        <v>82</v>
      </c>
      <c r="D27" s="3" t="s">
        <v>201</v>
      </c>
    </row>
    <row r="28" spans="1:4" ht="12.75">
      <c r="A28" s="4" t="s">
        <v>44</v>
      </c>
      <c r="B28" s="2">
        <f>SUM(D6:D7)</f>
        <v>0</v>
      </c>
      <c r="C28" s="2" t="s">
        <v>83</v>
      </c>
      <c r="D28" s="43">
        <f>B28*'Fug. Dust Emission Factors'!C15</f>
        <v>0</v>
      </c>
    </row>
    <row r="29" spans="1:4" ht="12.75">
      <c r="A29" s="4" t="s">
        <v>45</v>
      </c>
      <c r="B29" s="14">
        <f>F8</f>
        <v>0</v>
      </c>
      <c r="C29" s="2" t="s">
        <v>83</v>
      </c>
      <c r="D29" s="43">
        <f>B29*'Fug. Dust Emission Factors'!C30</f>
        <v>0</v>
      </c>
    </row>
    <row r="30" spans="1:4" ht="12.75">
      <c r="A30" s="4" t="s">
        <v>109</v>
      </c>
      <c r="B30" s="14">
        <f>SUM(F6:F22)-F8+E55+E56+E57+E58</f>
        <v>15</v>
      </c>
      <c r="C30" s="2" t="s">
        <v>46</v>
      </c>
      <c r="D30" s="43">
        <f>B30*'Fug. Dust Emission Factors'!C50</f>
        <v>4.556656180020077</v>
      </c>
    </row>
    <row r="31" spans="1:4" ht="12.75">
      <c r="A31" s="4" t="s">
        <v>110</v>
      </c>
      <c r="B31" s="14">
        <f>E54</f>
        <v>2</v>
      </c>
      <c r="C31" s="2" t="s">
        <v>46</v>
      </c>
      <c r="D31" s="43">
        <f>B31*'Fug. Dust Emission Factors'!C65</f>
        <v>0.5996508901095823</v>
      </c>
    </row>
    <row r="32" spans="1:4" ht="12.75">
      <c r="A32" s="4" t="s">
        <v>69</v>
      </c>
      <c r="B32" s="11">
        <v>0</v>
      </c>
      <c r="C32" s="2" t="s">
        <v>85</v>
      </c>
      <c r="D32" s="43">
        <f>B32*'Fug. Dust Emission Factors'!C84</f>
        <v>0</v>
      </c>
    </row>
    <row r="33" spans="1:4" ht="12.75">
      <c r="A33" s="4" t="s">
        <v>75</v>
      </c>
      <c r="B33" s="2">
        <v>0</v>
      </c>
      <c r="C33" s="2" t="s">
        <v>86</v>
      </c>
      <c r="D33" s="43">
        <f>B33*'Fug. Dust Emission Factors'!C99</f>
        <v>0</v>
      </c>
    </row>
    <row r="34" spans="1:4" ht="12.75">
      <c r="A34" s="4" t="s">
        <v>148</v>
      </c>
      <c r="B34" s="2">
        <f>B61</f>
        <v>0</v>
      </c>
      <c r="C34" s="2" t="s">
        <v>166</v>
      </c>
      <c r="D34" s="43">
        <f>B34*'Fug. Dust Emission Factors'!C129</f>
        <v>0</v>
      </c>
    </row>
    <row r="35" spans="1:4" ht="12.75">
      <c r="A35" s="15" t="s">
        <v>24</v>
      </c>
      <c r="B35" s="4"/>
      <c r="C35" s="4"/>
      <c r="D35" s="44">
        <f>SUM(D28:D34)</f>
        <v>5.156307070129659</v>
      </c>
    </row>
    <row r="36" ht="12.75">
      <c r="A36" s="39" t="s">
        <v>132</v>
      </c>
    </row>
    <row r="37" ht="12.75">
      <c r="A37" s="39"/>
    </row>
    <row r="38" spans="1:6" ht="12.75">
      <c r="A38" s="87" t="str">
        <f>"Table "&amp;A$2&amp;"-C"</f>
        <v>Table 12-C</v>
      </c>
      <c r="B38" s="87"/>
      <c r="C38" s="87"/>
      <c r="D38" s="87"/>
      <c r="E38" s="87"/>
      <c r="F38" s="87"/>
    </row>
    <row r="39" spans="1:6" ht="12.75">
      <c r="A39" s="85" t="str">
        <f>A$1&amp;" Asphaltic Paving Emissions (Pre-Mitigation)"</f>
        <v>HGS Paving Asphaltic Paving Emissions (Pre-Mitigation)</v>
      </c>
      <c r="B39" s="85"/>
      <c r="C39" s="85"/>
      <c r="D39" s="85"/>
      <c r="E39" s="85"/>
      <c r="F39" s="85"/>
    </row>
    <row r="40" spans="1:6" ht="12.75">
      <c r="A40" s="4" t="s">
        <v>88</v>
      </c>
      <c r="B40" s="12">
        <f>43200/43650</f>
        <v>0.9896907216494846</v>
      </c>
      <c r="C40" s="33"/>
      <c r="D40" s="31"/>
      <c r="E40" s="31"/>
      <c r="F40" s="32"/>
    </row>
    <row r="41" spans="1:6" ht="12.75">
      <c r="A41" s="4" t="s">
        <v>89</v>
      </c>
      <c r="B41" s="2">
        <v>2.62</v>
      </c>
      <c r="C41" s="33" t="s">
        <v>90</v>
      </c>
      <c r="D41" s="31"/>
      <c r="E41" s="31"/>
      <c r="F41" s="32"/>
    </row>
    <row r="42" spans="1:6" ht="12.75">
      <c r="A42" s="15" t="s">
        <v>92</v>
      </c>
      <c r="B42" s="44">
        <f>B41*B40</f>
        <v>2.59298969072165</v>
      </c>
      <c r="C42" s="33"/>
      <c r="D42" s="31"/>
      <c r="E42" s="31"/>
      <c r="F42" s="32"/>
    </row>
    <row r="43" spans="1:6" ht="12.75">
      <c r="A43" s="50"/>
      <c r="B43" s="49"/>
      <c r="C43" s="29"/>
      <c r="D43" s="29"/>
      <c r="E43" s="29"/>
      <c r="F43" s="29"/>
    </row>
    <row r="45" spans="1:7" ht="12.75">
      <c r="A45" s="87" t="str">
        <f>"Table "&amp;A$2&amp;"-D"</f>
        <v>Table 12-D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HGS Paving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12-E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HGS Paving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</v>
      </c>
      <c r="C54" s="2">
        <v>2</v>
      </c>
      <c r="D54" s="2">
        <v>2</v>
      </c>
      <c r="E54" s="14">
        <f>B54*C54</f>
        <v>2</v>
      </c>
      <c r="F54" s="14">
        <f>B54*D54</f>
        <v>2</v>
      </c>
      <c r="G54" s="42">
        <f>(E54*VLOOKUP(A54,'Motor Vehicle Emission Factors'!$A$6:$T$42,7,FALSE)+F54*VLOOKUP(A54,'Motor Vehicle Emission Factors'!$A$6:$T$42,8,FALSE))/453.6</f>
        <v>0.20185185185185184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0.039898589065255737</v>
      </c>
      <c r="I54" s="42">
        <f>(E54*VLOOKUP(A54,'Motor Vehicle Emission Factors'!$A$6:$T$42,15,FALSE)+F54*VLOOKUP(A54,'Motor Vehicle Emission Factors'!$A$6:$T$42,16,FALSE))/453.6</f>
        <v>0.018915343915343913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4.409171075837742E-05</v>
      </c>
      <c r="L54" s="42">
        <f>J54+K54</f>
        <v>4.409171075837742E-05</v>
      </c>
    </row>
    <row r="55" spans="1:12" ht="12.75">
      <c r="A55" s="4" t="s">
        <v>52</v>
      </c>
      <c r="B55" s="2"/>
      <c r="C55" s="2"/>
      <c r="D55" s="2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4" t="s">
        <v>130</v>
      </c>
      <c r="B56" s="2"/>
      <c r="C56" s="2"/>
      <c r="D56" s="2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4" t="s">
        <v>118</v>
      </c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4" t="s">
        <v>116</v>
      </c>
      <c r="B58" s="2">
        <v>14</v>
      </c>
      <c r="C58" s="2">
        <v>1</v>
      </c>
      <c r="D58" s="2">
        <v>2</v>
      </c>
      <c r="E58" s="14">
        <f>B58*C58</f>
        <v>14</v>
      </c>
      <c r="F58" s="14">
        <f>B58*D58</f>
        <v>28</v>
      </c>
      <c r="G58" s="42">
        <f>(E58*VLOOKUP(A58,'Motor Vehicle Emission Factors'!$A$6:$T$42,7,FALSE)+F58*VLOOKUP(A58,'Motor Vehicle Emission Factors'!$A$6:$T$42,8,FALSE))/453.6</f>
        <v>1.037037037037037</v>
      </c>
      <c r="H58" s="42">
        <f>(E58*VLOOKUP(A58,'Motor Vehicle Emission Factors'!$A$6:$T$42,9,FALSE)+F58*VLOOKUP(A58,'Motor Vehicle Emission Factors'!$A$6:$T$42,10,FALSE)+F58*VLOOKUP(A58,'Motor Vehicle Emission Factors'!$A$6:$T$42,11,FALSE)+B58*12*VLOOKUP(A58,'Motor Vehicle Emission Factors'!$A$6:$T$42,12,FALSE)+E58*VLOOKUP(A58,'Motor Vehicle Emission Factors'!$A$6:$T$42,13,FALSE)+B58*12*VLOOKUP(A58,'Motor Vehicle Emission Factors'!$A$6:$T$42,14,FALSE))/453.6</f>
        <v>0.10771604938271605</v>
      </c>
      <c r="I58" s="42">
        <f>(E58*VLOOKUP(A58,'Motor Vehicle Emission Factors'!$A$6:$T$42,15,FALSE)+F58*VLOOKUP(A58,'Motor Vehicle Emission Factors'!$A$6:$T$42,16,FALSE))/453.6</f>
        <v>0.487037037037037</v>
      </c>
      <c r="J58" s="42">
        <f>E58*VLOOKUP(A58,'Motor Vehicle Emission Factors'!$A$6:$T$42,17,FALSE)/453.6</f>
        <v>0.018209876543209876</v>
      </c>
      <c r="K58" s="42">
        <f>E58*(VLOOKUP(A58,'Motor Vehicle Emission Factors'!$A$6:$T$42,18,FALSE)+VLOOKUP(A58,'Motor Vehicle Emission Factors'!$A$6:$T$42,19,FALSE)+VLOOKUP(A58,'Motor Vehicle Emission Factors'!$A$6:$T$42,20,FALSE))/453.6</f>
        <v>0.00030864197530864197</v>
      </c>
      <c r="L58" s="42">
        <f>J58+K58</f>
        <v>0.018518518518518517</v>
      </c>
    </row>
    <row r="59" spans="1:12" ht="12.75">
      <c r="A59" s="4" t="s">
        <v>105</v>
      </c>
      <c r="B59" s="2">
        <v>6</v>
      </c>
      <c r="C59" s="2">
        <v>40</v>
      </c>
      <c r="D59" s="2">
        <v>2</v>
      </c>
      <c r="E59" s="14">
        <f>B59*C59</f>
        <v>240</v>
      </c>
      <c r="F59" s="14">
        <f>B59*D59</f>
        <v>12</v>
      </c>
      <c r="G59" s="42">
        <f>(E59*VLOOKUP(A59,'Motor Vehicle Emission Factors'!$A$6:$T$42,7,FALSE)+F59*VLOOKUP(A59,'Motor Vehicle Emission Factors'!$A$6:$T$42,8,FALSE))/453.6</f>
        <v>2.9037037037037035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0.3796296296296296</v>
      </c>
      <c r="I59" s="42">
        <f>(E59*VLOOKUP(A59,'Motor Vehicle Emission Factors'!$A$6:$T$42,15,FALSE)+F59*VLOOKUP(A59,'Motor Vehicle Emission Factors'!$A$6:$T$42,16,FALSE))/453.6</f>
        <v>0.4198412698412699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0.29765534108380465</v>
      </c>
      <c r="L59" s="42">
        <f>J59+K59</f>
        <v>0.29765534108380465</v>
      </c>
    </row>
    <row r="60" spans="1:12" ht="12.75">
      <c r="A60" s="4" t="s">
        <v>129</v>
      </c>
      <c r="B60" s="2">
        <v>14</v>
      </c>
      <c r="C60" s="2">
        <v>60</v>
      </c>
      <c r="D60" s="2">
        <v>2</v>
      </c>
      <c r="E60" s="14">
        <f>B60*C60</f>
        <v>840</v>
      </c>
      <c r="F60" s="14">
        <f>B60*D60</f>
        <v>28</v>
      </c>
      <c r="G60" s="42">
        <f>(E60*VLOOKUP(A60,'Motor Vehicle Emission Factors'!$A$6:$T$42,7,FALSE)+F60*VLOOKUP(A60,'Motor Vehicle Emission Factors'!$A$6:$T$42,8,FALSE))/453.6</f>
        <v>18.48148148148148</v>
      </c>
      <c r="H60" s="42">
        <f>(E60*VLOOKUP(A60,'Motor Vehicle Emission Factors'!$A$6:$T$42,9,FALSE)+F60*VLOOKUP(A60,'Motor Vehicle Emission Factors'!$A$6:$T$42,10,FALSE)+F60*VLOOKUP(A60,'Motor Vehicle Emission Factors'!$A$6:$T$42,11,FALSE)+B60*12*VLOOKUP(A60,'Motor Vehicle Emission Factors'!$A$6:$T$42,12,FALSE)+E60*VLOOKUP(A60,'Motor Vehicle Emission Factors'!$A$6:$T$42,13,FALSE)+B60*12*VLOOKUP(A60,'Motor Vehicle Emission Factors'!$A$6:$T$42,14,FALSE))/453.6</f>
        <v>2.7962962962962963</v>
      </c>
      <c r="I60" s="42">
        <f>(E60*VLOOKUP(A60,'Motor Vehicle Emission Factors'!$A$6:$T$42,15,FALSE)+F60*VLOOKUP(A60,'Motor Vehicle Emission Factors'!$A$6:$T$42,16,FALSE))/453.6</f>
        <v>17.12962962962963</v>
      </c>
      <c r="J60" s="42">
        <f>E60*VLOOKUP(A60,'Motor Vehicle Emission Factors'!$A$6:$T$42,17,FALSE)/453.6</f>
        <v>1.0925925925925926</v>
      </c>
      <c r="K60" s="42">
        <f>E60*(VLOOKUP(A60,'Motor Vehicle Emission Factors'!$A$6:$T$42,18,FALSE)+VLOOKUP(A60,'Motor Vehicle Emission Factors'!$A$6:$T$42,19,FALSE)+VLOOKUP(A60,'Motor Vehicle Emission Factors'!$A$6:$T$42,20,FALSE))/453.6</f>
        <v>49.01062687782722</v>
      </c>
      <c r="L60" s="42">
        <f>J60+K60</f>
        <v>50.103219470419816</v>
      </c>
    </row>
    <row r="61" spans="1:12" ht="12.75">
      <c r="A61" s="4" t="s">
        <v>128</v>
      </c>
      <c r="B61" s="2"/>
      <c r="C61" s="2"/>
      <c r="D61" s="2"/>
      <c r="E61" s="14"/>
      <c r="F61" s="14"/>
      <c r="G61" s="14"/>
      <c r="H61" s="14"/>
      <c r="I61" s="14"/>
      <c r="J61" s="14"/>
      <c r="K61" s="14"/>
      <c r="L61" s="14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22.624074074074073</v>
      </c>
      <c r="H62" s="46">
        <f t="shared" si="1"/>
        <v>3.3235405643738978</v>
      </c>
      <c r="I62" s="46">
        <f t="shared" si="1"/>
        <v>18.05542328042328</v>
      </c>
      <c r="J62" s="46">
        <f t="shared" si="1"/>
        <v>1.1108024691358025</v>
      </c>
      <c r="K62" s="46">
        <f t="shared" si="1"/>
        <v>49.308634952597096</v>
      </c>
      <c r="L62" s="46">
        <f t="shared" si="1"/>
        <v>50.419437421732894</v>
      </c>
      <c r="M62" s="71">
        <f>E54+E59</f>
        <v>242</v>
      </c>
      <c r="N62" s="71">
        <f>SUM(E54:E61)-M62</f>
        <v>854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12-F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HGS Paving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46.48688</v>
      </c>
      <c r="C69" s="43">
        <f>H23</f>
        <v>6.93008</v>
      </c>
      <c r="D69" s="43">
        <f>I23</f>
        <v>68.32624</v>
      </c>
      <c r="E69" s="43">
        <f>J23</f>
        <v>5.76544</v>
      </c>
      <c r="F69" s="43">
        <f>K23</f>
        <v>3.89456</v>
      </c>
      <c r="G69" s="43"/>
      <c r="H69" s="43">
        <f>F69+G69</f>
        <v>3.89456</v>
      </c>
    </row>
    <row r="70" spans="1:8" ht="12.75">
      <c r="A70" s="51" t="s">
        <v>127</v>
      </c>
      <c r="B70" s="43">
        <f>SUM(G54:G58)</f>
        <v>1.238888888888889</v>
      </c>
      <c r="C70" s="43">
        <f>SUM(H54:H58)</f>
        <v>0.1476146384479718</v>
      </c>
      <c r="D70" s="43">
        <f>SUM(I54:I58)</f>
        <v>0.5059523809523809</v>
      </c>
      <c r="E70" s="43">
        <v>0</v>
      </c>
      <c r="F70" s="43">
        <f>SUM(J54:J58)</f>
        <v>0.018209876543209876</v>
      </c>
      <c r="G70" s="43"/>
      <c r="H70" s="43">
        <f aca="true" t="shared" si="2" ref="H70:H76">F70+G70</f>
        <v>0.018209876543209876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D35-D34</f>
        <v>5.156307070129659</v>
      </c>
      <c r="H71" s="43">
        <f t="shared" si="2"/>
        <v>5.156307070129659</v>
      </c>
    </row>
    <row r="72" spans="1:8" ht="12.75">
      <c r="A72" s="51" t="s">
        <v>96</v>
      </c>
      <c r="B72" s="43"/>
      <c r="C72" s="43">
        <f>B42</f>
        <v>2.59298969072165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47.72576888888889</v>
      </c>
      <c r="C74" s="44">
        <f t="shared" si="3"/>
        <v>9.670684329169621</v>
      </c>
      <c r="D74" s="44">
        <f t="shared" si="3"/>
        <v>68.83219238095238</v>
      </c>
      <c r="E74" s="44">
        <f t="shared" si="3"/>
        <v>5.76544</v>
      </c>
      <c r="F74" s="44">
        <f t="shared" si="3"/>
        <v>3.9127698765432095</v>
      </c>
      <c r="G74" s="44">
        <f t="shared" si="3"/>
        <v>5.156307070129659</v>
      </c>
      <c r="H74" s="44">
        <f t="shared" si="2"/>
        <v>9.069076946672869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D34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21.385185185185186</v>
      </c>
      <c r="C76" s="45">
        <f>SUM(H59:H61)</f>
        <v>3.175925925925926</v>
      </c>
      <c r="D76" s="45">
        <f>SUM(I59:I61)</f>
        <v>17.5494708994709</v>
      </c>
      <c r="E76" s="45">
        <v>0</v>
      </c>
      <c r="F76" s="45">
        <f>SUM(J59:J61)</f>
        <v>1.0925925925925926</v>
      </c>
      <c r="G76" s="45">
        <f>SUM(K59:K61)</f>
        <v>49.308282218911025</v>
      </c>
      <c r="H76" s="45">
        <f t="shared" si="2"/>
        <v>50.40087481150362</v>
      </c>
    </row>
    <row r="77" spans="1:8" ht="12.75">
      <c r="A77" s="15" t="s">
        <v>168</v>
      </c>
      <c r="B77" s="44">
        <f aca="true" t="shared" si="4" ref="B77:G77">SUM(B75:B76)</f>
        <v>21.385185185185186</v>
      </c>
      <c r="C77" s="44">
        <f t="shared" si="4"/>
        <v>3.175925925925926</v>
      </c>
      <c r="D77" s="44">
        <f t="shared" si="4"/>
        <v>17.5494708994709</v>
      </c>
      <c r="E77" s="44">
        <f t="shared" si="4"/>
        <v>0</v>
      </c>
      <c r="F77" s="44">
        <f t="shared" si="4"/>
        <v>1.0925925925925926</v>
      </c>
      <c r="G77" s="44">
        <f t="shared" si="4"/>
        <v>49.308282218911025</v>
      </c>
      <c r="H77" s="44">
        <f>F77+G77</f>
        <v>50.40087481150362</v>
      </c>
    </row>
    <row r="78" spans="1:8" ht="12.75">
      <c r="A78" s="15" t="s">
        <v>24</v>
      </c>
      <c r="B78" s="44">
        <f>B74+B77</f>
        <v>69.11095407407407</v>
      </c>
      <c r="C78" s="44">
        <f aca="true" t="shared" si="5" ref="C78:H78">C74+C77</f>
        <v>12.846610255095547</v>
      </c>
      <c r="D78" s="44">
        <f t="shared" si="5"/>
        <v>86.38166328042328</v>
      </c>
      <c r="E78" s="44">
        <f t="shared" si="5"/>
        <v>5.76544</v>
      </c>
      <c r="F78" s="44">
        <f t="shared" si="5"/>
        <v>5.005362469135802</v>
      </c>
      <c r="G78" s="44">
        <f t="shared" si="5"/>
        <v>54.46458928904068</v>
      </c>
      <c r="H78" s="44">
        <f t="shared" si="5"/>
        <v>59.46995175817649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12-G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HGS Paving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46.48688</v>
      </c>
      <c r="C85" s="43">
        <f>C69</f>
        <v>6.93008</v>
      </c>
      <c r="D85" s="43">
        <f>D69</f>
        <v>68.32624</v>
      </c>
      <c r="E85" s="43">
        <f>E69</f>
        <v>5.76544</v>
      </c>
      <c r="F85" s="43">
        <f>F69</f>
        <v>3.89456</v>
      </c>
      <c r="G85" s="43"/>
      <c r="H85" s="43">
        <f>F85+G85</f>
        <v>3.89456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-0.34650400000000003</v>
      </c>
      <c r="D87" s="43">
        <f>-D86*D85</f>
        <v>-3.416312</v>
      </c>
      <c r="E87" s="43">
        <f>-E86*E85</f>
        <v>-0.28827200000000003</v>
      </c>
      <c r="F87" s="43">
        <f>-F86*F85</f>
        <v>-0.194728</v>
      </c>
      <c r="G87" s="43"/>
      <c r="H87" s="43">
        <f>F87+G87</f>
        <v>-0.194728</v>
      </c>
    </row>
    <row r="88" spans="1:8" ht="12.75">
      <c r="A88" s="15" t="s">
        <v>125</v>
      </c>
      <c r="B88" s="44">
        <f>B85+B87</f>
        <v>46.48688</v>
      </c>
      <c r="C88" s="44">
        <f>C85+C87</f>
        <v>6.583576</v>
      </c>
      <c r="D88" s="44">
        <f>D85+D87</f>
        <v>64.909928</v>
      </c>
      <c r="E88" s="44">
        <f>E85+E87</f>
        <v>5.477168</v>
      </c>
      <c r="F88" s="44">
        <f>F85+F87</f>
        <v>3.699832</v>
      </c>
      <c r="G88" s="44"/>
      <c r="H88" s="44">
        <f>F88+G88</f>
        <v>3.699832</v>
      </c>
    </row>
    <row r="89" spans="1:8" ht="12.75">
      <c r="A89" s="15" t="s">
        <v>127</v>
      </c>
      <c r="B89" s="45">
        <f>B70</f>
        <v>1.238888888888889</v>
      </c>
      <c r="C89" s="45">
        <f>C70</f>
        <v>0.1476146384479718</v>
      </c>
      <c r="D89" s="45">
        <f>D70</f>
        <v>0.5059523809523809</v>
      </c>
      <c r="E89" s="45">
        <f>E70</f>
        <v>0</v>
      </c>
      <c r="F89" s="45">
        <f>F70</f>
        <v>0.018209876543209876</v>
      </c>
      <c r="G89" s="45"/>
      <c r="H89" s="43">
        <f>F89+G89</f>
        <v>0.018209876543209876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1.238888888888889</v>
      </c>
      <c r="C92" s="44">
        <f>C89+C91</f>
        <v>0.1476146384479718</v>
      </c>
      <c r="D92" s="44">
        <f>D89+D91</f>
        <v>0.5059523809523809</v>
      </c>
      <c r="E92" s="44">
        <f>E89+E91</f>
        <v>0</v>
      </c>
      <c r="F92" s="44">
        <f>F89+F91</f>
        <v>0.018209876543209876</v>
      </c>
      <c r="G92" s="44"/>
      <c r="H92" s="44">
        <f>F92+G92</f>
        <v>0.018209876543209876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5.156307070129659</v>
      </c>
      <c r="H93" s="43">
        <f>F93+G93</f>
        <v>5.156307070129659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-0.8250091312207455</v>
      </c>
      <c r="H95" s="43">
        <f>F95+G95</f>
        <v>-0.8250091312207455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4.331297938908914</v>
      </c>
      <c r="H96" s="44">
        <f>F96+G96</f>
        <v>4.331297938908914</v>
      </c>
    </row>
    <row r="97" spans="1:8" ht="12.75">
      <c r="A97" s="15" t="s">
        <v>96</v>
      </c>
      <c r="B97" s="43"/>
      <c r="C97" s="43">
        <f>C72</f>
        <v>2.59298969072165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2.59298969072165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47.72576888888889</v>
      </c>
      <c r="C105" s="44">
        <f t="shared" si="6"/>
        <v>9.324180329169621</v>
      </c>
      <c r="D105" s="44">
        <f t="shared" si="6"/>
        <v>65.41588038095237</v>
      </c>
      <c r="E105" s="44">
        <f t="shared" si="6"/>
        <v>5.477168</v>
      </c>
      <c r="F105" s="44">
        <f t="shared" si="6"/>
        <v>3.7180418765432095</v>
      </c>
      <c r="G105" s="44">
        <f t="shared" si="6"/>
        <v>4.331297938908914</v>
      </c>
      <c r="H105" s="44">
        <f>H88+H96+H100+H104</f>
        <v>8.031129938908915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>B76</f>
        <v>21.385185185185186</v>
      </c>
      <c r="C110" s="44">
        <f aca="true" t="shared" si="7" ref="C110:H110">C76</f>
        <v>3.175925925925926</v>
      </c>
      <c r="D110" s="44">
        <f t="shared" si="7"/>
        <v>17.5494708994709</v>
      </c>
      <c r="E110" s="44">
        <f t="shared" si="7"/>
        <v>0</v>
      </c>
      <c r="F110" s="44">
        <f t="shared" si="7"/>
        <v>1.0925925925925926</v>
      </c>
      <c r="G110" s="44">
        <f t="shared" si="7"/>
        <v>49.308282218911025</v>
      </c>
      <c r="H110" s="44">
        <f t="shared" si="7"/>
        <v>50.40087481150362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21.385185185185186</v>
      </c>
      <c r="C113" s="44">
        <f t="shared" si="9"/>
        <v>3.175925925925926</v>
      </c>
      <c r="D113" s="44">
        <f t="shared" si="9"/>
        <v>17.5494708994709</v>
      </c>
      <c r="E113" s="44">
        <f t="shared" si="9"/>
        <v>0</v>
      </c>
      <c r="F113" s="44">
        <f t="shared" si="9"/>
        <v>1.0925925925925926</v>
      </c>
      <c r="G113" s="44">
        <f t="shared" si="9"/>
        <v>49.308282218911025</v>
      </c>
      <c r="H113" s="44">
        <f>F113+G113</f>
        <v>50.40087481150362</v>
      </c>
    </row>
    <row r="114" spans="1:8" ht="12.75">
      <c r="A114" s="15" t="s">
        <v>168</v>
      </c>
      <c r="B114" s="44">
        <f>B113+B109</f>
        <v>21.385185185185186</v>
      </c>
      <c r="C114" s="44">
        <f aca="true" t="shared" si="10" ref="C114:H114">C113+C109</f>
        <v>3.175925925925926</v>
      </c>
      <c r="D114" s="44">
        <f t="shared" si="10"/>
        <v>17.5494708994709</v>
      </c>
      <c r="E114" s="44">
        <f t="shared" si="10"/>
        <v>0</v>
      </c>
      <c r="F114" s="44">
        <f t="shared" si="10"/>
        <v>1.0925925925925926</v>
      </c>
      <c r="G114" s="44">
        <f t="shared" si="10"/>
        <v>49.308282218911025</v>
      </c>
      <c r="H114" s="44">
        <f t="shared" si="10"/>
        <v>50.40087481150362</v>
      </c>
    </row>
    <row r="115" spans="1:8" ht="12.75">
      <c r="A115" s="15" t="s">
        <v>24</v>
      </c>
      <c r="B115" s="44">
        <f>B105+B114</f>
        <v>69.11095407407407</v>
      </c>
      <c r="C115" s="44">
        <f aca="true" t="shared" si="11" ref="C115:H115">C105+C114</f>
        <v>12.500106255095547</v>
      </c>
      <c r="D115" s="44">
        <f t="shared" si="11"/>
        <v>82.96535128042328</v>
      </c>
      <c r="E115" s="44">
        <f t="shared" si="11"/>
        <v>5.477168</v>
      </c>
      <c r="F115" s="44">
        <f t="shared" si="11"/>
        <v>4.8106344691358025</v>
      </c>
      <c r="G115" s="44">
        <f t="shared" si="11"/>
        <v>53.639580157819935</v>
      </c>
      <c r="H115" s="44">
        <f t="shared" si="11"/>
        <v>58.43200475041253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39:F39"/>
    <mergeCell ref="A25:D25"/>
    <mergeCell ref="A26:D26"/>
    <mergeCell ref="A3:L3"/>
    <mergeCell ref="A4:L4"/>
    <mergeCell ref="A38:F38"/>
    <mergeCell ref="A45:G45"/>
    <mergeCell ref="A46:G46"/>
    <mergeCell ref="A82:H82"/>
    <mergeCell ref="A83:H83"/>
    <mergeCell ref="A51:L51"/>
    <mergeCell ref="A52:L52"/>
    <mergeCell ref="A66:H66"/>
    <mergeCell ref="A67:H67"/>
  </mergeCells>
  <printOptions horizontalCentered="1"/>
  <pageMargins left="0.75" right="0.75" top="1" bottom="1" header="0.5" footer="0.5"/>
  <pageSetup fitToHeight="21" horizontalDpi="300" verticalDpi="300" orientation="landscape" scale="76" r:id="rId1"/>
  <headerFooter alignWithMargins="0">
    <oddFooter>&amp;CPage &amp;P of &amp;N&amp;R&amp;D</oddFooter>
  </headerFooter>
  <rowBreaks count="2" manualBreakCount="2">
    <brk id="37" max="255" man="1"/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1"/>
  <dimension ref="A1:N11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7.57421875" style="0" customWidth="1"/>
    <col min="2" max="2" width="8.421875" style="0" customWidth="1"/>
    <col min="3" max="3" width="11.00390625" style="0" customWidth="1"/>
    <col min="4" max="4" width="9.8515625" style="0" customWidth="1"/>
    <col min="6" max="6" width="9.8515625" style="0" customWidth="1"/>
    <col min="10" max="10" width="9.2812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213</v>
      </c>
    </row>
    <row r="2" ht="12.75" hidden="1">
      <c r="A2" s="53">
        <v>13</v>
      </c>
    </row>
    <row r="3" spans="1:12" ht="12.75">
      <c r="A3" s="87" t="str">
        <f>"Table "&amp;A$2&amp;"-A"</f>
        <v>Table 13-A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SGS Grading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42"/>
      <c r="H7" s="42"/>
      <c r="I7" s="42"/>
      <c r="J7" s="42"/>
      <c r="K7" s="42"/>
      <c r="L7" s="2"/>
    </row>
    <row r="8" spans="1:12" ht="12.75">
      <c r="A8" s="4" t="s">
        <v>43</v>
      </c>
      <c r="B8" s="2">
        <v>1</v>
      </c>
      <c r="C8" s="2">
        <v>16</v>
      </c>
      <c r="D8" s="2">
        <f>B8*C8</f>
        <v>16</v>
      </c>
      <c r="E8" s="2">
        <v>1</v>
      </c>
      <c r="F8" s="2">
        <f>IF(E8&lt;&gt;"N/A",B8*E8,"N/A")</f>
        <v>1</v>
      </c>
      <c r="G8" s="42">
        <f>$D8*VLOOKUP($A8,'Const. Equip. Emission Factors'!$A$5:$N$25,10,FALSE)</f>
        <v>11.52576</v>
      </c>
      <c r="H8" s="42">
        <f>$D8*VLOOKUP($A8,'Const. Equip. Emission Factors'!$A$5:$N$25,11,FALSE)</f>
        <v>4.32216</v>
      </c>
      <c r="I8" s="42">
        <f>$D8*VLOOKUP($A8,'Const. Equip. Emission Factors'!$A$5:$N$25,12,FALSE)</f>
        <v>30.25512</v>
      </c>
      <c r="J8" s="42">
        <f>$D8*VLOOKUP($A8,'Const. Equip. Emission Factors'!$A$5:$N$25,13,FALSE)</f>
        <v>2.88144</v>
      </c>
      <c r="K8" s="42">
        <f>$D8*VLOOKUP($A8,'Const. Equip. Emission Factors'!$A$5:$N$25,14,FALSE)</f>
        <v>1.44072</v>
      </c>
      <c r="L8" s="43">
        <f>VLOOKUP(A8,'Const. Equip. Emission Factors'!$A$5:$P$23,16,FALSE)*D8</f>
        <v>72.036</v>
      </c>
    </row>
    <row r="9" spans="1:12" ht="12.75">
      <c r="A9" s="4" t="s">
        <v>33</v>
      </c>
      <c r="B9" s="2"/>
      <c r="C9" s="2"/>
      <c r="D9" s="2"/>
      <c r="E9" s="2"/>
      <c r="F9" s="2"/>
      <c r="G9" s="42"/>
      <c r="H9" s="42"/>
      <c r="I9" s="42"/>
      <c r="J9" s="42"/>
      <c r="K9" s="42"/>
      <c r="L9" s="2"/>
    </row>
    <row r="10" spans="1:12" ht="12.75">
      <c r="A10" s="4" t="s">
        <v>48</v>
      </c>
      <c r="B10" s="2"/>
      <c r="C10" s="2"/>
      <c r="D10" s="2"/>
      <c r="E10" s="2"/>
      <c r="F10" s="2"/>
      <c r="G10" s="42"/>
      <c r="H10" s="42"/>
      <c r="I10" s="42"/>
      <c r="J10" s="42"/>
      <c r="K10" s="42"/>
      <c r="L10" s="2"/>
    </row>
    <row r="11" spans="1:12" ht="12.75">
      <c r="A11" s="4" t="s">
        <v>49</v>
      </c>
      <c r="B11" s="2"/>
      <c r="C11" s="2"/>
      <c r="D11" s="2"/>
      <c r="E11" s="2"/>
      <c r="F11" s="2"/>
      <c r="G11" s="42"/>
      <c r="H11" s="42"/>
      <c r="I11" s="42"/>
      <c r="J11" s="42"/>
      <c r="K11" s="42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42"/>
      <c r="H12" s="42"/>
      <c r="I12" s="42"/>
      <c r="J12" s="42"/>
      <c r="K12" s="42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/>
      <c r="C14" s="2"/>
      <c r="D14" s="2"/>
      <c r="E14" s="2"/>
      <c r="F14" s="2"/>
      <c r="G14" s="14"/>
      <c r="H14" s="14"/>
      <c r="I14" s="14"/>
      <c r="J14" s="14"/>
      <c r="K14" s="14"/>
      <c r="L14" s="2"/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/>
      <c r="C18" s="2"/>
      <c r="D18" s="2"/>
      <c r="E18" s="2"/>
      <c r="F18" s="2"/>
      <c r="G18" s="14"/>
      <c r="H18" s="14"/>
      <c r="I18" s="14"/>
      <c r="J18" s="14"/>
      <c r="K18" s="14"/>
      <c r="L18" s="2"/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14"/>
      <c r="H22" s="14"/>
      <c r="I22" s="14"/>
      <c r="J22" s="14"/>
      <c r="K22" s="14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21.64416</v>
      </c>
      <c r="H23" s="46">
        <f t="shared" si="0"/>
        <v>5.83992</v>
      </c>
      <c r="I23" s="46">
        <f t="shared" si="0"/>
        <v>42.3972</v>
      </c>
      <c r="J23" s="46">
        <f t="shared" si="0"/>
        <v>3.89328</v>
      </c>
      <c r="K23" s="46">
        <f t="shared" si="0"/>
        <v>2.1996</v>
      </c>
      <c r="L23" s="46">
        <f t="shared" si="0"/>
        <v>97.33200000000001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13-B</v>
      </c>
      <c r="B26" s="87"/>
      <c r="C26" s="87"/>
      <c r="D26" s="87"/>
    </row>
    <row r="27" spans="1:4" ht="12.75">
      <c r="A27" s="85" t="str">
        <f>A$1&amp;" Fugitive Dust Emissions (Pre-Mitigation)"</f>
        <v>SGS Grading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1</v>
      </c>
      <c r="C30" s="2" t="s">
        <v>46</v>
      </c>
      <c r="D30" s="43">
        <f>B30*'Fug. Dust Emission Factors'!C30</f>
        <v>1.9125</v>
      </c>
    </row>
    <row r="31" spans="1:4" ht="12.75">
      <c r="A31" s="4" t="s">
        <v>109</v>
      </c>
      <c r="B31" s="14">
        <f>SUM(F6:F22)-F8+E55+E56+E57+E58</f>
        <v>1</v>
      </c>
      <c r="C31" s="2" t="s">
        <v>46</v>
      </c>
      <c r="D31" s="43">
        <f>B31*'Fug. Dust Emission Factors'!C50</f>
        <v>0.30377707866800513</v>
      </c>
    </row>
    <row r="32" spans="1:4" ht="12.75">
      <c r="A32" s="4" t="s">
        <v>110</v>
      </c>
      <c r="B32" s="14">
        <f>E54</f>
        <v>1</v>
      </c>
      <c r="C32" s="2" t="s">
        <v>46</v>
      </c>
      <c r="D32" s="43">
        <f>B32*'Fug. Dust Emission Factors'!C65</f>
        <v>0.29982544505479114</v>
      </c>
    </row>
    <row r="33" spans="1:4" ht="12.75">
      <c r="A33" s="4" t="s">
        <v>69</v>
      </c>
      <c r="B33" s="11">
        <f>2250/43650</f>
        <v>0.05154639175257732</v>
      </c>
      <c r="C33" s="2" t="s">
        <v>85</v>
      </c>
      <c r="D33" s="43">
        <f>B33*'Fug. Dust Emission Factors'!C84</f>
        <v>1.134203407179937</v>
      </c>
    </row>
    <row r="34" spans="1:4" ht="12.75">
      <c r="A34" s="4" t="s">
        <v>75</v>
      </c>
      <c r="B34" s="14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0</v>
      </c>
      <c r="C35" s="2" t="s">
        <v>166</v>
      </c>
      <c r="D35" s="43">
        <f>B35*'Fug. Dust Emission Factors'!C130</f>
        <v>0</v>
      </c>
    </row>
    <row r="36" spans="1:4" ht="12.75">
      <c r="A36" s="15" t="s">
        <v>24</v>
      </c>
      <c r="B36" s="4"/>
      <c r="C36" s="4"/>
      <c r="D36" s="44">
        <f>SUM(D29:D35)</f>
        <v>3.650305930902733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13-C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SGS Grading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13-D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SGS Grading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1" spans="1:12" ht="12.75">
      <c r="A51" s="87" t="str">
        <f>"Table "&amp;A$2&amp;"-E"</f>
        <v>Table 13-E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SGS Grading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</v>
      </c>
      <c r="C54" s="2">
        <v>1</v>
      </c>
      <c r="D54" s="2">
        <v>4</v>
      </c>
      <c r="E54" s="14">
        <f>B54*C54</f>
        <v>1</v>
      </c>
      <c r="F54" s="14">
        <f>B54*D54</f>
        <v>4</v>
      </c>
      <c r="G54" s="42">
        <f>(E54*VLOOKUP(A54,'Motor Vehicle Emission Factors'!$A$6:$T$42,7,FALSE)+F54*VLOOKUP(A54,'Motor Vehicle Emission Factors'!$A$6:$T$42,8,FALSE))/453.6</f>
        <v>0.36772486772486773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0.06121913580246913</v>
      </c>
      <c r="I54" s="42">
        <f>(E54*VLOOKUP(A54,'Motor Vehicle Emission Factors'!$A$6:$T$42,15,FALSE)+F54*VLOOKUP(A54,'Motor Vehicle Emission Factors'!$A$6:$T$42,16,FALSE))/453.6</f>
        <v>0.029034391534391534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2.204585537918871E-05</v>
      </c>
      <c r="L54" s="42">
        <f>J54+K54</f>
        <v>2.204585537918871E-05</v>
      </c>
    </row>
    <row r="55" spans="1:12" ht="12.75">
      <c r="A55" s="4" t="s">
        <v>52</v>
      </c>
      <c r="B55" s="2">
        <v>1</v>
      </c>
      <c r="C55" s="2">
        <v>1</v>
      </c>
      <c r="D55" s="2">
        <v>2</v>
      </c>
      <c r="E55" s="14">
        <f>B55*C55</f>
        <v>1</v>
      </c>
      <c r="F55" s="14">
        <f>B55*D55</f>
        <v>2</v>
      </c>
      <c r="G55" s="42">
        <f>(E55*VLOOKUP(A55,'Motor Vehicle Emission Factors'!$A$6:$T$42,7,FALSE)+F55*VLOOKUP(A55,'Motor Vehicle Emission Factors'!$A$6:$T$42,8,FALSE))/453.6</f>
        <v>0.03095238095238095</v>
      </c>
      <c r="H55" s="42">
        <f>(E55*VLOOKUP(A55,'Motor Vehicle Emission Factors'!$A$6:$T$42,9,FALSE)+F55*VLOOKUP(A55,'Motor Vehicle Emission Factors'!$A$6:$T$42,10,FALSE)+F55*VLOOKUP(A55,'Motor Vehicle Emission Factors'!$A$6:$T$42,11,FALSE)+B55*12*VLOOKUP(A55,'Motor Vehicle Emission Factors'!$A$6:$T$42,12,FALSE)+E55*VLOOKUP(A55,'Motor Vehicle Emission Factors'!$A$6:$T$42,13,FALSE)+B55*12*VLOOKUP(A55,'Motor Vehicle Emission Factors'!$A$6:$T$42,14,FALSE))/453.6</f>
        <v>0.003880070546737213</v>
      </c>
      <c r="I55" s="42">
        <f>(E55*VLOOKUP(A55,'Motor Vehicle Emission Factors'!$A$6:$T$42,15,FALSE)+F55*VLOOKUP(A55,'Motor Vehicle Emission Factors'!$A$6:$T$42,16,FALSE))/453.6</f>
        <v>0.01801146384479718</v>
      </c>
      <c r="J55" s="42">
        <f>E55*VLOOKUP(A55,'Motor Vehicle Emission Factors'!$A$6:$T$42,17,FALSE)/453.6</f>
        <v>0.0009038800705467371</v>
      </c>
      <c r="K55" s="42">
        <f>E55*(VLOOKUP(A55,'Motor Vehicle Emission Factors'!$A$6:$T$42,18,FALSE)+VLOOKUP(A55,'Motor Vehicle Emission Factors'!$A$6:$T$42,19,FALSE)+VLOOKUP(A55,'Motor Vehicle Emission Factors'!$A$6:$T$42,20,FALSE))/453.6</f>
        <v>2.204585537918871E-05</v>
      </c>
      <c r="L55" s="42">
        <f>J55+K55</f>
        <v>0.0009259259259259259</v>
      </c>
    </row>
    <row r="56" spans="1:12" ht="12.75">
      <c r="A56" s="4" t="s">
        <v>130</v>
      </c>
      <c r="B56" s="2"/>
      <c r="C56" s="2"/>
      <c r="D56" s="2"/>
      <c r="E56" s="14"/>
      <c r="F56" s="14"/>
      <c r="G56" s="42"/>
      <c r="H56" s="42"/>
      <c r="I56" s="42"/>
      <c r="J56" s="42"/>
      <c r="K56" s="42"/>
      <c r="L56" s="42"/>
    </row>
    <row r="57" spans="1:12" ht="12.75">
      <c r="A57" s="4" t="s">
        <v>118</v>
      </c>
      <c r="B57" s="2"/>
      <c r="C57" s="2"/>
      <c r="D57" s="2"/>
      <c r="E57" s="14"/>
      <c r="F57" s="14"/>
      <c r="G57" s="42"/>
      <c r="H57" s="42"/>
      <c r="I57" s="42"/>
      <c r="J57" s="42"/>
      <c r="K57" s="42"/>
      <c r="L57" s="42"/>
    </row>
    <row r="58" spans="1:12" ht="12.75">
      <c r="A58" s="4" t="s">
        <v>116</v>
      </c>
      <c r="B58" s="2"/>
      <c r="C58" s="2"/>
      <c r="D58" s="2"/>
      <c r="E58" s="14"/>
      <c r="F58" s="14"/>
      <c r="G58" s="42"/>
      <c r="H58" s="42"/>
      <c r="I58" s="42"/>
      <c r="J58" s="42"/>
      <c r="K58" s="42"/>
      <c r="L58" s="42"/>
    </row>
    <row r="59" spans="1:12" ht="12.75">
      <c r="A59" s="4" t="s">
        <v>105</v>
      </c>
      <c r="B59" s="2">
        <v>3</v>
      </c>
      <c r="C59" s="2">
        <v>40</v>
      </c>
      <c r="D59" s="2">
        <v>2</v>
      </c>
      <c r="E59" s="14">
        <f>B59*C59</f>
        <v>120</v>
      </c>
      <c r="F59" s="14">
        <f>B59*D59</f>
        <v>6</v>
      </c>
      <c r="G59" s="42">
        <f>(E59*VLOOKUP(A59,'Motor Vehicle Emission Factors'!$A$6:$T$42,7,FALSE)+F59*VLOOKUP(A59,'Motor Vehicle Emission Factors'!$A$6:$T$42,8,FALSE))/453.6</f>
        <v>1.4518518518518517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0.1898148148148148</v>
      </c>
      <c r="I59" s="42">
        <f>(E59*VLOOKUP(A59,'Motor Vehicle Emission Factors'!$A$6:$T$42,15,FALSE)+F59*VLOOKUP(A59,'Motor Vehicle Emission Factors'!$A$6:$T$42,16,FALSE))/453.6</f>
        <v>0.20992063492063495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0.14882767054190232</v>
      </c>
      <c r="L59" s="42">
        <f>J59+K59</f>
        <v>0.14882767054190232</v>
      </c>
    </row>
    <row r="60" spans="1:12" ht="12.75">
      <c r="A60" s="4" t="s">
        <v>129</v>
      </c>
      <c r="B60" s="2"/>
      <c r="C60" s="2"/>
      <c r="D60" s="2"/>
      <c r="E60" s="14"/>
      <c r="F60" s="14"/>
      <c r="G60" s="42"/>
      <c r="H60" s="42"/>
      <c r="I60" s="42"/>
      <c r="J60" s="42"/>
      <c r="K60" s="42"/>
      <c r="L60" s="42"/>
    </row>
    <row r="61" spans="1:12" ht="12.75">
      <c r="A61" s="4" t="s">
        <v>128</v>
      </c>
      <c r="B61" s="2"/>
      <c r="C61" s="2"/>
      <c r="D61" s="2"/>
      <c r="E61" s="14"/>
      <c r="F61" s="14"/>
      <c r="G61" s="42"/>
      <c r="H61" s="42"/>
      <c r="I61" s="42"/>
      <c r="J61" s="42"/>
      <c r="K61" s="42"/>
      <c r="L61" s="42"/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1.8505291005291005</v>
      </c>
      <c r="H62" s="46">
        <f t="shared" si="1"/>
        <v>0.2549140211640211</v>
      </c>
      <c r="I62" s="46">
        <f t="shared" si="1"/>
        <v>0.25696649029982366</v>
      </c>
      <c r="J62" s="46">
        <f t="shared" si="1"/>
        <v>0.0009038800705467371</v>
      </c>
      <c r="K62" s="46">
        <f t="shared" si="1"/>
        <v>0.1488717622526607</v>
      </c>
      <c r="L62" s="46">
        <f t="shared" si="1"/>
        <v>0.14977564232320745</v>
      </c>
      <c r="M62" s="71">
        <f>E54+E59</f>
        <v>121</v>
      </c>
      <c r="N62" s="71">
        <f>SUM(E54:E61)-M62</f>
        <v>1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"&amp;A$2&amp;"-F"</f>
        <v>Table 13-F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SGS Grading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21.64416</v>
      </c>
      <c r="C69" s="43">
        <f>H23</f>
        <v>5.83992</v>
      </c>
      <c r="D69" s="43">
        <f>I23</f>
        <v>42.3972</v>
      </c>
      <c r="E69" s="43">
        <f>J23</f>
        <v>3.89328</v>
      </c>
      <c r="F69" s="43">
        <f>K23</f>
        <v>2.1996</v>
      </c>
      <c r="G69" s="43"/>
      <c r="H69" s="43">
        <f aca="true" t="shared" si="2" ref="H69:H77">F69+G69</f>
        <v>2.1996</v>
      </c>
    </row>
    <row r="70" spans="1:8" ht="12.75">
      <c r="A70" s="51" t="s">
        <v>127</v>
      </c>
      <c r="B70" s="43">
        <f>SUM(G54:G58)</f>
        <v>0.3986772486772487</v>
      </c>
      <c r="C70" s="43">
        <f>SUM(H54:H58)</f>
        <v>0.06509920634920634</v>
      </c>
      <c r="D70" s="43">
        <f>SUM(I54:I58)</f>
        <v>0.04704585537918871</v>
      </c>
      <c r="E70" s="43">
        <v>0</v>
      </c>
      <c r="F70" s="43">
        <f>SUM(J54:J58)</f>
        <v>0.0009038800705467371</v>
      </c>
      <c r="G70" s="43"/>
      <c r="H70" s="43">
        <f t="shared" si="2"/>
        <v>0.0009038800705467371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3.650305930902733</v>
      </c>
      <c r="H71" s="43">
        <f t="shared" si="2"/>
        <v>3.650305930902733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22.042837248677248</v>
      </c>
      <c r="C74" s="44">
        <f t="shared" si="3"/>
        <v>5.905019206349206</v>
      </c>
      <c r="D74" s="44">
        <f t="shared" si="3"/>
        <v>42.44424585537919</v>
      </c>
      <c r="E74" s="44">
        <f t="shared" si="3"/>
        <v>3.89328</v>
      </c>
      <c r="F74" s="44">
        <f t="shared" si="3"/>
        <v>2.200503880070547</v>
      </c>
      <c r="G74" s="44">
        <f t="shared" si="3"/>
        <v>3.650305930902733</v>
      </c>
      <c r="H74" s="44">
        <f t="shared" si="2"/>
        <v>5.85080981097328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0</v>
      </c>
      <c r="H75" s="45">
        <f t="shared" si="2"/>
        <v>0</v>
      </c>
    </row>
    <row r="76" spans="1:8" ht="12.75">
      <c r="A76" s="51" t="s">
        <v>99</v>
      </c>
      <c r="B76" s="45">
        <f>SUM(G59:G61)</f>
        <v>1.4518518518518517</v>
      </c>
      <c r="C76" s="45">
        <f>SUM(H59:H61)</f>
        <v>0.1898148148148148</v>
      </c>
      <c r="D76" s="45">
        <f>SUM(I59:I61)</f>
        <v>0.20992063492063495</v>
      </c>
      <c r="E76" s="45">
        <v>0</v>
      </c>
      <c r="F76" s="45">
        <f>SUM(J59:J61)</f>
        <v>0</v>
      </c>
      <c r="G76" s="45">
        <f>SUM(K59:K61)</f>
        <v>0.14882767054190232</v>
      </c>
      <c r="H76" s="45">
        <f t="shared" si="2"/>
        <v>0.14882767054190232</v>
      </c>
    </row>
    <row r="77" spans="1:8" ht="12.75">
      <c r="A77" s="15" t="s">
        <v>168</v>
      </c>
      <c r="B77" s="44">
        <f aca="true" t="shared" si="4" ref="B77:G77">SUM(B75:B76)</f>
        <v>1.4518518518518517</v>
      </c>
      <c r="C77" s="44">
        <f t="shared" si="4"/>
        <v>0.1898148148148148</v>
      </c>
      <c r="D77" s="44">
        <f t="shared" si="4"/>
        <v>0.20992063492063495</v>
      </c>
      <c r="E77" s="44">
        <f t="shared" si="4"/>
        <v>0</v>
      </c>
      <c r="F77" s="44">
        <f t="shared" si="4"/>
        <v>0</v>
      </c>
      <c r="G77" s="44">
        <f t="shared" si="4"/>
        <v>0.14882767054190232</v>
      </c>
      <c r="H77" s="44">
        <f t="shared" si="2"/>
        <v>0.14882767054190232</v>
      </c>
    </row>
    <row r="78" spans="1:8" ht="12.75">
      <c r="A78" s="15" t="s">
        <v>24</v>
      </c>
      <c r="B78" s="44">
        <f aca="true" t="shared" si="5" ref="B78:H78">B74+B77</f>
        <v>23.4946891005291</v>
      </c>
      <c r="C78" s="44">
        <f t="shared" si="5"/>
        <v>6.094834021164021</v>
      </c>
      <c r="D78" s="44">
        <f t="shared" si="5"/>
        <v>42.65416649029982</v>
      </c>
      <c r="E78" s="44">
        <f t="shared" si="5"/>
        <v>3.89328</v>
      </c>
      <c r="F78" s="44">
        <f t="shared" si="5"/>
        <v>2.200503880070547</v>
      </c>
      <c r="G78" s="44">
        <f t="shared" si="5"/>
        <v>3.7991336014446353</v>
      </c>
      <c r="H78" s="44">
        <f t="shared" si="5"/>
        <v>5.999637481515182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"&amp;A$2&amp;"-G"</f>
        <v>Table 13-G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SGS Grading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21.64416</v>
      </c>
      <c r="C85" s="43">
        <f>C69</f>
        <v>5.83992</v>
      </c>
      <c r="D85" s="43">
        <f>D69</f>
        <v>42.3972</v>
      </c>
      <c r="E85" s="43">
        <f>E69</f>
        <v>3.89328</v>
      </c>
      <c r="F85" s="43">
        <f>F69</f>
        <v>2.1996</v>
      </c>
      <c r="G85" s="43"/>
      <c r="H85" s="43">
        <f>F85+G85</f>
        <v>2.1996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-0.29199600000000003</v>
      </c>
      <c r="D87" s="43">
        <f>-D86*D85</f>
        <v>-2.11986</v>
      </c>
      <c r="E87" s="43">
        <f>-E86*E85</f>
        <v>-0.194664</v>
      </c>
      <c r="F87" s="43">
        <f>-F86*F85</f>
        <v>-0.10998000000000002</v>
      </c>
      <c r="G87" s="43"/>
      <c r="H87" s="43">
        <f>F87+G87</f>
        <v>-0.10998000000000002</v>
      </c>
    </row>
    <row r="88" spans="1:8" ht="12.75">
      <c r="A88" s="15" t="s">
        <v>125</v>
      </c>
      <c r="B88" s="44">
        <f>B85+B87</f>
        <v>21.64416</v>
      </c>
      <c r="C88" s="44">
        <f>C85+C87</f>
        <v>5.547924</v>
      </c>
      <c r="D88" s="44">
        <f>D85+D87</f>
        <v>40.277339999999995</v>
      </c>
      <c r="E88" s="44">
        <f>E85+E87</f>
        <v>3.698616</v>
      </c>
      <c r="F88" s="44">
        <f>F85+F87</f>
        <v>2.08962</v>
      </c>
      <c r="G88" s="44"/>
      <c r="H88" s="44">
        <f>F88+G88</f>
        <v>2.08962</v>
      </c>
    </row>
    <row r="89" spans="1:8" ht="12.75">
      <c r="A89" s="15" t="s">
        <v>127</v>
      </c>
      <c r="B89" s="45">
        <f>B70</f>
        <v>0.3986772486772487</v>
      </c>
      <c r="C89" s="45">
        <f>C70</f>
        <v>0.06509920634920634</v>
      </c>
      <c r="D89" s="45">
        <f>D70</f>
        <v>0.04704585537918871</v>
      </c>
      <c r="E89" s="45">
        <f>E70</f>
        <v>0</v>
      </c>
      <c r="F89" s="45">
        <f>F70</f>
        <v>0.0009038800705467371</v>
      </c>
      <c r="G89" s="45"/>
      <c r="H89" s="43">
        <f>F89+G89</f>
        <v>0.0009038800705467371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0.3986772486772487</v>
      </c>
      <c r="C92" s="44">
        <f>C89+C91</f>
        <v>0.06509920634920634</v>
      </c>
      <c r="D92" s="44">
        <f>D89+D91</f>
        <v>0.04704585537918871</v>
      </c>
      <c r="E92" s="44">
        <f>E89+E91</f>
        <v>0</v>
      </c>
      <c r="F92" s="44">
        <f>F89+F91</f>
        <v>0.0009038800705467371</v>
      </c>
      <c r="G92" s="44"/>
      <c r="H92" s="44">
        <f>F92+G92</f>
        <v>0.0009038800705467371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3.650305930902733</v>
      </c>
      <c r="H93" s="43">
        <f>F93+G93</f>
        <v>3.650305930902733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-0.5840489489444373</v>
      </c>
      <c r="H95" s="43">
        <f>F95+G95</f>
        <v>-0.5840489489444373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3.0662569819582957</v>
      </c>
      <c r="H96" s="44">
        <f>F96+G96</f>
        <v>3.0662569819582957</v>
      </c>
    </row>
    <row r="97" spans="1:8" ht="12.75">
      <c r="A97" s="15" t="s">
        <v>96</v>
      </c>
      <c r="B97" s="43"/>
      <c r="C97" s="43">
        <f>C72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C73</f>
        <v>0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 aca="true" t="shared" si="6" ref="B105:G105">B88+B92+B96+B100+B104</f>
        <v>22.042837248677248</v>
      </c>
      <c r="C105" s="44">
        <f t="shared" si="6"/>
        <v>5.613023206349206</v>
      </c>
      <c r="D105" s="44">
        <f t="shared" si="6"/>
        <v>40.324385855379184</v>
      </c>
      <c r="E105" s="44">
        <f t="shared" si="6"/>
        <v>3.698616</v>
      </c>
      <c r="F105" s="44">
        <f t="shared" si="6"/>
        <v>2.090523880070547</v>
      </c>
      <c r="G105" s="44">
        <f t="shared" si="6"/>
        <v>3.0662569819582957</v>
      </c>
      <c r="H105" s="44">
        <f>H88+H96+H100+H104</f>
        <v>5.155876981958295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0</v>
      </c>
      <c r="H106" s="44">
        <f>F106+G106</f>
        <v>0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0</v>
      </c>
      <c r="H108" s="43">
        <f>F108+G108</f>
        <v>0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0</v>
      </c>
      <c r="H109" s="44">
        <f>F109+G109</f>
        <v>0</v>
      </c>
    </row>
    <row r="110" spans="1:8" ht="12.75">
      <c r="A110" s="15" t="s">
        <v>99</v>
      </c>
      <c r="B110" s="44">
        <f aca="true" t="shared" si="7" ref="B110:H110">B76</f>
        <v>1.4518518518518517</v>
      </c>
      <c r="C110" s="44">
        <f t="shared" si="7"/>
        <v>0.1898148148148148</v>
      </c>
      <c r="D110" s="44">
        <f t="shared" si="7"/>
        <v>0.20992063492063495</v>
      </c>
      <c r="E110" s="44">
        <f t="shared" si="7"/>
        <v>0</v>
      </c>
      <c r="F110" s="44">
        <f t="shared" si="7"/>
        <v>0</v>
      </c>
      <c r="G110" s="44">
        <f t="shared" si="7"/>
        <v>0.14882767054190232</v>
      </c>
      <c r="H110" s="44">
        <f t="shared" si="7"/>
        <v>0.14882767054190232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1.4518518518518517</v>
      </c>
      <c r="C113" s="44">
        <f t="shared" si="9"/>
        <v>0.1898148148148148</v>
      </c>
      <c r="D113" s="44">
        <f t="shared" si="9"/>
        <v>0.20992063492063495</v>
      </c>
      <c r="E113" s="44">
        <f t="shared" si="9"/>
        <v>0</v>
      </c>
      <c r="F113" s="44">
        <f t="shared" si="9"/>
        <v>0</v>
      </c>
      <c r="G113" s="44">
        <f t="shared" si="9"/>
        <v>0.14882767054190232</v>
      </c>
      <c r="H113" s="44">
        <f>F113+G113</f>
        <v>0.14882767054190232</v>
      </c>
    </row>
    <row r="114" spans="1:8" ht="12.75">
      <c r="A114" s="15" t="s">
        <v>168</v>
      </c>
      <c r="B114" s="44">
        <f aca="true" t="shared" si="10" ref="B114:H114">B113+B109</f>
        <v>1.4518518518518517</v>
      </c>
      <c r="C114" s="44">
        <f t="shared" si="10"/>
        <v>0.1898148148148148</v>
      </c>
      <c r="D114" s="44">
        <f t="shared" si="10"/>
        <v>0.20992063492063495</v>
      </c>
      <c r="E114" s="44">
        <f t="shared" si="10"/>
        <v>0</v>
      </c>
      <c r="F114" s="44">
        <f t="shared" si="10"/>
        <v>0</v>
      </c>
      <c r="G114" s="44">
        <f t="shared" si="10"/>
        <v>0.14882767054190232</v>
      </c>
      <c r="H114" s="44">
        <f t="shared" si="10"/>
        <v>0.14882767054190232</v>
      </c>
    </row>
    <row r="115" spans="1:8" ht="12.75">
      <c r="A115" s="15" t="s">
        <v>24</v>
      </c>
      <c r="B115" s="44">
        <f aca="true" t="shared" si="11" ref="B115:H115">B105+B114</f>
        <v>23.4946891005291</v>
      </c>
      <c r="C115" s="44">
        <f t="shared" si="11"/>
        <v>5.802838021164021</v>
      </c>
      <c r="D115" s="44">
        <f t="shared" si="11"/>
        <v>40.53430649029982</v>
      </c>
      <c r="E115" s="44">
        <f t="shared" si="11"/>
        <v>3.698616</v>
      </c>
      <c r="F115" s="44">
        <f t="shared" si="11"/>
        <v>2.090523880070547</v>
      </c>
      <c r="G115" s="44">
        <f t="shared" si="11"/>
        <v>3.215084652500198</v>
      </c>
      <c r="H115" s="44">
        <f t="shared" si="11"/>
        <v>5.304704652500198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83:H83"/>
    <mergeCell ref="A51:L51"/>
    <mergeCell ref="A52:L52"/>
    <mergeCell ref="A66:H66"/>
    <mergeCell ref="A46:G46"/>
    <mergeCell ref="A26:D26"/>
    <mergeCell ref="A27:D27"/>
    <mergeCell ref="A67:H67"/>
    <mergeCell ref="A82:H82"/>
    <mergeCell ref="A3:L3"/>
    <mergeCell ref="A4:L4"/>
    <mergeCell ref="A39:F39"/>
    <mergeCell ref="A40:F40"/>
    <mergeCell ref="A45:G45"/>
  </mergeCells>
  <printOptions horizontalCentered="1"/>
  <pageMargins left="0.75" right="0.75" top="1" bottom="1" header="0.5" footer="0.5"/>
  <pageSetup fitToHeight="20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1"/>
  <dimension ref="A1:N117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7.57421875" style="0" customWidth="1"/>
    <col min="2" max="2" width="8.421875" style="0" customWidth="1"/>
    <col min="3" max="3" width="11.00390625" style="0" customWidth="1"/>
    <col min="4" max="4" width="9.8515625" style="0" customWidth="1"/>
    <col min="6" max="6" width="10.140625" style="0" customWidth="1"/>
    <col min="10" max="10" width="8.7109375" style="0" customWidth="1"/>
    <col min="13" max="14" width="9.140625" style="0" hidden="1" customWidth="1"/>
    <col min="15" max="15" width="0" style="0" hidden="1" customWidth="1"/>
  </cols>
  <sheetData>
    <row r="1" ht="12.75" hidden="1">
      <c r="A1" s="17" t="s">
        <v>224</v>
      </c>
    </row>
    <row r="2" ht="12.75" hidden="1">
      <c r="A2" s="52">
        <v>14</v>
      </c>
    </row>
    <row r="3" spans="1:12" ht="12.75">
      <c r="A3" s="87" t="str">
        <f>"Table "&amp;A$2&amp;"-A"</f>
        <v>Table 14-A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5" t="str">
        <f>A$1&amp;" Construction Equipment Emissions (Pre-Mitigation)"</f>
        <v>SGS Slab Demolition Construction Equipment Emissions (Pre-Mitigation)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">
      <c r="A5" s="3" t="s">
        <v>26</v>
      </c>
      <c r="B5" s="3" t="s">
        <v>34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193</v>
      </c>
      <c r="H5" s="3" t="s">
        <v>194</v>
      </c>
      <c r="I5" s="3" t="s">
        <v>199</v>
      </c>
      <c r="J5" s="3" t="s">
        <v>200</v>
      </c>
      <c r="K5" s="3" t="s">
        <v>201</v>
      </c>
      <c r="L5" s="3" t="s">
        <v>257</v>
      </c>
    </row>
    <row r="6" spans="1:12" ht="12.75">
      <c r="A6" s="4" t="s">
        <v>106</v>
      </c>
      <c r="B6" s="2"/>
      <c r="C6" s="2"/>
      <c r="D6" s="2"/>
      <c r="E6" s="2"/>
      <c r="F6" s="2"/>
      <c r="G6" s="14"/>
      <c r="H6" s="14"/>
      <c r="I6" s="14"/>
      <c r="J6" s="14"/>
      <c r="K6" s="14"/>
      <c r="L6" s="2"/>
    </row>
    <row r="7" spans="1:12" ht="12.75">
      <c r="A7" s="4" t="s">
        <v>47</v>
      </c>
      <c r="B7" s="2"/>
      <c r="C7" s="2"/>
      <c r="D7" s="2"/>
      <c r="E7" s="2"/>
      <c r="F7" s="2"/>
      <c r="G7" s="42"/>
      <c r="H7" s="42"/>
      <c r="I7" s="42"/>
      <c r="J7" s="42"/>
      <c r="K7" s="42"/>
      <c r="L7" s="2"/>
    </row>
    <row r="8" spans="1:12" ht="12.75">
      <c r="A8" s="4" t="s">
        <v>43</v>
      </c>
      <c r="B8" s="2"/>
      <c r="C8" s="2"/>
      <c r="D8" s="2"/>
      <c r="E8" s="2"/>
      <c r="F8" s="2"/>
      <c r="G8" s="42"/>
      <c r="H8" s="42"/>
      <c r="I8" s="42"/>
      <c r="J8" s="42"/>
      <c r="K8" s="42"/>
      <c r="L8" s="43"/>
    </row>
    <row r="9" spans="1:12" ht="12.75">
      <c r="A9" s="4" t="s">
        <v>33</v>
      </c>
      <c r="B9" s="2">
        <v>1</v>
      </c>
      <c r="C9" s="2">
        <v>16</v>
      </c>
      <c r="D9" s="2">
        <f>B9*C9</f>
        <v>16</v>
      </c>
      <c r="E9" s="2">
        <v>1</v>
      </c>
      <c r="F9" s="2">
        <f>IF(E9&lt;&gt;"N/A",B9*E9,"N/A")</f>
        <v>1</v>
      </c>
      <c r="G9" s="42">
        <f>$D9*VLOOKUP($A9,'Const. Equip. Emission Factors'!$A$5:$N$25,10,FALSE)</f>
        <v>16.4052</v>
      </c>
      <c r="H9" s="42">
        <f>$D9*VLOOKUP($A9,'Const. Equip. Emission Factors'!$A$5:$N$25,11,FALSE)</f>
        <v>3.28104</v>
      </c>
      <c r="I9" s="42">
        <f>$D9*VLOOKUP($A9,'Const. Equip. Emission Factors'!$A$5:$N$25,12,FALSE)</f>
        <v>24.06096</v>
      </c>
      <c r="J9" s="42">
        <f>$D9*VLOOKUP($A9,'Const. Equip. Emission Factors'!$A$5:$N$25,13,FALSE)</f>
        <v>2.18736</v>
      </c>
      <c r="K9" s="42">
        <f>$D9*VLOOKUP($A9,'Const. Equip. Emission Factors'!$A$5:$N$25,14,FALSE)</f>
        <v>1.09368</v>
      </c>
      <c r="L9" s="43">
        <f>VLOOKUP(A9,'Const. Equip. Emission Factors'!$A$5:$P$23,16,FALSE)*D9</f>
        <v>54.684000000000005</v>
      </c>
    </row>
    <row r="10" spans="1:12" ht="12.75">
      <c r="A10" s="4" t="s">
        <v>48</v>
      </c>
      <c r="B10" s="2"/>
      <c r="C10" s="2"/>
      <c r="D10" s="2"/>
      <c r="E10" s="2"/>
      <c r="F10" s="2"/>
      <c r="G10" s="42"/>
      <c r="H10" s="42"/>
      <c r="I10" s="42"/>
      <c r="J10" s="42"/>
      <c r="K10" s="42"/>
      <c r="L10" s="43"/>
    </row>
    <row r="11" spans="1:12" ht="12.75">
      <c r="A11" s="4" t="s">
        <v>49</v>
      </c>
      <c r="B11" s="2"/>
      <c r="C11" s="2"/>
      <c r="D11" s="2"/>
      <c r="E11" s="2"/>
      <c r="F11" s="2"/>
      <c r="G11" s="42"/>
      <c r="H11" s="42"/>
      <c r="I11" s="42"/>
      <c r="J11" s="42"/>
      <c r="K11" s="42"/>
      <c r="L11" s="2"/>
    </row>
    <row r="12" spans="1:12" ht="12.75">
      <c r="A12" s="4" t="s">
        <v>50</v>
      </c>
      <c r="B12" s="2"/>
      <c r="C12" s="2"/>
      <c r="D12" s="2"/>
      <c r="E12" s="2"/>
      <c r="F12" s="2"/>
      <c r="G12" s="42"/>
      <c r="H12" s="42"/>
      <c r="I12" s="42"/>
      <c r="J12" s="42"/>
      <c r="K12" s="42"/>
      <c r="L12" s="2"/>
    </row>
    <row r="13" spans="1:12" ht="12.75">
      <c r="A13" s="4" t="s">
        <v>51</v>
      </c>
      <c r="B13" s="2"/>
      <c r="C13" s="2"/>
      <c r="D13" s="2"/>
      <c r="E13" s="2"/>
      <c r="F13" s="2"/>
      <c r="G13" s="14"/>
      <c r="H13" s="14"/>
      <c r="I13" s="14"/>
      <c r="J13" s="14"/>
      <c r="K13" s="14"/>
      <c r="L13" s="2"/>
    </row>
    <row r="14" spans="1:12" ht="12.75">
      <c r="A14" s="4" t="s">
        <v>283</v>
      </c>
      <c r="B14" s="2">
        <v>1</v>
      </c>
      <c r="C14" s="2">
        <v>16</v>
      </c>
      <c r="D14" s="2">
        <f>B14*C14</f>
        <v>16</v>
      </c>
      <c r="E14" s="2">
        <v>1</v>
      </c>
      <c r="F14" s="2">
        <f>IF(E14&lt;&gt;"N/A",B14*E14,"N/A")</f>
        <v>1</v>
      </c>
      <c r="G14" s="42">
        <f>$D14*VLOOKUP($A14,'Const. Equip. Emission Factors'!$A$5:$N$25,10,FALSE)</f>
        <v>8.8164</v>
      </c>
      <c r="H14" s="42">
        <f>$D14*VLOOKUP($A14,'Const. Equip. Emission Factors'!$A$5:$N$25,11,FALSE)</f>
        <v>1.76328</v>
      </c>
      <c r="I14" s="42">
        <f>$D14*VLOOKUP($A14,'Const. Equip. Emission Factors'!$A$5:$N$25,12,FALSE)</f>
        <v>12.930719999999999</v>
      </c>
      <c r="J14" s="42">
        <f>$D14*VLOOKUP($A14,'Const. Equip. Emission Factors'!$A$5:$N$25,13,FALSE)</f>
        <v>1.1755200000000001</v>
      </c>
      <c r="K14" s="42">
        <f>$D14*VLOOKUP($A14,'Const. Equip. Emission Factors'!$A$5:$N$25,14,FALSE)</f>
        <v>0.5877600000000001</v>
      </c>
      <c r="L14" s="43">
        <f>VLOOKUP(A14,'Const. Equip. Emission Factors'!$A$5:$P$23,16,FALSE)*D14</f>
        <v>29.388</v>
      </c>
    </row>
    <row r="15" spans="1:12" ht="12.75">
      <c r="A15" s="4" t="s">
        <v>284</v>
      </c>
      <c r="B15" s="2"/>
      <c r="C15" s="2"/>
      <c r="D15" s="2"/>
      <c r="E15" s="2"/>
      <c r="F15" s="2"/>
      <c r="G15" s="14"/>
      <c r="H15" s="14"/>
      <c r="I15" s="14"/>
      <c r="J15" s="14"/>
      <c r="K15" s="14"/>
      <c r="L15" s="2"/>
    </row>
    <row r="16" spans="1:12" ht="12.75">
      <c r="A16" s="4" t="s">
        <v>289</v>
      </c>
      <c r="B16" s="2"/>
      <c r="C16" s="2"/>
      <c r="D16" s="2"/>
      <c r="E16" s="2"/>
      <c r="F16" s="2"/>
      <c r="G16" s="14"/>
      <c r="H16" s="14"/>
      <c r="I16" s="14"/>
      <c r="J16" s="14"/>
      <c r="K16" s="14"/>
      <c r="L16" s="2"/>
    </row>
    <row r="17" spans="1:12" ht="12.75">
      <c r="A17" s="4" t="s">
        <v>285</v>
      </c>
      <c r="B17" s="2">
        <v>5</v>
      </c>
      <c r="C17" s="2">
        <v>12</v>
      </c>
      <c r="D17" s="2">
        <f>B17*C17</f>
        <v>60</v>
      </c>
      <c r="E17" s="2" t="s">
        <v>84</v>
      </c>
      <c r="F17" s="2" t="str">
        <f>IF(E17&lt;&gt;"N/A",B17*E17,"N/A")</f>
        <v>N/A</v>
      </c>
      <c r="G17" s="42">
        <f>$D17*VLOOKUP($A17,'Const. Equip. Emission Factors'!$A$5:$N$25,10,FALSE)</f>
        <v>10.1184</v>
      </c>
      <c r="H17" s="42">
        <f>$D17*VLOOKUP($A17,'Const. Equip. Emission Factors'!$A$5:$N$25,11,FALSE)</f>
        <v>1.51776</v>
      </c>
      <c r="I17" s="42">
        <f>$D17*VLOOKUP($A17,'Const. Equip. Emission Factors'!$A$5:$N$25,12,FALSE)</f>
        <v>12.14208</v>
      </c>
      <c r="J17" s="42">
        <f>$D17*VLOOKUP($A17,'Const. Equip. Emission Factors'!$A$5:$N$25,13,FALSE)</f>
        <v>1.01184</v>
      </c>
      <c r="K17" s="42">
        <f>$D17*VLOOKUP($A17,'Const. Equip. Emission Factors'!$A$5:$N$25,14,FALSE)</f>
        <v>0.75888</v>
      </c>
      <c r="L17" s="43">
        <f>VLOOKUP(A17,'Const. Equip. Emission Factors'!$A$5:$P$23,16,FALSE)*D17</f>
        <v>25.296000000000003</v>
      </c>
    </row>
    <row r="18" spans="1:12" ht="12.75">
      <c r="A18" s="4" t="s">
        <v>364</v>
      </c>
      <c r="B18" s="2">
        <v>1</v>
      </c>
      <c r="C18" s="2">
        <v>16</v>
      </c>
      <c r="D18" s="2">
        <f>B18*C18</f>
        <v>16</v>
      </c>
      <c r="E18" s="2" t="s">
        <v>84</v>
      </c>
      <c r="F18" s="2" t="str">
        <f>IF(E18&lt;&gt;"N/A",B18*E18,"N/A")</f>
        <v>N/A</v>
      </c>
      <c r="G18" s="42">
        <f>$D18*VLOOKUP($A18,'Const. Equip. Emission Factors'!$A$5:$N$25,10,FALSE)</f>
        <v>3.1257599999999996</v>
      </c>
      <c r="H18" s="42">
        <f>$D18*VLOOKUP($A18,'Const. Equip. Emission Factors'!$A$5:$N$25,11,FALSE)</f>
        <v>0.56832</v>
      </c>
      <c r="I18" s="42">
        <f>$D18*VLOOKUP($A18,'Const. Equip. Emission Factors'!$A$5:$N$25,12,FALSE)</f>
        <v>5.114879999999999</v>
      </c>
      <c r="J18" s="42">
        <f>$D18*VLOOKUP($A18,'Const. Equip. Emission Factors'!$A$5:$N$25,13,FALSE)</f>
        <v>0.56832</v>
      </c>
      <c r="K18" s="42">
        <f>$D18*VLOOKUP($A18,'Const. Equip. Emission Factors'!$A$5:$N$25,14,FALSE)</f>
        <v>0.28416</v>
      </c>
      <c r="L18" s="43">
        <f>VLOOKUP(A18,'Const. Equip. Emission Factors'!$A$5:$P$23,16,FALSE)*D18</f>
        <v>14.208000000000002</v>
      </c>
    </row>
    <row r="19" spans="1:12" ht="12.75">
      <c r="A19" s="4" t="s">
        <v>286</v>
      </c>
      <c r="B19" s="2"/>
      <c r="C19" s="2"/>
      <c r="D19" s="2"/>
      <c r="E19" s="2"/>
      <c r="F19" s="2"/>
      <c r="G19" s="14"/>
      <c r="H19" s="14"/>
      <c r="I19" s="14"/>
      <c r="J19" s="14"/>
      <c r="K19" s="14"/>
      <c r="L19" s="2"/>
    </row>
    <row r="20" spans="1:12" ht="12.75">
      <c r="A20" s="4" t="s">
        <v>287</v>
      </c>
      <c r="B20" s="2"/>
      <c r="C20" s="2"/>
      <c r="D20" s="2"/>
      <c r="E20" s="2"/>
      <c r="F20" s="2"/>
      <c r="G20" s="14"/>
      <c r="H20" s="14"/>
      <c r="I20" s="14"/>
      <c r="J20" s="14"/>
      <c r="K20" s="14"/>
      <c r="L20" s="2"/>
    </row>
    <row r="21" spans="1:12" ht="12.75">
      <c r="A21" s="4" t="s">
        <v>288</v>
      </c>
      <c r="B21" s="2"/>
      <c r="C21" s="2"/>
      <c r="D21" s="2"/>
      <c r="E21" s="2"/>
      <c r="F21" s="2"/>
      <c r="G21" s="14"/>
      <c r="H21" s="14"/>
      <c r="I21" s="14"/>
      <c r="J21" s="14"/>
      <c r="K21" s="14"/>
      <c r="L21" s="2"/>
    </row>
    <row r="22" spans="1:12" ht="12.75">
      <c r="A22" s="4" t="s">
        <v>27</v>
      </c>
      <c r="B22" s="2"/>
      <c r="C22" s="2"/>
      <c r="D22" s="2"/>
      <c r="E22" s="2"/>
      <c r="F22" s="2"/>
      <c r="G22" s="42"/>
      <c r="H22" s="42"/>
      <c r="I22" s="42"/>
      <c r="J22" s="42"/>
      <c r="K22" s="42"/>
      <c r="L22" s="2"/>
    </row>
    <row r="23" spans="1:12" ht="12.75">
      <c r="A23" s="15" t="s">
        <v>24</v>
      </c>
      <c r="B23" s="18"/>
      <c r="C23" s="18"/>
      <c r="D23" s="18"/>
      <c r="E23" s="18"/>
      <c r="F23" s="18"/>
      <c r="G23" s="46">
        <f aca="true" t="shared" si="0" ref="G23:L23">SUM(G6:G22)</f>
        <v>38.46576</v>
      </c>
      <c r="H23" s="46">
        <f t="shared" si="0"/>
        <v>7.1304</v>
      </c>
      <c r="I23" s="46">
        <f t="shared" si="0"/>
        <v>54.24864</v>
      </c>
      <c r="J23" s="46">
        <f t="shared" si="0"/>
        <v>4.94304</v>
      </c>
      <c r="K23" s="46">
        <f t="shared" si="0"/>
        <v>2.72448</v>
      </c>
      <c r="L23" s="46">
        <f t="shared" si="0"/>
        <v>123.57600000000001</v>
      </c>
    </row>
    <row r="24" ht="12.75">
      <c r="A24" s="39" t="s">
        <v>132</v>
      </c>
    </row>
    <row r="25" ht="12.75">
      <c r="A25" s="39"/>
    </row>
    <row r="26" spans="1:4" ht="12.75">
      <c r="A26" s="87" t="str">
        <f>"Table "&amp;A$2&amp;"-B"</f>
        <v>Table 14-B</v>
      </c>
      <c r="B26" s="87"/>
      <c r="C26" s="87"/>
      <c r="D26" s="87"/>
    </row>
    <row r="27" spans="1:4" ht="12.75">
      <c r="A27" s="85" t="str">
        <f>A$1&amp;" Fugitive Dust Emissions (Pre-Mitigation)"</f>
        <v>SGS Slab Demolition Fugitive Dust Emissions (Pre-Mitigation)</v>
      </c>
      <c r="B27" s="85"/>
      <c r="C27" s="85"/>
      <c r="D27" s="85"/>
    </row>
    <row r="28" spans="1:4" ht="28.5">
      <c r="A28" s="2" t="s">
        <v>87</v>
      </c>
      <c r="B28" s="3" t="s">
        <v>81</v>
      </c>
      <c r="C28" s="2" t="s">
        <v>82</v>
      </c>
      <c r="D28" s="3" t="s">
        <v>201</v>
      </c>
    </row>
    <row r="29" spans="1:4" ht="12.75">
      <c r="A29" s="4" t="s">
        <v>44</v>
      </c>
      <c r="B29" s="2">
        <f>SUM(D6:D7)</f>
        <v>0</v>
      </c>
      <c r="C29" s="2" t="s">
        <v>83</v>
      </c>
      <c r="D29" s="43">
        <f>B29*'Fug. Dust Emission Factors'!C15</f>
        <v>0</v>
      </c>
    </row>
    <row r="30" spans="1:4" ht="12.75">
      <c r="A30" s="4" t="s">
        <v>45</v>
      </c>
      <c r="B30" s="14">
        <f>F8</f>
        <v>0</v>
      </c>
      <c r="C30" s="2" t="s">
        <v>83</v>
      </c>
      <c r="D30" s="43">
        <f>B30*'Fug. Dust Emission Factors'!C30</f>
        <v>0</v>
      </c>
    </row>
    <row r="31" spans="1:4" ht="12.75">
      <c r="A31" s="4" t="s">
        <v>109</v>
      </c>
      <c r="B31" s="14">
        <f>SUM(F6:F22)-F8+E55+E56+E57+E58</f>
        <v>18</v>
      </c>
      <c r="C31" s="2" t="s">
        <v>46</v>
      </c>
      <c r="D31" s="43">
        <f>B31*'Fug. Dust Emission Factors'!C50</f>
        <v>5.467987416024092</v>
      </c>
    </row>
    <row r="32" spans="1:4" ht="12.75">
      <c r="A32" s="4" t="s">
        <v>110</v>
      </c>
      <c r="B32" s="14">
        <f>E54</f>
        <v>1</v>
      </c>
      <c r="C32" s="2" t="s">
        <v>46</v>
      </c>
      <c r="D32" s="43">
        <f>B32*'Fug. Dust Emission Factors'!C65</f>
        <v>0.29982544505479114</v>
      </c>
    </row>
    <row r="33" spans="1:4" ht="12.75">
      <c r="A33" s="4" t="s">
        <v>69</v>
      </c>
      <c r="B33" s="11">
        <v>0</v>
      </c>
      <c r="C33" s="2" t="s">
        <v>85</v>
      </c>
      <c r="D33" s="43">
        <f>B33*'Fug. Dust Emission Factors'!C84</f>
        <v>0</v>
      </c>
    </row>
    <row r="34" spans="1:4" ht="12.75">
      <c r="A34" s="4" t="s">
        <v>75</v>
      </c>
      <c r="B34" s="14">
        <v>0</v>
      </c>
      <c r="C34" s="2" t="s">
        <v>86</v>
      </c>
      <c r="D34" s="43">
        <f>B34*'Fug. Dust Emission Factors'!C99</f>
        <v>0</v>
      </c>
    </row>
    <row r="35" spans="1:4" ht="12.75">
      <c r="A35" s="4" t="s">
        <v>148</v>
      </c>
      <c r="B35" s="2">
        <f>B61</f>
        <v>16</v>
      </c>
      <c r="C35" s="2" t="s">
        <v>166</v>
      </c>
      <c r="D35" s="43">
        <f>B35*'Fug. Dust Emission Factors'!C130</f>
        <v>25.642763421212795</v>
      </c>
    </row>
    <row r="36" spans="1:4" ht="12.75">
      <c r="A36" s="15" t="s">
        <v>24</v>
      </c>
      <c r="B36" s="4"/>
      <c r="C36" s="4"/>
      <c r="D36" s="44">
        <f>SUM(D29:D35)</f>
        <v>31.41057628229168</v>
      </c>
    </row>
    <row r="37" ht="12.75">
      <c r="A37" s="39" t="s">
        <v>132</v>
      </c>
    </row>
    <row r="38" ht="12.75">
      <c r="A38" s="39"/>
    </row>
    <row r="39" spans="1:6" ht="12.75">
      <c r="A39" s="87" t="str">
        <f>"Table "&amp;A$2&amp;"-C"</f>
        <v>Table 14-C</v>
      </c>
      <c r="B39" s="87"/>
      <c r="C39" s="87"/>
      <c r="D39" s="87"/>
      <c r="E39" s="87"/>
      <c r="F39" s="87"/>
    </row>
    <row r="40" spans="1:6" ht="12.75">
      <c r="A40" s="85" t="str">
        <f>A$1&amp;" Asphaltic Paving Emissions (Pre-Mitigation)"</f>
        <v>SGS Slab Demolition Asphaltic Paving Emissions (Pre-Mitigation)</v>
      </c>
      <c r="B40" s="85"/>
      <c r="C40" s="85"/>
      <c r="D40" s="85"/>
      <c r="E40" s="85"/>
      <c r="F40" s="85"/>
    </row>
    <row r="41" spans="1:6" ht="12.75">
      <c r="A41" s="4" t="s">
        <v>88</v>
      </c>
      <c r="B41" s="2">
        <v>0</v>
      </c>
      <c r="C41" s="33"/>
      <c r="D41" s="31"/>
      <c r="E41" s="31"/>
      <c r="F41" s="32"/>
    </row>
    <row r="42" spans="1:6" ht="12.75">
      <c r="A42" s="4" t="s">
        <v>89</v>
      </c>
      <c r="B42" s="2">
        <v>2.62</v>
      </c>
      <c r="C42" s="33" t="s">
        <v>90</v>
      </c>
      <c r="D42" s="31"/>
      <c r="E42" s="31"/>
      <c r="F42" s="32"/>
    </row>
    <row r="43" spans="1:6" ht="12.75">
      <c r="A43" s="15" t="s">
        <v>92</v>
      </c>
      <c r="B43" s="44">
        <f>B42*B41</f>
        <v>0</v>
      </c>
      <c r="C43" s="33"/>
      <c r="D43" s="31"/>
      <c r="E43" s="31"/>
      <c r="F43" s="32"/>
    </row>
    <row r="45" spans="1:7" ht="12.75">
      <c r="A45" s="87" t="str">
        <f>"Table "&amp;A$2&amp;"-D"</f>
        <v>Table 14-D</v>
      </c>
      <c r="B45" s="87"/>
      <c r="C45" s="87"/>
      <c r="D45" s="87"/>
      <c r="E45" s="87"/>
      <c r="F45" s="87"/>
      <c r="G45" s="87"/>
    </row>
    <row r="46" spans="1:7" ht="12.75">
      <c r="A46" s="85" t="str">
        <f>A$1&amp;" Architectural Coating Emissions (Pre-Mitigation)"</f>
        <v>SGS Slab Demolition Architectural Coating Emissions (Pre-Mitigation)</v>
      </c>
      <c r="B46" s="85"/>
      <c r="C46" s="85"/>
      <c r="D46" s="85"/>
      <c r="E46" s="85"/>
      <c r="F46" s="85"/>
      <c r="G46" s="85"/>
    </row>
    <row r="47" spans="1:7" ht="12.75">
      <c r="A47" s="4" t="s">
        <v>91</v>
      </c>
      <c r="B47" s="2">
        <v>0</v>
      </c>
      <c r="C47" s="33"/>
      <c r="D47" s="31"/>
      <c r="E47" s="31"/>
      <c r="F47" s="31"/>
      <c r="G47" s="32"/>
    </row>
    <row r="48" spans="1:7" ht="12.75">
      <c r="A48" s="4" t="s">
        <v>93</v>
      </c>
      <c r="B48" s="2">
        <v>3.5</v>
      </c>
      <c r="C48" s="33" t="s">
        <v>277</v>
      </c>
      <c r="D48" s="31"/>
      <c r="E48" s="31"/>
      <c r="F48" s="31"/>
      <c r="G48" s="32"/>
    </row>
    <row r="49" spans="1:7" ht="12.75">
      <c r="A49" s="15" t="s">
        <v>92</v>
      </c>
      <c r="B49" s="44">
        <f>B48*B47</f>
        <v>0</v>
      </c>
      <c r="C49" s="33"/>
      <c r="D49" s="31"/>
      <c r="E49" s="31"/>
      <c r="F49" s="31"/>
      <c r="G49" s="32"/>
    </row>
    <row r="50" spans="1:7" ht="12.75">
      <c r="A50" s="50"/>
      <c r="B50" s="49"/>
      <c r="C50" s="29"/>
      <c r="D50" s="29"/>
      <c r="E50" s="29"/>
      <c r="F50" s="29"/>
      <c r="G50" s="29"/>
    </row>
    <row r="51" spans="1:12" ht="12.75">
      <c r="A51" s="87" t="str">
        <f>"Table "&amp;A$2&amp;"-F"</f>
        <v>Table 14-F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5" t="str">
        <f>A$1&amp;" Motor Vehicle Emissions (Pre-Mitigation)"</f>
        <v>SGS Slab Demolition Motor Vehicle Emissions (Pre-Mitigation)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42">
      <c r="A53" s="9" t="s">
        <v>0</v>
      </c>
      <c r="B53" s="9" t="s">
        <v>202</v>
      </c>
      <c r="C53" s="9" t="s">
        <v>203</v>
      </c>
      <c r="D53" s="9" t="s">
        <v>204</v>
      </c>
      <c r="E53" s="9" t="s">
        <v>198</v>
      </c>
      <c r="F53" s="9" t="s">
        <v>205</v>
      </c>
      <c r="G53" s="9" t="s">
        <v>193</v>
      </c>
      <c r="H53" s="9" t="s">
        <v>206</v>
      </c>
      <c r="I53" s="9" t="s">
        <v>207</v>
      </c>
      <c r="J53" s="9" t="s">
        <v>208</v>
      </c>
      <c r="K53" s="9" t="s">
        <v>209</v>
      </c>
      <c r="L53" s="3" t="s">
        <v>210</v>
      </c>
    </row>
    <row r="54" spans="1:12" ht="12.75">
      <c r="A54" s="4" t="s">
        <v>104</v>
      </c>
      <c r="B54" s="2">
        <v>1</v>
      </c>
      <c r="C54" s="2">
        <v>1</v>
      </c>
      <c r="D54" s="2">
        <v>10</v>
      </c>
      <c r="E54" s="14">
        <f>B54*C54</f>
        <v>1</v>
      </c>
      <c r="F54" s="14">
        <f>B54*D54</f>
        <v>10</v>
      </c>
      <c r="G54" s="42">
        <f>(E54*VLOOKUP(A54,'Motor Vehicle Emission Factors'!$A$6:$T$42,7,FALSE)+F54*VLOOKUP(A54,'Motor Vehicle Emission Factors'!$A$6:$T$42,8,FALSE))/453.6</f>
        <v>0.9013227513227513</v>
      </c>
      <c r="H54" s="42">
        <f>(E54*VLOOKUP(A54,'Motor Vehicle Emission Factors'!$A$6:$T$42,9,FALSE)+F54*VLOOKUP(A54,'Motor Vehicle Emission Factors'!$A$6:$T$42,10,FALSE)+F54*VLOOKUP(A54,'Motor Vehicle Emission Factors'!$A$6:$T$42,11,FALSE)+B54*12*VLOOKUP(A54,'Motor Vehicle Emission Factors'!$A$6:$T$42,12,FALSE)+E54*VLOOKUP(A54,'Motor Vehicle Emission Factors'!$A$6:$T$42,13,FALSE)+B54*12*VLOOKUP(A54,'Motor Vehicle Emission Factors'!$A$6:$T$42,14,FALSE))/453.6</f>
        <v>0.13053130511463842</v>
      </c>
      <c r="I54" s="42">
        <f>(E54*VLOOKUP(A54,'Motor Vehicle Emission Factors'!$A$6:$T$42,15,FALSE)+F54*VLOOKUP(A54,'Motor Vehicle Emission Factors'!$A$6:$T$42,16,FALSE))/453.6</f>
        <v>0.06818783068783069</v>
      </c>
      <c r="J54" s="42">
        <f>E54*VLOOKUP(A54,'Motor Vehicle Emission Factors'!$A$6:$T$42,17,FALSE)/453.6</f>
        <v>0</v>
      </c>
      <c r="K54" s="42">
        <f>E54*(VLOOKUP(A54,'Motor Vehicle Emission Factors'!$A$6:$T$42,18,FALSE)+VLOOKUP(A54,'Motor Vehicle Emission Factors'!$A$6:$T$42,19,FALSE)+VLOOKUP(A54,'Motor Vehicle Emission Factors'!$A$6:$T$42,20,FALSE))/453.6</f>
        <v>2.204585537918871E-05</v>
      </c>
      <c r="L54" s="42">
        <f>J54+K54</f>
        <v>2.204585537918871E-05</v>
      </c>
    </row>
    <row r="55" spans="1:12" ht="12.75">
      <c r="A55" s="4" t="s">
        <v>52</v>
      </c>
      <c r="B55" s="2"/>
      <c r="C55" s="2"/>
      <c r="D55" s="2"/>
      <c r="E55" s="14">
        <f>B55*C55</f>
        <v>0</v>
      </c>
      <c r="F55" s="14">
        <f>B55*D55</f>
        <v>0</v>
      </c>
      <c r="G55" s="42">
        <f>(E55*VLOOKUP(A55,'Motor Vehicle Emission Factors'!$A$6:$T$42,7,FALSE)+F55*VLOOKUP(A55,'Motor Vehicle Emission Factors'!$A$6:$T$42,8,FALSE))/453.6</f>
        <v>0</v>
      </c>
      <c r="H55" s="42">
        <f>(E55*VLOOKUP(A55,'Motor Vehicle Emission Factors'!$A$6:$T$42,9,FALSE)+F55*VLOOKUP(A55,'Motor Vehicle Emission Factors'!$A$6:$T$42,10,FALSE)+F55*VLOOKUP(A55,'Motor Vehicle Emission Factors'!$A$6:$T$42,11,FALSE)+B55*12*VLOOKUP(A55,'Motor Vehicle Emission Factors'!$A$6:$T$42,12,FALSE)+E55*VLOOKUP(A55,'Motor Vehicle Emission Factors'!$A$6:$T$42,13,FALSE)+B55*12*VLOOKUP(A55,'Motor Vehicle Emission Factors'!$A$6:$T$42,14,FALSE))/453.6</f>
        <v>0</v>
      </c>
      <c r="I55" s="42">
        <f>(E55*VLOOKUP(A55,'Motor Vehicle Emission Factors'!$A$6:$T$42,15,FALSE)+F55*VLOOKUP(A55,'Motor Vehicle Emission Factors'!$A$6:$T$42,16,FALSE))/453.6</f>
        <v>0</v>
      </c>
      <c r="J55" s="42">
        <f>E55*VLOOKUP(A55,'Motor Vehicle Emission Factors'!$A$6:$T$42,17,FALSE)/453.6</f>
        <v>0</v>
      </c>
      <c r="K55" s="42">
        <f>E55*(VLOOKUP(A55,'Motor Vehicle Emission Factors'!$A$6:$T$42,18,FALSE)+VLOOKUP(A55,'Motor Vehicle Emission Factors'!$A$6:$T$42,19,FALSE)+VLOOKUP(A55,'Motor Vehicle Emission Factors'!$A$6:$T$42,20,FALSE))/453.6</f>
        <v>0</v>
      </c>
      <c r="L55" s="42">
        <f>J55+K55</f>
        <v>0</v>
      </c>
    </row>
    <row r="56" spans="1:12" ht="12.75">
      <c r="A56" s="4" t="s">
        <v>130</v>
      </c>
      <c r="B56" s="2">
        <v>1</v>
      </c>
      <c r="C56" s="2">
        <v>1</v>
      </c>
      <c r="D56" s="2">
        <v>4</v>
      </c>
      <c r="E56" s="14"/>
      <c r="F56" s="14"/>
      <c r="G56" s="42"/>
      <c r="H56" s="42"/>
      <c r="I56" s="42"/>
      <c r="J56" s="42"/>
      <c r="K56" s="42"/>
      <c r="L56" s="42"/>
    </row>
    <row r="57" spans="1:12" ht="12.75">
      <c r="A57" s="4" t="s">
        <v>118</v>
      </c>
      <c r="B57" s="2">
        <v>16</v>
      </c>
      <c r="C57" s="2">
        <v>1</v>
      </c>
      <c r="D57" s="2">
        <v>1</v>
      </c>
      <c r="E57" s="14">
        <f>B57*C57</f>
        <v>16</v>
      </c>
      <c r="F57" s="14">
        <f>B57*D57</f>
        <v>16</v>
      </c>
      <c r="G57" s="42">
        <f>(E57*VLOOKUP(A57,'Motor Vehicle Emission Factors'!$A$6:$T$42,7,FALSE)+F57*VLOOKUP(A57,'Motor Vehicle Emission Factors'!$A$6:$T$42,8,FALSE))/453.6</f>
        <v>1.1851851851851851</v>
      </c>
      <c r="H57" s="42">
        <f>(E57*VLOOKUP(A57,'Motor Vehicle Emission Factors'!$A$6:$T$42,9,FALSE)+F57*VLOOKUP(A57,'Motor Vehicle Emission Factors'!$A$6:$T$42,10,FALSE)+F57*VLOOKUP(A57,'Motor Vehicle Emission Factors'!$A$6:$T$42,11,FALSE)+B57*12*VLOOKUP(A57,'Motor Vehicle Emission Factors'!$A$6:$T$42,12,FALSE)+E57*VLOOKUP(A57,'Motor Vehicle Emission Factors'!$A$6:$T$42,13,FALSE)+B57*12*VLOOKUP(A57,'Motor Vehicle Emission Factors'!$A$6:$T$42,14,FALSE))/453.6</f>
        <v>0.12310405643738977</v>
      </c>
      <c r="I57" s="42">
        <f>(E57*VLOOKUP(A57,'Motor Vehicle Emission Factors'!$A$6:$T$42,15,FALSE)+F57*VLOOKUP(A57,'Motor Vehicle Emission Factors'!$A$6:$T$42,16,FALSE))/453.6</f>
        <v>0.5566137566137566</v>
      </c>
      <c r="J57" s="42">
        <f>E57*VLOOKUP(A57,'Motor Vehicle Emission Factors'!$A$6:$T$42,17,FALSE)/453.6</f>
        <v>0.020811287477954143</v>
      </c>
      <c r="K57" s="42">
        <f>E57*(VLOOKUP(A57,'Motor Vehicle Emission Factors'!$A$6:$T$42,18,FALSE)+VLOOKUP(A57,'Motor Vehicle Emission Factors'!$A$6:$T$42,19,FALSE)+VLOOKUP(A57,'Motor Vehicle Emission Factors'!$A$6:$T$42,20,FALSE))/453.6</f>
        <v>0.00035273368606701937</v>
      </c>
      <c r="L57" s="42">
        <f>J57+K57</f>
        <v>0.021164021164021163</v>
      </c>
    </row>
    <row r="58" spans="1:12" ht="12.75">
      <c r="A58" s="4" t="s">
        <v>116</v>
      </c>
      <c r="B58" s="2"/>
      <c r="C58" s="2"/>
      <c r="D58" s="2"/>
      <c r="E58" s="14"/>
      <c r="F58" s="14"/>
      <c r="G58" s="42"/>
      <c r="H58" s="42"/>
      <c r="I58" s="42"/>
      <c r="J58" s="42"/>
      <c r="K58" s="42"/>
      <c r="L58" s="42"/>
    </row>
    <row r="59" spans="1:12" ht="12.75">
      <c r="A59" s="4" t="s">
        <v>105</v>
      </c>
      <c r="B59" s="2">
        <v>5</v>
      </c>
      <c r="C59" s="2">
        <v>40</v>
      </c>
      <c r="D59" s="2">
        <v>2</v>
      </c>
      <c r="E59" s="14">
        <f>B59*C59</f>
        <v>200</v>
      </c>
      <c r="F59" s="14">
        <f>B59*D59</f>
        <v>10</v>
      </c>
      <c r="G59" s="42">
        <f>(E59*VLOOKUP(A59,'Motor Vehicle Emission Factors'!$A$6:$T$42,7,FALSE)+F59*VLOOKUP(A59,'Motor Vehicle Emission Factors'!$A$6:$T$42,8,FALSE))/453.6</f>
        <v>2.4197530864197527</v>
      </c>
      <c r="H59" s="42">
        <f>(E59*VLOOKUP(A59,'Motor Vehicle Emission Factors'!$A$6:$T$42,9,FALSE)+F59*VLOOKUP(A59,'Motor Vehicle Emission Factors'!$A$6:$T$42,10,FALSE)+F59*VLOOKUP(A59,'Motor Vehicle Emission Factors'!$A$6:$T$42,11,FALSE)+B59*12*VLOOKUP(A59,'Motor Vehicle Emission Factors'!$A$6:$T$42,12,FALSE)+E59*VLOOKUP(A59,'Motor Vehicle Emission Factors'!$A$6:$T$42,13,FALSE)+B59*12*VLOOKUP(A59,'Motor Vehicle Emission Factors'!$A$6:$T$42,14,FALSE))/453.6</f>
        <v>0.316358024691358</v>
      </c>
      <c r="I59" s="42">
        <f>(E59*VLOOKUP(A59,'Motor Vehicle Emission Factors'!$A$6:$T$42,15,FALSE)+F59*VLOOKUP(A59,'Motor Vehicle Emission Factors'!$A$6:$T$42,16,FALSE))/453.6</f>
        <v>0.3498677248677248</v>
      </c>
      <c r="J59" s="42">
        <f>E59*VLOOKUP(A59,'Motor Vehicle Emission Factors'!$A$6:$T$42,17,FALSE)/453.6</f>
        <v>0</v>
      </c>
      <c r="K59" s="42">
        <f>E59*(VLOOKUP(A59,'Motor Vehicle Emission Factors'!$A$6:$T$42,18,FALSE)+VLOOKUP(A59,'Motor Vehicle Emission Factors'!$A$6:$T$42,19,FALSE)+VLOOKUP(A59,'Motor Vehicle Emission Factors'!$A$6:$T$42,20,FALSE))/453.6</f>
        <v>0.24804611756983713</v>
      </c>
      <c r="L59" s="42">
        <f>J59+K59</f>
        <v>0.24804611756983713</v>
      </c>
    </row>
    <row r="60" spans="1:12" ht="12.75">
      <c r="A60" s="4" t="s">
        <v>129</v>
      </c>
      <c r="B60" s="2"/>
      <c r="C60" s="2"/>
      <c r="D60" s="2"/>
      <c r="E60" s="14"/>
      <c r="F60" s="14"/>
      <c r="G60" s="42"/>
      <c r="H60" s="42"/>
      <c r="I60" s="42"/>
      <c r="J60" s="42"/>
      <c r="K60" s="42"/>
      <c r="L60" s="42"/>
    </row>
    <row r="61" spans="1:12" ht="12.75">
      <c r="A61" s="4" t="s">
        <v>128</v>
      </c>
      <c r="B61" s="2">
        <v>16</v>
      </c>
      <c r="C61" s="2">
        <v>40</v>
      </c>
      <c r="D61" s="2">
        <v>4</v>
      </c>
      <c r="E61" s="14">
        <f>B61*C61</f>
        <v>640</v>
      </c>
      <c r="F61" s="14">
        <f>B61*D61</f>
        <v>64</v>
      </c>
      <c r="G61" s="42">
        <f>(E61*VLOOKUP(A61,'Motor Vehicle Emission Factors'!$A$6:$T$42,7,FALSE)+F61*VLOOKUP(A61,'Motor Vehicle Emission Factors'!$A$6:$T$42,8,FALSE))/453.6</f>
        <v>14.081128747795415</v>
      </c>
      <c r="H61" s="42">
        <f>(E61*VLOOKUP(A61,'Motor Vehicle Emission Factors'!$A$6:$T$42,9,FALSE)+F61*VLOOKUP(A61,'Motor Vehicle Emission Factors'!$A$6:$T$42,10,FALSE)+F61*VLOOKUP(A61,'Motor Vehicle Emission Factors'!$A$6:$T$42,11,FALSE)+B61*12*VLOOKUP(A61,'Motor Vehicle Emission Factors'!$A$6:$T$42,12,FALSE)+E61*VLOOKUP(A61,'Motor Vehicle Emission Factors'!$A$6:$T$42,13,FALSE)+B61*12*VLOOKUP(A61,'Motor Vehicle Emission Factors'!$A$6:$T$42,14,FALSE))/453.6</f>
        <v>2.130511463844797</v>
      </c>
      <c r="I61" s="42">
        <f>(E61*VLOOKUP(A61,'Motor Vehicle Emission Factors'!$A$6:$T$42,15,FALSE)+F61*VLOOKUP(A61,'Motor Vehicle Emission Factors'!$A$6:$T$42,16,FALSE))/453.6</f>
        <v>13.051146384479717</v>
      </c>
      <c r="J61" s="42">
        <f>E61*VLOOKUP(A61,'Motor Vehicle Emission Factors'!$A$6:$T$42,17,FALSE)/453.6</f>
        <v>0.8324514991181656</v>
      </c>
      <c r="K61" s="42">
        <f>E61*(VLOOKUP(A61,'Motor Vehicle Emission Factors'!$A$6:$T$42,18,FALSE)+VLOOKUP(A61,'Motor Vehicle Emission Factors'!$A$6:$T$42,19,FALSE)+VLOOKUP(A61,'Motor Vehicle Emission Factors'!$A$6:$T$42,20,FALSE))/453.6</f>
        <v>37.34143000215408</v>
      </c>
      <c r="L61" s="42">
        <f>J61+K61</f>
        <v>38.17388150127224</v>
      </c>
    </row>
    <row r="62" spans="1:14" ht="12.75">
      <c r="A62" s="15" t="s">
        <v>24</v>
      </c>
      <c r="B62" s="4"/>
      <c r="C62" s="4"/>
      <c r="D62" s="4"/>
      <c r="E62" s="4"/>
      <c r="F62" s="4"/>
      <c r="G62" s="46">
        <f aca="true" t="shared" si="1" ref="G62:L62">SUM(G54:G61)</f>
        <v>18.587389770723103</v>
      </c>
      <c r="H62" s="46">
        <f t="shared" si="1"/>
        <v>2.7005048500881834</v>
      </c>
      <c r="I62" s="46">
        <f t="shared" si="1"/>
        <v>14.02581569664903</v>
      </c>
      <c r="J62" s="46">
        <f t="shared" si="1"/>
        <v>0.8532627865961198</v>
      </c>
      <c r="K62" s="46">
        <f t="shared" si="1"/>
        <v>37.58985089926536</v>
      </c>
      <c r="L62" s="46">
        <f t="shared" si="1"/>
        <v>38.443113685861476</v>
      </c>
      <c r="M62" s="71">
        <f>E54+E59</f>
        <v>201</v>
      </c>
      <c r="N62" s="71">
        <f>SUM(E54:E61)-M62</f>
        <v>656</v>
      </c>
    </row>
    <row r="63" ht="12.75">
      <c r="A63" s="13" t="s">
        <v>25</v>
      </c>
    </row>
    <row r="64" ht="12.75">
      <c r="A64" s="39" t="s">
        <v>132</v>
      </c>
    </row>
    <row r="66" spans="1:8" ht="12.75">
      <c r="A66" s="87" t="str">
        <f>"Table "&amp;A$2&amp;"-G"</f>
        <v>Table 14-G</v>
      </c>
      <c r="B66" s="87"/>
      <c r="C66" s="87"/>
      <c r="D66" s="87"/>
      <c r="E66" s="87"/>
      <c r="F66" s="87"/>
      <c r="G66" s="87"/>
      <c r="H66" s="87"/>
    </row>
    <row r="67" spans="1:8" ht="12.75">
      <c r="A67" s="85" t="str">
        <f>+A$1&amp;" Emissions Summary (Pre-mitigation)"</f>
        <v>SGS Slab Demolition Emissions Summary (Pre-mitigation)</v>
      </c>
      <c r="B67" s="85"/>
      <c r="C67" s="85"/>
      <c r="D67" s="85"/>
      <c r="E67" s="85"/>
      <c r="F67" s="85"/>
      <c r="G67" s="85"/>
      <c r="H67" s="85"/>
    </row>
    <row r="68" spans="1:8" ht="42">
      <c r="A68" s="2" t="s">
        <v>131</v>
      </c>
      <c r="B68" s="3" t="s">
        <v>193</v>
      </c>
      <c r="C68" s="3" t="s">
        <v>194</v>
      </c>
      <c r="D68" s="3" t="s">
        <v>199</v>
      </c>
      <c r="E68" s="3" t="s">
        <v>200</v>
      </c>
      <c r="F68" s="9" t="s">
        <v>208</v>
      </c>
      <c r="G68" s="9" t="s">
        <v>209</v>
      </c>
      <c r="H68" s="9" t="s">
        <v>210</v>
      </c>
    </row>
    <row r="69" spans="1:8" ht="12.75">
      <c r="A69" s="51" t="s">
        <v>94</v>
      </c>
      <c r="B69" s="43">
        <f>G23</f>
        <v>38.46576</v>
      </c>
      <c r="C69" s="43">
        <f>H23</f>
        <v>7.1304</v>
      </c>
      <c r="D69" s="43">
        <f>I23</f>
        <v>54.24864</v>
      </c>
      <c r="E69" s="43">
        <f>J23</f>
        <v>4.94304</v>
      </c>
      <c r="F69" s="43">
        <f>K23</f>
        <v>2.72448</v>
      </c>
      <c r="G69" s="43"/>
      <c r="H69" s="43">
        <f aca="true" t="shared" si="2" ref="H69:H77">F69+G69</f>
        <v>2.72448</v>
      </c>
    </row>
    <row r="70" spans="1:8" ht="12.75">
      <c r="A70" s="51" t="s">
        <v>127</v>
      </c>
      <c r="B70" s="43">
        <f>SUM(G54:G58)</f>
        <v>2.086507936507936</v>
      </c>
      <c r="C70" s="43">
        <f>SUM(H54:H58)</f>
        <v>0.2536353615520282</v>
      </c>
      <c r="D70" s="43">
        <f>SUM(I54:I58)</f>
        <v>0.6248015873015873</v>
      </c>
      <c r="E70" s="43">
        <v>0</v>
      </c>
      <c r="F70" s="43">
        <f>SUM(J54:J58)</f>
        <v>0.020811287477954143</v>
      </c>
      <c r="G70" s="43"/>
      <c r="H70" s="43">
        <f t="shared" si="2"/>
        <v>0.020811287477954143</v>
      </c>
    </row>
    <row r="71" spans="1:8" ht="12.75">
      <c r="A71" s="51" t="s">
        <v>95</v>
      </c>
      <c r="B71" s="43"/>
      <c r="C71" s="43"/>
      <c r="D71" s="43"/>
      <c r="E71" s="43"/>
      <c r="F71" s="43"/>
      <c r="G71" s="43">
        <f>D36-D35</f>
        <v>5.767812861078884</v>
      </c>
      <c r="H71" s="43">
        <f t="shared" si="2"/>
        <v>5.767812861078884</v>
      </c>
    </row>
    <row r="72" spans="1:8" ht="12.75">
      <c r="A72" s="51" t="s">
        <v>96</v>
      </c>
      <c r="B72" s="43"/>
      <c r="C72" s="43">
        <f>B43</f>
        <v>0</v>
      </c>
      <c r="D72" s="43"/>
      <c r="E72" s="43"/>
      <c r="F72" s="43"/>
      <c r="G72" s="43"/>
      <c r="H72" s="43">
        <f t="shared" si="2"/>
        <v>0</v>
      </c>
    </row>
    <row r="73" spans="1:8" ht="12.75">
      <c r="A73" s="51" t="s">
        <v>97</v>
      </c>
      <c r="B73" s="43"/>
      <c r="C73" s="43">
        <f>B49</f>
        <v>0</v>
      </c>
      <c r="D73" s="43"/>
      <c r="E73" s="43"/>
      <c r="F73" s="43"/>
      <c r="G73" s="43"/>
      <c r="H73" s="43">
        <f t="shared" si="2"/>
        <v>0</v>
      </c>
    </row>
    <row r="74" spans="1:8" ht="12.75">
      <c r="A74" s="15" t="s">
        <v>98</v>
      </c>
      <c r="B74" s="44">
        <f aca="true" t="shared" si="3" ref="B74:G74">SUM(B69:B73)</f>
        <v>40.55226793650794</v>
      </c>
      <c r="C74" s="44">
        <f t="shared" si="3"/>
        <v>7.384035361552028</v>
      </c>
      <c r="D74" s="44">
        <f t="shared" si="3"/>
        <v>54.87344158730159</v>
      </c>
      <c r="E74" s="44">
        <f t="shared" si="3"/>
        <v>4.94304</v>
      </c>
      <c r="F74" s="44">
        <f t="shared" si="3"/>
        <v>2.745291287477954</v>
      </c>
      <c r="G74" s="44">
        <f t="shared" si="3"/>
        <v>5.767812861078884</v>
      </c>
      <c r="H74" s="44">
        <f t="shared" si="2"/>
        <v>8.513104148556838</v>
      </c>
    </row>
    <row r="75" spans="1:8" ht="12.75">
      <c r="A75" s="51" t="s">
        <v>167</v>
      </c>
      <c r="B75" s="45"/>
      <c r="C75" s="45"/>
      <c r="D75" s="45"/>
      <c r="E75" s="45"/>
      <c r="F75" s="45"/>
      <c r="G75" s="45">
        <f>D35</f>
        <v>25.642763421212795</v>
      </c>
      <c r="H75" s="45">
        <f t="shared" si="2"/>
        <v>25.642763421212795</v>
      </c>
    </row>
    <row r="76" spans="1:8" ht="12.75">
      <c r="A76" s="51" t="s">
        <v>99</v>
      </c>
      <c r="B76" s="45">
        <f>SUM(G59:G61)</f>
        <v>16.500881834215168</v>
      </c>
      <c r="C76" s="45">
        <f>SUM(H59:H61)</f>
        <v>2.446869488536155</v>
      </c>
      <c r="D76" s="45">
        <f>SUM(I59:I61)</f>
        <v>13.401014109347441</v>
      </c>
      <c r="E76" s="45">
        <v>0</v>
      </c>
      <c r="F76" s="45">
        <f>SUM(J59:J61)</f>
        <v>0.8324514991181656</v>
      </c>
      <c r="G76" s="45">
        <f>SUM(K59:K61)</f>
        <v>37.58947611972391</v>
      </c>
      <c r="H76" s="45">
        <f t="shared" si="2"/>
        <v>38.421927618842076</v>
      </c>
    </row>
    <row r="77" spans="1:8" ht="12.75">
      <c r="A77" s="15" t="s">
        <v>168</v>
      </c>
      <c r="B77" s="44">
        <f aca="true" t="shared" si="4" ref="B77:G77">SUM(B75:B76)</f>
        <v>16.500881834215168</v>
      </c>
      <c r="C77" s="44">
        <f t="shared" si="4"/>
        <v>2.446869488536155</v>
      </c>
      <c r="D77" s="44">
        <f t="shared" si="4"/>
        <v>13.401014109347441</v>
      </c>
      <c r="E77" s="44">
        <f t="shared" si="4"/>
        <v>0</v>
      </c>
      <c r="F77" s="44">
        <f t="shared" si="4"/>
        <v>0.8324514991181656</v>
      </c>
      <c r="G77" s="44">
        <f t="shared" si="4"/>
        <v>63.2322395409367</v>
      </c>
      <c r="H77" s="44">
        <f t="shared" si="2"/>
        <v>64.06469104005487</v>
      </c>
    </row>
    <row r="78" spans="1:8" ht="12.75">
      <c r="A78" s="15" t="s">
        <v>24</v>
      </c>
      <c r="B78" s="44">
        <f aca="true" t="shared" si="5" ref="B78:H78">B74+B77</f>
        <v>57.05314977072311</v>
      </c>
      <c r="C78" s="44">
        <f t="shared" si="5"/>
        <v>9.830904850088183</v>
      </c>
      <c r="D78" s="44">
        <f t="shared" si="5"/>
        <v>68.27445569664903</v>
      </c>
      <c r="E78" s="44">
        <f t="shared" si="5"/>
        <v>4.94304</v>
      </c>
      <c r="F78" s="44">
        <f t="shared" si="5"/>
        <v>3.5777427865961196</v>
      </c>
      <c r="G78" s="44">
        <f t="shared" si="5"/>
        <v>69.00005240201558</v>
      </c>
      <c r="H78" s="44">
        <f t="shared" si="5"/>
        <v>72.5777951886117</v>
      </c>
    </row>
    <row r="79" ht="12.75">
      <c r="A79" s="39" t="s">
        <v>132</v>
      </c>
    </row>
    <row r="80" ht="12.75">
      <c r="A80" s="39"/>
    </row>
    <row r="82" spans="1:8" ht="12.75">
      <c r="A82" s="87" t="str">
        <f>"Table "&amp;A$2&amp;"-H"</f>
        <v>Table 14-H</v>
      </c>
      <c r="B82" s="87"/>
      <c r="C82" s="87"/>
      <c r="D82" s="87"/>
      <c r="E82" s="87"/>
      <c r="F82" s="87"/>
      <c r="G82" s="87"/>
      <c r="H82" s="87"/>
    </row>
    <row r="83" spans="1:8" ht="12.75">
      <c r="A83" s="87" t="str">
        <f>A$1&amp;" Emissions Summary (Mitigated)"</f>
        <v>SGS Slab Demolition Emissions Summary (Mitigated)</v>
      </c>
      <c r="B83" s="87"/>
      <c r="C83" s="87"/>
      <c r="D83" s="87"/>
      <c r="E83" s="87"/>
      <c r="F83" s="87"/>
      <c r="G83" s="87"/>
      <c r="H83" s="87"/>
    </row>
    <row r="84" spans="1:8" ht="42">
      <c r="A84" s="2" t="s">
        <v>131</v>
      </c>
      <c r="B84" s="3" t="s">
        <v>193</v>
      </c>
      <c r="C84" s="3" t="s">
        <v>194</v>
      </c>
      <c r="D84" s="3" t="s">
        <v>199</v>
      </c>
      <c r="E84" s="3" t="s">
        <v>200</v>
      </c>
      <c r="F84" s="3" t="s">
        <v>208</v>
      </c>
      <c r="G84" s="3" t="s">
        <v>209</v>
      </c>
      <c r="H84" s="3" t="s">
        <v>210</v>
      </c>
    </row>
    <row r="85" spans="1:8" ht="12.75">
      <c r="A85" s="15" t="s">
        <v>94</v>
      </c>
      <c r="B85" s="43">
        <f>B69</f>
        <v>38.46576</v>
      </c>
      <c r="C85" s="43">
        <f>C69</f>
        <v>7.1304</v>
      </c>
      <c r="D85" s="43">
        <f>D69</f>
        <v>54.24864</v>
      </c>
      <c r="E85" s="43">
        <f>E69</f>
        <v>4.94304</v>
      </c>
      <c r="F85" s="43">
        <f>F69</f>
        <v>2.72448</v>
      </c>
      <c r="G85" s="43"/>
      <c r="H85" s="43">
        <f>F85+G85</f>
        <v>2.72448</v>
      </c>
    </row>
    <row r="86" spans="1:8" ht="12.75">
      <c r="A86" s="4" t="s">
        <v>123</v>
      </c>
      <c r="B86" s="40">
        <v>0</v>
      </c>
      <c r="C86" s="40">
        <v>0.05</v>
      </c>
      <c r="D86" s="40">
        <v>0.05</v>
      </c>
      <c r="E86" s="40">
        <v>0.05</v>
      </c>
      <c r="F86" s="40">
        <v>0.05</v>
      </c>
      <c r="G86" s="40"/>
      <c r="H86" s="43"/>
    </row>
    <row r="87" spans="1:8" ht="12.75">
      <c r="A87" s="4" t="s">
        <v>124</v>
      </c>
      <c r="B87" s="43">
        <f>-B86*B85</f>
        <v>0</v>
      </c>
      <c r="C87" s="43">
        <f>-C86*C85</f>
        <v>-0.35652</v>
      </c>
      <c r="D87" s="43">
        <f>-D86*D85</f>
        <v>-2.712432</v>
      </c>
      <c r="E87" s="43">
        <f>-E86*E85</f>
        <v>-0.247152</v>
      </c>
      <c r="F87" s="43">
        <f>-F86*F85</f>
        <v>-0.13622399999999998</v>
      </c>
      <c r="G87" s="43"/>
      <c r="H87" s="43">
        <f>F87+G87</f>
        <v>-0.13622399999999998</v>
      </c>
    </row>
    <row r="88" spans="1:8" ht="12.75">
      <c r="A88" s="15" t="s">
        <v>125</v>
      </c>
      <c r="B88" s="44">
        <f>B85+B87</f>
        <v>38.46576</v>
      </c>
      <c r="C88" s="44">
        <f>C85+C87</f>
        <v>6.77388</v>
      </c>
      <c r="D88" s="44">
        <f>D85+D87</f>
        <v>51.536208</v>
      </c>
      <c r="E88" s="44">
        <f>E85+E87</f>
        <v>4.695888</v>
      </c>
      <c r="F88" s="44">
        <f>F85+F87</f>
        <v>2.588256</v>
      </c>
      <c r="G88" s="44"/>
      <c r="H88" s="44">
        <f>F88+G88</f>
        <v>2.588256</v>
      </c>
    </row>
    <row r="89" spans="1:8" ht="12.75">
      <c r="A89" s="15" t="s">
        <v>127</v>
      </c>
      <c r="B89" s="45">
        <f>B70</f>
        <v>2.086507936507936</v>
      </c>
      <c r="C89" s="45">
        <f>C70</f>
        <v>0.2536353615520282</v>
      </c>
      <c r="D89" s="45">
        <f>D70</f>
        <v>0.6248015873015873</v>
      </c>
      <c r="E89" s="45">
        <f>E70</f>
        <v>0</v>
      </c>
      <c r="F89" s="45">
        <f>F70</f>
        <v>0.020811287477954143</v>
      </c>
      <c r="G89" s="45"/>
      <c r="H89" s="43">
        <f>F89+G89</f>
        <v>0.020811287477954143</v>
      </c>
    </row>
    <row r="90" spans="1:8" ht="12.75">
      <c r="A90" s="4" t="s">
        <v>123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/>
      <c r="H90" s="44"/>
    </row>
    <row r="91" spans="1:8" ht="12.75">
      <c r="A91" s="4" t="s">
        <v>124</v>
      </c>
      <c r="B91" s="43">
        <f>-B90*B89</f>
        <v>0</v>
      </c>
      <c r="C91" s="43">
        <f>-C90*C89</f>
        <v>0</v>
      </c>
      <c r="D91" s="43">
        <f>-D90*D89</f>
        <v>0</v>
      </c>
      <c r="E91" s="43">
        <f>-E90*E89</f>
        <v>0</v>
      </c>
      <c r="F91" s="43">
        <f>-F90*F89</f>
        <v>0</v>
      </c>
      <c r="G91" s="43"/>
      <c r="H91" s="43">
        <f>F91+G91</f>
        <v>0</v>
      </c>
    </row>
    <row r="92" spans="1:8" ht="12.75">
      <c r="A92" s="15" t="s">
        <v>125</v>
      </c>
      <c r="B92" s="44">
        <f>B89+B91</f>
        <v>2.086507936507936</v>
      </c>
      <c r="C92" s="44">
        <f>C89+C91</f>
        <v>0.2536353615520282</v>
      </c>
      <c r="D92" s="44">
        <f>D89+D91</f>
        <v>0.6248015873015873</v>
      </c>
      <c r="E92" s="44">
        <f>E89+E91</f>
        <v>0</v>
      </c>
      <c r="F92" s="44">
        <f>F89+F91</f>
        <v>0.020811287477954143</v>
      </c>
      <c r="G92" s="44"/>
      <c r="H92" s="44">
        <f>F92+G92</f>
        <v>0.020811287477954143</v>
      </c>
    </row>
    <row r="93" spans="1:8" ht="12.75">
      <c r="A93" s="15" t="s">
        <v>95</v>
      </c>
      <c r="B93" s="43"/>
      <c r="C93" s="43"/>
      <c r="D93" s="43"/>
      <c r="E93" s="43"/>
      <c r="F93" s="43"/>
      <c r="G93" s="43">
        <f>G71</f>
        <v>5.767812861078884</v>
      </c>
      <c r="H93" s="43">
        <f>F93+G93</f>
        <v>5.767812861078884</v>
      </c>
    </row>
    <row r="94" spans="1:8" ht="12.75">
      <c r="A94" s="4" t="s">
        <v>123</v>
      </c>
      <c r="B94" s="40"/>
      <c r="C94" s="40"/>
      <c r="D94" s="40"/>
      <c r="E94" s="40"/>
      <c r="F94" s="40"/>
      <c r="G94" s="40">
        <v>0.16</v>
      </c>
      <c r="H94" s="43"/>
    </row>
    <row r="95" spans="1:8" ht="12.75">
      <c r="A95" s="4" t="s">
        <v>124</v>
      </c>
      <c r="B95" s="43"/>
      <c r="C95" s="43"/>
      <c r="D95" s="43"/>
      <c r="E95" s="43"/>
      <c r="F95" s="43"/>
      <c r="G95" s="43">
        <f>-G94*G93</f>
        <v>-0.9228500577726214</v>
      </c>
      <c r="H95" s="43">
        <f>F95+G95</f>
        <v>-0.9228500577726214</v>
      </c>
    </row>
    <row r="96" spans="1:8" ht="12.75">
      <c r="A96" s="15" t="s">
        <v>125</v>
      </c>
      <c r="B96" s="44"/>
      <c r="C96" s="44"/>
      <c r="D96" s="44"/>
      <c r="E96" s="44"/>
      <c r="F96" s="44"/>
      <c r="G96" s="44">
        <f>G93+G95</f>
        <v>4.844962803306262</v>
      </c>
      <c r="H96" s="44">
        <f>F96+G96</f>
        <v>4.844962803306262</v>
      </c>
    </row>
    <row r="97" spans="1:8" ht="12.75">
      <c r="A97" s="15" t="s">
        <v>96</v>
      </c>
      <c r="B97" s="43"/>
      <c r="C97" s="43">
        <f>C72</f>
        <v>0</v>
      </c>
      <c r="D97" s="43"/>
      <c r="E97" s="43"/>
      <c r="F97" s="43"/>
      <c r="G97" s="43"/>
      <c r="H97" s="43"/>
    </row>
    <row r="98" spans="1:8" ht="12.75">
      <c r="A98" s="4" t="s">
        <v>123</v>
      </c>
      <c r="B98" s="40"/>
      <c r="C98" s="40">
        <v>0</v>
      </c>
      <c r="D98" s="40"/>
      <c r="E98" s="40"/>
      <c r="F98" s="40"/>
      <c r="G98" s="40"/>
      <c r="H98" s="43"/>
    </row>
    <row r="99" spans="1:8" ht="12.75">
      <c r="A99" s="4" t="s">
        <v>124</v>
      </c>
      <c r="B99" s="43"/>
      <c r="C99" s="43">
        <f>-C98*C97</f>
        <v>0</v>
      </c>
      <c r="D99" s="43"/>
      <c r="E99" s="43"/>
      <c r="F99" s="43"/>
      <c r="G99" s="43"/>
      <c r="H99" s="43"/>
    </row>
    <row r="100" spans="1:8" ht="12.75">
      <c r="A100" s="15" t="s">
        <v>125</v>
      </c>
      <c r="B100" s="44"/>
      <c r="C100" s="44">
        <f>C97+C99</f>
        <v>0</v>
      </c>
      <c r="D100" s="44"/>
      <c r="E100" s="44"/>
      <c r="F100" s="44"/>
      <c r="G100" s="44"/>
      <c r="H100" s="44"/>
    </row>
    <row r="101" spans="1:8" ht="12.75">
      <c r="A101" s="15" t="s">
        <v>97</v>
      </c>
      <c r="B101" s="43"/>
      <c r="C101" s="43">
        <f>C70</f>
        <v>0.2536353615520282</v>
      </c>
      <c r="D101" s="43"/>
      <c r="E101" s="43"/>
      <c r="F101" s="43"/>
      <c r="G101" s="43"/>
      <c r="H101" s="43"/>
    </row>
    <row r="102" spans="1:8" ht="12.75">
      <c r="A102" s="4" t="s">
        <v>123</v>
      </c>
      <c r="B102" s="40"/>
      <c r="C102" s="40">
        <v>0</v>
      </c>
      <c r="D102" s="40"/>
      <c r="E102" s="40"/>
      <c r="F102" s="40"/>
      <c r="G102" s="40"/>
      <c r="H102" s="43"/>
    </row>
    <row r="103" spans="1:8" ht="12.75">
      <c r="A103" s="4" t="s">
        <v>124</v>
      </c>
      <c r="B103" s="43"/>
      <c r="C103" s="43">
        <f>-C102*C101</f>
        <v>0</v>
      </c>
      <c r="D103" s="43"/>
      <c r="E103" s="43"/>
      <c r="F103" s="43"/>
      <c r="G103" s="43"/>
      <c r="H103" s="43"/>
    </row>
    <row r="104" spans="1:8" ht="12.75">
      <c r="A104" s="15" t="s">
        <v>125</v>
      </c>
      <c r="B104" s="44"/>
      <c r="C104" s="44">
        <f>C101+C103</f>
        <v>0.2536353615520282</v>
      </c>
      <c r="D104" s="44"/>
      <c r="E104" s="44"/>
      <c r="F104" s="44"/>
      <c r="G104" s="44"/>
      <c r="H104" s="44"/>
    </row>
    <row r="105" spans="1:8" ht="12.75">
      <c r="A105" s="15" t="s">
        <v>98</v>
      </c>
      <c r="B105" s="44">
        <f>B88+B92+B96+B100</f>
        <v>40.55226793650794</v>
      </c>
      <c r="C105" s="44">
        <f aca="true" t="shared" si="6" ref="C105:H105">C88+C92+C96+C100</f>
        <v>7.0275153615520285</v>
      </c>
      <c r="D105" s="44">
        <f t="shared" si="6"/>
        <v>52.16100958730159</v>
      </c>
      <c r="E105" s="44">
        <f t="shared" si="6"/>
        <v>4.695888</v>
      </c>
      <c r="F105" s="44">
        <f t="shared" si="6"/>
        <v>2.609067287477954</v>
      </c>
      <c r="G105" s="44">
        <f t="shared" si="6"/>
        <v>4.844962803306262</v>
      </c>
      <c r="H105" s="44">
        <f t="shared" si="6"/>
        <v>7.454030090784216</v>
      </c>
    </row>
    <row r="106" spans="1:8" ht="15">
      <c r="A106" s="15" t="s">
        <v>227</v>
      </c>
      <c r="B106" s="44"/>
      <c r="C106" s="44"/>
      <c r="D106" s="44"/>
      <c r="E106" s="44"/>
      <c r="F106" s="44"/>
      <c r="G106" s="44">
        <f>G75*2</f>
        <v>51.28552684242559</v>
      </c>
      <c r="H106" s="44">
        <f>F106+G106</f>
        <v>51.28552684242559</v>
      </c>
    </row>
    <row r="107" spans="1:8" ht="12.75">
      <c r="A107" s="4" t="s">
        <v>123</v>
      </c>
      <c r="B107" s="44"/>
      <c r="C107" s="44"/>
      <c r="D107" s="44"/>
      <c r="E107" s="44"/>
      <c r="F107" s="44"/>
      <c r="G107" s="61">
        <v>0.9</v>
      </c>
      <c r="H107" s="44"/>
    </row>
    <row r="108" spans="1:8" ht="12.75">
      <c r="A108" s="4" t="s">
        <v>124</v>
      </c>
      <c r="B108" s="44"/>
      <c r="C108" s="44"/>
      <c r="D108" s="44"/>
      <c r="E108" s="44"/>
      <c r="F108" s="44"/>
      <c r="G108" s="43">
        <f>-G107*G106</f>
        <v>-46.15697415818303</v>
      </c>
      <c r="H108" s="43">
        <f>F108+G108</f>
        <v>-46.15697415818303</v>
      </c>
    </row>
    <row r="109" spans="1:8" ht="12.75">
      <c r="A109" s="15" t="s">
        <v>125</v>
      </c>
      <c r="B109" s="44"/>
      <c r="C109" s="44"/>
      <c r="D109" s="44"/>
      <c r="E109" s="44"/>
      <c r="F109" s="44"/>
      <c r="G109" s="44">
        <f>G106+G108</f>
        <v>5.128552684242557</v>
      </c>
      <c r="H109" s="44">
        <f>F109+G109</f>
        <v>5.128552684242557</v>
      </c>
    </row>
    <row r="110" spans="1:8" ht="12.75">
      <c r="A110" s="15" t="s">
        <v>99</v>
      </c>
      <c r="B110" s="44">
        <f aca="true" t="shared" si="7" ref="B110:H110">B76</f>
        <v>16.500881834215168</v>
      </c>
      <c r="C110" s="44">
        <f t="shared" si="7"/>
        <v>2.446869488536155</v>
      </c>
      <c r="D110" s="44">
        <f t="shared" si="7"/>
        <v>13.401014109347441</v>
      </c>
      <c r="E110" s="44">
        <f t="shared" si="7"/>
        <v>0</v>
      </c>
      <c r="F110" s="44">
        <f t="shared" si="7"/>
        <v>0.8324514991181656</v>
      </c>
      <c r="G110" s="44">
        <f t="shared" si="7"/>
        <v>37.58947611972391</v>
      </c>
      <c r="H110" s="44">
        <f t="shared" si="7"/>
        <v>38.421927618842076</v>
      </c>
    </row>
    <row r="111" spans="1:8" ht="12.75">
      <c r="A111" s="4" t="s">
        <v>123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3"/>
    </row>
    <row r="112" spans="1:8" ht="12.75">
      <c r="A112" s="4" t="s">
        <v>124</v>
      </c>
      <c r="B112" s="43">
        <f aca="true" t="shared" si="8" ref="B112:G112">-B111*B110</f>
        <v>0</v>
      </c>
      <c r="C112" s="43">
        <f t="shared" si="8"/>
        <v>0</v>
      </c>
      <c r="D112" s="43">
        <f t="shared" si="8"/>
        <v>0</v>
      </c>
      <c r="E112" s="43">
        <f t="shared" si="8"/>
        <v>0</v>
      </c>
      <c r="F112" s="43">
        <f t="shared" si="8"/>
        <v>0</v>
      </c>
      <c r="G112" s="43">
        <f t="shared" si="8"/>
        <v>0</v>
      </c>
      <c r="H112" s="43">
        <f>F112+G112</f>
        <v>0</v>
      </c>
    </row>
    <row r="113" spans="1:8" ht="12.75">
      <c r="A113" s="15" t="s">
        <v>125</v>
      </c>
      <c r="B113" s="44">
        <f aca="true" t="shared" si="9" ref="B113:G113">B110+B112</f>
        <v>16.500881834215168</v>
      </c>
      <c r="C113" s="44">
        <f t="shared" si="9"/>
        <v>2.446869488536155</v>
      </c>
      <c r="D113" s="44">
        <f t="shared" si="9"/>
        <v>13.401014109347441</v>
      </c>
      <c r="E113" s="44">
        <f t="shared" si="9"/>
        <v>0</v>
      </c>
      <c r="F113" s="44">
        <f t="shared" si="9"/>
        <v>0.8324514991181656</v>
      </c>
      <c r="G113" s="44">
        <f t="shared" si="9"/>
        <v>37.58947611972391</v>
      </c>
      <c r="H113" s="44">
        <f>F113+G113</f>
        <v>38.421927618842076</v>
      </c>
    </row>
    <row r="114" spans="1:8" ht="12.75">
      <c r="A114" s="15" t="s">
        <v>168</v>
      </c>
      <c r="B114" s="44">
        <f aca="true" t="shared" si="10" ref="B114:H114">B113+B109</f>
        <v>16.500881834215168</v>
      </c>
      <c r="C114" s="44">
        <f t="shared" si="10"/>
        <v>2.446869488536155</v>
      </c>
      <c r="D114" s="44">
        <f t="shared" si="10"/>
        <v>13.401014109347441</v>
      </c>
      <c r="E114" s="44">
        <f t="shared" si="10"/>
        <v>0</v>
      </c>
      <c r="F114" s="44">
        <f t="shared" si="10"/>
        <v>0.8324514991181656</v>
      </c>
      <c r="G114" s="44">
        <f t="shared" si="10"/>
        <v>42.71802880396647</v>
      </c>
      <c r="H114" s="44">
        <f t="shared" si="10"/>
        <v>43.55048030308463</v>
      </c>
    </row>
    <row r="115" spans="1:8" ht="12.75">
      <c r="A115" s="15" t="s">
        <v>24</v>
      </c>
      <c r="B115" s="44">
        <f aca="true" t="shared" si="11" ref="B115:H115">B105+B114</f>
        <v>57.05314977072311</v>
      </c>
      <c r="C115" s="44">
        <f t="shared" si="11"/>
        <v>9.474384850088184</v>
      </c>
      <c r="D115" s="44">
        <f t="shared" si="11"/>
        <v>65.56202369664904</v>
      </c>
      <c r="E115" s="44">
        <f t="shared" si="11"/>
        <v>4.695888</v>
      </c>
      <c r="F115" s="44">
        <f t="shared" si="11"/>
        <v>3.4415187865961197</v>
      </c>
      <c r="G115" s="44">
        <f t="shared" si="11"/>
        <v>47.56299160727273</v>
      </c>
      <c r="H115" s="44">
        <f t="shared" si="11"/>
        <v>51.00451039386885</v>
      </c>
    </row>
    <row r="116" ht="12.75">
      <c r="A116" s="39" t="s">
        <v>132</v>
      </c>
    </row>
    <row r="117" ht="12.75">
      <c r="A117" s="13" t="s">
        <v>228</v>
      </c>
    </row>
  </sheetData>
  <sheetProtection/>
  <mergeCells count="14">
    <mergeCell ref="A46:G46"/>
    <mergeCell ref="A26:D26"/>
    <mergeCell ref="A27:D27"/>
    <mergeCell ref="A82:H82"/>
    <mergeCell ref="A83:H83"/>
    <mergeCell ref="A51:L51"/>
    <mergeCell ref="A52:L52"/>
    <mergeCell ref="A66:H66"/>
    <mergeCell ref="A67:H67"/>
    <mergeCell ref="A3:L3"/>
    <mergeCell ref="A4:L4"/>
    <mergeCell ref="A39:F39"/>
    <mergeCell ref="A40:F40"/>
    <mergeCell ref="A45:G45"/>
  </mergeCells>
  <printOptions horizontalCentered="1"/>
  <pageMargins left="0.75" right="0.75" top="1" bottom="1" header="0.5" footer="0.5"/>
  <pageSetup fitToHeight="20" horizontalDpi="300" verticalDpi="300" orientation="landscape" scale="79" r:id="rId1"/>
  <headerFooter alignWithMargins="0">
    <oddFooter>&amp;CPage &amp;P of &amp;N&amp;R&amp;D</oddFooter>
  </headerFooter>
  <rowBreaks count="2" manualBreakCount="2">
    <brk id="38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Heisler</dc:creator>
  <cp:keywords/>
  <dc:description/>
  <cp:lastModifiedBy>dsasaki</cp:lastModifiedBy>
  <cp:lastPrinted>2000-11-28T20:33:21Z</cp:lastPrinted>
  <dcterms:created xsi:type="dcterms:W3CDTF">2000-05-01T21:32:01Z</dcterms:created>
  <dcterms:modified xsi:type="dcterms:W3CDTF">2014-08-06T18:55:17Z</dcterms:modified>
  <cp:category/>
  <cp:version/>
  <cp:contentType/>
  <cp:contentStatus/>
</cp:coreProperties>
</file>