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firstSheet="47" activeTab="51"/>
  </bookViews>
  <sheets>
    <sheet name="Const. Cover Sheet" sheetId="1" r:id="rId1"/>
    <sheet name="Page B-1" sheetId="2" r:id="rId2"/>
    <sheet name="Page B-2" sheetId="3" r:id="rId3"/>
    <sheet name="Page B-3" sheetId="4" r:id="rId4"/>
    <sheet name="Page B-4" sheetId="5" r:id="rId5"/>
    <sheet name="Page B-5" sheetId="6" r:id="rId6"/>
    <sheet name="Page B-6" sheetId="7" r:id="rId7"/>
    <sheet name="Page B-7" sheetId="8" r:id="rId8"/>
    <sheet name="Page B-8" sheetId="9" r:id="rId9"/>
    <sheet name="Page B-9" sheetId="10" r:id="rId10"/>
    <sheet name="Page B-10" sheetId="11" r:id="rId11"/>
    <sheet name="Page B-11" sheetId="12" r:id="rId12"/>
    <sheet name="Page B-12" sheetId="13" r:id="rId13"/>
    <sheet name="Page B-13" sheetId="14" r:id="rId14"/>
    <sheet name="Page B-14" sheetId="15" r:id="rId15"/>
    <sheet name="Page B-15" sheetId="16" r:id="rId16"/>
    <sheet name="Page B-16" sheetId="17" r:id="rId17"/>
    <sheet name="Page B-17" sheetId="18" r:id="rId18"/>
    <sheet name="Page B-18" sheetId="19" r:id="rId19"/>
    <sheet name="Page B-19" sheetId="20" r:id="rId20"/>
    <sheet name="Page B-20" sheetId="21" r:id="rId21"/>
    <sheet name="Page B-21" sheetId="22" r:id="rId22"/>
    <sheet name="Page B-22" sheetId="23" r:id="rId23"/>
    <sheet name="Page B-23" sheetId="24" r:id="rId24"/>
    <sheet name="Page B-24" sheetId="25" r:id="rId25"/>
    <sheet name="Ops Cover Sheet" sheetId="26" r:id="rId26"/>
    <sheet name="Pages B-25 &amp; B-26" sheetId="27" r:id="rId27"/>
    <sheet name="Page B-27" sheetId="28" r:id="rId28"/>
    <sheet name="Page B-28" sheetId="29" r:id="rId29"/>
    <sheet name="Pages B-29 &amp; B-30" sheetId="30" r:id="rId30"/>
    <sheet name="Page B-31" sheetId="31" r:id="rId31"/>
    <sheet name="Page B-32" sheetId="32" r:id="rId32"/>
    <sheet name="Page B-33" sheetId="33" r:id="rId33"/>
    <sheet name="Page B-34" sheetId="34" r:id="rId34"/>
    <sheet name="Page B-35" sheetId="35" r:id="rId35"/>
    <sheet name="Page B-36" sheetId="36" r:id="rId36"/>
    <sheet name="Page B-37" sheetId="37" r:id="rId37"/>
    <sheet name="Page B-38" sheetId="38" r:id="rId38"/>
    <sheet name="Page B-39" sheetId="39" r:id="rId39"/>
    <sheet name="Pages B-40 &amp; B-41" sheetId="40" r:id="rId40"/>
    <sheet name="Page B-42" sheetId="41" r:id="rId41"/>
    <sheet name="Page B-43" sheetId="42" r:id="rId42"/>
    <sheet name="Pages B-44 &amp; B-45" sheetId="43" r:id="rId43"/>
    <sheet name="Page B-46" sheetId="44" r:id="rId44"/>
    <sheet name="Page B-47" sheetId="45" r:id="rId45"/>
    <sheet name="Page B-48" sheetId="46" r:id="rId46"/>
    <sheet name="Page B-49" sheetId="47" r:id="rId47"/>
    <sheet name="Page B-50" sheetId="48" r:id="rId48"/>
    <sheet name="Page B-51" sheetId="49" r:id="rId49"/>
    <sheet name="Page B-52" sheetId="50" r:id="rId50"/>
    <sheet name="Page B-53" sheetId="51" r:id="rId51"/>
    <sheet name="Page B-54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alpha">'Page B-28'!$B$87:$C$92</definedName>
    <definedName name="baselinetanks">'[1]Baseline Tank VOCs'!$A$1:$BS$42</definedName>
    <definedName name="char_info">'[2]speciatn'!$D$2:$AH$5</definedName>
    <definedName name="postprojectefrtanks">'[1]Post Project Tanks - EFR'!$A$1:$BS$28</definedName>
    <definedName name="postprojectfixedtanks">'[1]Post Project Tanks - Fixed'!$A$1:$BS$11</definedName>
    <definedName name="_xlnm.Print_Area" localSheetId="10">'Page B-10'!$A:$IV</definedName>
    <definedName name="_xlnm.Print_Area" localSheetId="11">'Page B-11'!$A$1:$L$38</definedName>
    <definedName name="_xlnm.Print_Area" localSheetId="15">'Page B-15'!$A$1:$L$38</definedName>
    <definedName name="_xlnm.Print_Area" localSheetId="2">'Page B-2'!$A$1:$L$38</definedName>
    <definedName name="_xlnm.Print_Area" localSheetId="28">'Page B-28'!$A$1:$H$74</definedName>
    <definedName name="_xlnm.Print_Area" localSheetId="30">'Page B-31'!$A$1:$E$54</definedName>
    <definedName name="_xlnm.Print_Area" localSheetId="31">'Page B-32'!$A$1:$F$24</definedName>
    <definedName name="_xlnm.Print_Area" localSheetId="32">'Page B-33'!$A$1:$D$17</definedName>
    <definedName name="_xlnm.Print_Area" localSheetId="35">'Page B-36'!$A$1:$L$36</definedName>
    <definedName name="_xlnm.Print_Area" localSheetId="37">'Page B-38'!$A$1:$E$26</definedName>
    <definedName name="_xlnm.Print_Area" localSheetId="40">'Page B-42'!$A$1:$F$18</definedName>
    <definedName name="_xlnm.Print_Area" localSheetId="44">'Page B-47'!$A$1:$L$38</definedName>
    <definedName name="_xlnm.Print_Area" localSheetId="47">'Page B-50'!$A$1:$E$54</definedName>
    <definedName name="_xlnm.Print_Area" localSheetId="48">'Page B-51'!$A$1:$C$16</definedName>
    <definedName name="_xlnm.Print_Area" localSheetId="50">'Page B-53'!$A$1:$L$36</definedName>
    <definedName name="_xlnm.Print_Area" localSheetId="7">'Page B-7'!$A$1:$L$38</definedName>
    <definedName name="prod_info">'[3]prod_info'!$E$9:$N$65</definedName>
    <definedName name="speciation">'[2]speciatn'!$C$8:$AL$121</definedName>
    <definedName name="stackflow56h1">'[4]Combustion Source Test Data'!#REF!</definedName>
    <definedName name="Tank_Emissions_Data">'[5]Tank Summary'!$A$1:$Q$42</definedName>
    <definedName name="thruput">'[3]THRUPUTS'!$A$4:$AJ$135</definedName>
  </definedNames>
  <calcPr fullCalcOnLoad="1"/>
</workbook>
</file>

<file path=xl/comments2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10"/>
            <rFont val="Tahoma"/>
            <family val="0"/>
          </rPr>
          <t>Number of Turnovers = 
throughput / tank volume.
Tank volume = Hs*PI*D^2/4</t>
        </r>
      </text>
    </comment>
    <comment ref="B38" authorId="0">
      <text>
        <r>
          <rPr>
            <sz val="10"/>
            <rFont val="Tahoma"/>
            <family val="0"/>
          </rPr>
          <t>Need a way to calculate or lookup a value for Pv.  The value of Pv depends upon the product.
May be able to use product codes and lookup table.</t>
        </r>
      </text>
    </comment>
    <comment ref="B41" authorId="0">
      <text>
        <r>
          <rPr>
            <sz val="10"/>
            <rFont val="Tahoma"/>
            <family val="0"/>
          </rPr>
          <t>True vapor pressure at 65F</t>
        </r>
      </text>
    </comment>
    <comment ref="A42" authorId="0">
      <text>
        <r>
          <rPr>
            <sz val="10"/>
            <rFont val="Tahoma"/>
            <family val="0"/>
          </rPr>
          <t>Kn formula is modified for semi-annual reporting.</t>
        </r>
      </text>
    </comment>
    <comment ref="B42" authorId="0">
      <text>
        <r>
          <rPr>
            <sz val="10"/>
            <rFont val="Tahoma"/>
            <family val="0"/>
          </rPr>
          <t>Kn = 1, for N&lt;=36
Kn = (180+N)/6N, for N&gt;36</t>
        </r>
      </text>
    </comment>
    <comment ref="B43" authorId="0">
      <text>
        <r>
          <rPr>
            <sz val="10"/>
            <rFont val="Tahoma"/>
            <family val="0"/>
          </rPr>
          <t>Kp=0.75, for Crude Oils
Kp=1.0, for all other liquids</t>
        </r>
      </text>
    </comment>
  </commentList>
</comments>
</file>

<file path=xl/sharedStrings.xml><?xml version="1.0" encoding="utf-8"?>
<sst xmlns="http://schemas.openxmlformats.org/spreadsheetml/2006/main" count="2710" uniqueCount="572">
  <si>
    <t>Construction Equipment</t>
  </si>
  <si>
    <t>Equipment Type</t>
  </si>
  <si>
    <t xml:space="preserve">Hours </t>
  </si>
  <si>
    <t>Emission Factors lb/hr</t>
  </si>
  <si>
    <t>Daily Emissions (lbs/day)</t>
  </si>
  <si>
    <t xml:space="preserve"> </t>
  </si>
  <si>
    <t>Number #</t>
  </si>
  <si>
    <t>Per Day</t>
  </si>
  <si>
    <t>CO</t>
  </si>
  <si>
    <t>VOC</t>
  </si>
  <si>
    <t>NOx</t>
  </si>
  <si>
    <t>SOx</t>
  </si>
  <si>
    <t>PM10</t>
  </si>
  <si>
    <t>Total Emission Totals</t>
  </si>
  <si>
    <t>(1) Emissions factors from SCAQMD CEQA Air Quality Handbook, Table 9-8-A.</t>
  </si>
  <si>
    <t xml:space="preserve">(2) Emissions factors from SCAQMD CEQA Air Quality Handbook, Table A9-8-B, horsepower ratings from Table A9-8-C and typical load factors from Table A9-8-D. </t>
  </si>
  <si>
    <t>* Emissions factors for equipment not specifically listed are from SCAQMD CEQA Air Quality Handbook, Table 9-8-A, miscellaneous.</t>
  </si>
  <si>
    <t>N:1994:Construction Equipment Emissions</t>
  </si>
  <si>
    <r>
      <t>Air Compressor 130 CFM</t>
    </r>
    <r>
      <rPr>
        <vertAlign val="superscript"/>
        <sz val="10"/>
        <rFont val="Arial"/>
        <family val="2"/>
      </rPr>
      <t>(2)</t>
    </r>
  </si>
  <si>
    <r>
      <t>Backhoe</t>
    </r>
    <r>
      <rPr>
        <vertAlign val="superscript"/>
        <sz val="10"/>
        <rFont val="Arial"/>
        <family val="2"/>
      </rPr>
      <t>(2)</t>
    </r>
  </si>
  <si>
    <r>
      <t>Cranes</t>
    </r>
    <r>
      <rPr>
        <vertAlign val="superscript"/>
        <sz val="10"/>
        <rFont val="Arial"/>
        <family val="2"/>
      </rPr>
      <t>(2)</t>
    </r>
  </si>
  <si>
    <r>
      <t>Cranes 300 hp</t>
    </r>
    <r>
      <rPr>
        <vertAlign val="superscript"/>
        <sz val="10"/>
        <rFont val="Arial"/>
        <family val="2"/>
      </rPr>
      <t>(2)</t>
    </r>
  </si>
  <si>
    <r>
      <t>Dump Trucks</t>
    </r>
    <r>
      <rPr>
        <vertAlign val="superscript"/>
        <sz val="10"/>
        <rFont val="Arial"/>
        <family val="2"/>
      </rPr>
      <t>(1)</t>
    </r>
  </si>
  <si>
    <r>
      <t>Forklift</t>
    </r>
    <r>
      <rPr>
        <vertAlign val="superscript"/>
        <sz val="10"/>
        <rFont val="Arial"/>
        <family val="2"/>
      </rPr>
      <t>(1)</t>
    </r>
  </si>
  <si>
    <r>
      <t>Front End Loader</t>
    </r>
    <r>
      <rPr>
        <vertAlign val="superscript"/>
        <sz val="10"/>
        <rFont val="Arial"/>
        <family val="2"/>
      </rPr>
      <t>(1)</t>
    </r>
  </si>
  <si>
    <r>
      <t>Manlifts (Boom and Scissor)</t>
    </r>
    <r>
      <rPr>
        <vertAlign val="superscript"/>
        <sz val="10"/>
        <rFont val="Arial"/>
        <family val="2"/>
      </rPr>
      <t>(2)</t>
    </r>
  </si>
  <si>
    <r>
      <t>Tractor</t>
    </r>
    <r>
      <rPr>
        <vertAlign val="superscript"/>
        <sz val="10"/>
        <rFont val="Arial"/>
        <family val="2"/>
      </rPr>
      <t>(1)</t>
    </r>
  </si>
  <si>
    <r>
      <t>Lights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(</t>
    </r>
    <r>
      <rPr>
        <sz val="9"/>
        <rFont val="Arial"/>
        <family val="2"/>
      </rPr>
      <t>Signal Boards</t>
    </r>
    <r>
      <rPr>
        <sz val="10"/>
        <rFont val="Arial"/>
        <family val="2"/>
      </rPr>
      <t>)</t>
    </r>
  </si>
  <si>
    <r>
      <t>Generators (Gasoline)</t>
    </r>
    <r>
      <rPr>
        <vertAlign val="superscript"/>
        <sz val="10"/>
        <rFont val="Arial"/>
        <family val="2"/>
      </rPr>
      <t>(2)</t>
    </r>
  </si>
  <si>
    <r>
      <t>Weld Machine</t>
    </r>
    <r>
      <rPr>
        <vertAlign val="superscript"/>
        <sz val="10"/>
        <rFont val="Arial"/>
        <family val="2"/>
      </rPr>
      <t>(2)</t>
    </r>
  </si>
  <si>
    <t>On Road Mobile Emission Factors from California ARB EMFAC2000</t>
  </si>
  <si>
    <t>Vehicle Type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</si>
  <si>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</si>
  <si>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</si>
  <si>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</si>
  <si>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</si>
  <si>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</si>
  <si>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</si>
  <si>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</si>
  <si>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Construction Workers Commuting</t>
  </si>
  <si>
    <t>Light Duty Trucks</t>
  </si>
  <si>
    <t>Heavy Diesel Trucks</t>
  </si>
  <si>
    <t>NA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</si>
  <si>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</si>
  <si>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</si>
  <si>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</si>
  <si>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</si>
  <si>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</si>
  <si>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</si>
  <si>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</si>
  <si>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</si>
  <si>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</si>
  <si>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</si>
  <si>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</si>
  <si>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</si>
  <si>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</si>
  <si>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</si>
  <si>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 xml:space="preserve">On-site Cars  </t>
  </si>
  <si>
    <t>On-Site Buses</t>
  </si>
  <si>
    <t>Water Truck</t>
  </si>
  <si>
    <t xml:space="preserve">Total Emissions for Construction Workers Commuting </t>
  </si>
  <si>
    <t>Total Emissions for Light Duty Trucks</t>
  </si>
  <si>
    <t>Total Emissions for Heavy Diesel Trucks</t>
  </si>
  <si>
    <t>Total Trip Emissions</t>
  </si>
  <si>
    <t>Emission factors for light duty trucks include trucks have non-catalyst/gasoline, catalyst/gasoline engines, and diesel engines</t>
  </si>
  <si>
    <t>Diurnal &amp; Resting losses vehicle ROG emission based on the vehicle being not being operated and the ambient temperature is rising</t>
  </si>
  <si>
    <t>Based on California ARB EMFAC2000 model years 1965-2001, state-wide annual simple averages</t>
  </si>
  <si>
    <t>EMFAC2000 was finalized in May 2000</t>
  </si>
  <si>
    <t xml:space="preserve"> Fugitive Dust Construction Emission Estimates</t>
  </si>
  <si>
    <t>From Trucks and Employee Vehicles</t>
  </si>
  <si>
    <t>Refinery Construction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</si>
  <si>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</si>
  <si>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</si>
  <si>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</si>
  <si>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</si>
  <si>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</si>
  <si>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</si>
  <si>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</si>
  <si>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</si>
  <si>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</si>
  <si>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</si>
  <si>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(with street cleaning)</t>
  </si>
  <si>
    <t>Buses on Paved Roadways</t>
  </si>
  <si>
    <t>Diesel</t>
  </si>
  <si>
    <t>Light Duty Trucks on Paved Roadways</t>
  </si>
  <si>
    <t>Trucks on Paved Roadways</t>
  </si>
  <si>
    <t>Trucks on Unpaved Roads</t>
  </si>
  <si>
    <t>Total</t>
  </si>
  <si>
    <t>* Emission Calculations from SCAQMD CEQA Air Quality Handbook, Table A9-9</t>
  </si>
  <si>
    <t>N:1994:Construction Fugitive Emissions</t>
  </si>
  <si>
    <t>Refinery Fugitive Construction</t>
  </si>
  <si>
    <t xml:space="preserve">  Emission Estimates</t>
  </si>
  <si>
    <t>Average Pieces of Equipment Operating</t>
  </si>
  <si>
    <t>Peak Pieces of Equipment Operating</t>
  </si>
  <si>
    <t>Hours of Operation</t>
  </si>
  <si>
    <t>PM10 Emission Factor (lb/hour)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</si>
  <si>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</si>
  <si>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</si>
  <si>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</si>
  <si>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</si>
  <si>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</si>
  <si>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Peak PM10 Emissions (lbs/day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</si>
  <si>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</si>
  <si>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</si>
  <si>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</si>
  <si>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</si>
  <si>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</si>
  <si>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</si>
  <si>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</si>
  <si>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PM-10 Emission Factor (lb/ton)</t>
  </si>
  <si>
    <t>Average   PM-10 Emissions Pounds/day</t>
  </si>
  <si>
    <t>Peak PM-10 Emissions Pounds/day</t>
  </si>
  <si>
    <t>Peak      PM-10 Emissions Pounds/day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</si>
  <si>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</si>
  <si>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</si>
  <si>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</si>
  <si>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</si>
  <si>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</si>
  <si>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</si>
  <si>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</si>
  <si>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PM-10 Emission Factor (lb/day/acre)</t>
  </si>
  <si>
    <t>Peak        PM-10 Emissions Pounds/day</t>
  </si>
  <si>
    <t>Average   PM-10 Emissions Tons/Year</t>
  </si>
  <si>
    <t>Peak      PM-10 Emissions Tons/Year</t>
  </si>
  <si>
    <t>Table A9-9-E</t>
  </si>
  <si>
    <t>TOTAL PM-10 Pounds/day</t>
  </si>
  <si>
    <t>Average</t>
  </si>
  <si>
    <t>Peak</t>
  </si>
  <si>
    <t>(Controlled Emissions)</t>
  </si>
  <si>
    <t>Construction</t>
  </si>
  <si>
    <t>(Uncontrolled Emissions)</t>
  </si>
  <si>
    <t>N:1994:Construction - Fugitive Emissions</t>
  </si>
  <si>
    <t>Paint Primer Architectural Coating Emissions</t>
  </si>
  <si>
    <t>Refinery Construction - Pentane Sphere</t>
  </si>
  <si>
    <t>Activity</t>
  </si>
  <si>
    <t>Amount</t>
  </si>
  <si>
    <t>Notes</t>
  </si>
  <si>
    <t>Volume Applied (gallons/day)</t>
  </si>
  <si>
    <t>VOC Content (lb/gallon)</t>
  </si>
  <si>
    <t>SCAQMD Rule 1113 Limit</t>
  </si>
  <si>
    <t>VOC Emissions (lbs/day)</t>
  </si>
  <si>
    <r>
      <t>Boom Trucks</t>
    </r>
    <r>
      <rPr>
        <vertAlign val="superscript"/>
        <sz val="10"/>
        <rFont val="Arial"/>
        <family val="2"/>
      </rPr>
      <t>(1)</t>
    </r>
  </si>
  <si>
    <t>Carson Terminal Construction</t>
  </si>
  <si>
    <t>Carson Fugitive Construction</t>
  </si>
  <si>
    <t>Mormon Island Terminal Construction</t>
  </si>
  <si>
    <t>Mormon Island Fugitive</t>
  </si>
  <si>
    <t>Construction Emission Estimates</t>
  </si>
  <si>
    <t>`</t>
  </si>
  <si>
    <r>
      <t>Excavator</t>
    </r>
    <r>
      <rPr>
        <vertAlign val="superscript"/>
        <sz val="10"/>
        <rFont val="Arial"/>
        <family val="2"/>
      </rPr>
      <t>(2)</t>
    </r>
  </si>
  <si>
    <t>Terminal Construction</t>
  </si>
  <si>
    <t>Terminals Fugitive Construction</t>
  </si>
  <si>
    <t>Refinery Mitigated Fugitive</t>
  </si>
  <si>
    <t>Carson Mitigated Fugitive</t>
  </si>
  <si>
    <t>Mormon Island Fugitive Mitigated</t>
  </si>
  <si>
    <t>Terminals Mitigated Fugitive</t>
  </si>
  <si>
    <t>Unit</t>
  </si>
  <si>
    <t>Component</t>
  </si>
  <si>
    <t>Quantity</t>
  </si>
  <si>
    <t>Uncertainty Factor</t>
  </si>
  <si>
    <t>Revised Quantity</t>
  </si>
  <si>
    <t>Emission Factor (lbs/yr)</t>
  </si>
  <si>
    <t>Emissions (lbs/yr)*</t>
  </si>
  <si>
    <t>Alkylation Unit</t>
  </si>
  <si>
    <t>pumps (light liquid)</t>
  </si>
  <si>
    <t>valves (light liquid)</t>
  </si>
  <si>
    <t>fittings(flanges, etc)</t>
  </si>
  <si>
    <t>valves (gas/vapor)</t>
  </si>
  <si>
    <t>pumps (heavy liquid)</t>
  </si>
  <si>
    <t>valves (heavy liquid)</t>
  </si>
  <si>
    <t>Compressors</t>
  </si>
  <si>
    <t>Drains</t>
  </si>
  <si>
    <t>PRVs</t>
  </si>
  <si>
    <t>Alkyl Unit Totals</t>
  </si>
  <si>
    <t>FCC Debutanizer</t>
  </si>
  <si>
    <t>FCC Debut. Totals</t>
  </si>
  <si>
    <t>HTU-2</t>
  </si>
  <si>
    <t>HTU-2 Totals</t>
  </si>
  <si>
    <t>HTU-4</t>
  </si>
  <si>
    <t>HTU-4 Totals</t>
  </si>
  <si>
    <t>CRU-2</t>
  </si>
  <si>
    <t>CRU-2 Totals</t>
  </si>
  <si>
    <t>Emissions (lbs/yr)</t>
  </si>
  <si>
    <t>CRU-3 Depentanizer</t>
  </si>
  <si>
    <t>CRU-3 Depent Totals</t>
  </si>
  <si>
    <t>HCU Fractionator</t>
  </si>
  <si>
    <t>HCU Totals</t>
  </si>
  <si>
    <t>C4 Isomerization Unit</t>
  </si>
  <si>
    <t>C4 Totals</t>
  </si>
  <si>
    <t>Pentane Sphere</t>
  </si>
  <si>
    <t>Pentane Sphere Totals</t>
  </si>
  <si>
    <t>HTU-1</t>
  </si>
  <si>
    <t>HTU-1 Totals</t>
  </si>
  <si>
    <t>Flares</t>
  </si>
  <si>
    <t>None</t>
  </si>
  <si>
    <t>Vapor Recovery Sys.</t>
  </si>
  <si>
    <t>Total VOC Fugitive Emissions (lbs/yr)</t>
  </si>
  <si>
    <t>Total VOC Fugitive Emissions (lbs/day)</t>
  </si>
  <si>
    <t>*  Emission calculations assume that 50% of the valves in light liquid service will be leakless.</t>
  </si>
  <si>
    <t>XLS:1994Emissions</t>
  </si>
  <si>
    <t>Device ID</t>
  </si>
  <si>
    <t>Existing PTE</t>
  </si>
  <si>
    <t>Proposed PTE</t>
  </si>
  <si>
    <t>Proposed Maximum PTE</t>
  </si>
  <si>
    <t>=</t>
  </si>
  <si>
    <t xml:space="preserve"> 1.  TANK NO. </t>
  </si>
  <si>
    <t xml:space="preserve">      PRODUCT NAME</t>
  </si>
  <si>
    <t>CR GAS</t>
  </si>
  <si>
    <t>NAPH FR ALK</t>
  </si>
  <si>
    <t>NAPH LSR</t>
  </si>
  <si>
    <t>ULR</t>
  </si>
  <si>
    <t>ALKY</t>
  </si>
  <si>
    <t>MTBE</t>
  </si>
  <si>
    <t>Gas Blend</t>
  </si>
  <si>
    <t xml:space="preserve"> 2.  PRODUCT CODE</t>
  </si>
  <si>
    <t>08</t>
  </si>
  <si>
    <t>01</t>
  </si>
  <si>
    <t xml:space="preserve"> 3.  TYPE FLOATING ROOF SEAL</t>
  </si>
  <si>
    <t>1C</t>
  </si>
  <si>
    <t xml:space="preserve"> 4.  SHELL CONSTRUCTION</t>
  </si>
  <si>
    <t>WELDED</t>
  </si>
  <si>
    <t xml:space="preserve"> 5.  REID VAPOR PRESSURE, psia</t>
  </si>
  <si>
    <t xml:space="preserve"> 6.  AVERAGE STOCK STORAGE TEMP., (F)</t>
  </si>
  <si>
    <t xml:space="preserve"> 7.  TRUE VAPOR PRESSURE, psia, (P)</t>
  </si>
  <si>
    <t xml:space="preserve"> 8.  TANK DIAMETER, Ft., (D)</t>
  </si>
  <si>
    <t xml:space="preserve"> 9.  WIND SPEED EXPONENT, (n)</t>
  </si>
  <si>
    <t>10.  AVE. WIND VELOCITY, mi/hr, (V)</t>
  </si>
  <si>
    <t>11.  SEAL FACTOR, (Ks)</t>
  </si>
  <si>
    <t>12.  PRODUCT FACTOR (Kc)</t>
  </si>
  <si>
    <t>13.  VAPOR MOLECULAR WT, lb/lb mol, (Mv)</t>
  </si>
  <si>
    <t>14.  CLINAGE FACTOR, bbl/1000 ft^2 (C)</t>
  </si>
  <si>
    <t>15.  THROUGHPUT, bbl/yr (Q)</t>
  </si>
  <si>
    <t>16.  DENSITY OF LIQUID STOCK, lb/gal, (WL)</t>
  </si>
  <si>
    <t>17.  TYPES OF FITTINGS, nf</t>
  </si>
  <si>
    <t>18.  VAPOR PRESSURE FUNCTION, (P*)</t>
  </si>
  <si>
    <t>Roof Type</t>
  </si>
  <si>
    <t>double</t>
  </si>
  <si>
    <t>pontoon</t>
  </si>
  <si>
    <t>19.  FITTING LOSS FACTOR, lb-mol/yr, (Ff)</t>
  </si>
  <si>
    <t xml:space="preserve">        DAYS IN SERVICE  (Ds)</t>
  </si>
  <si>
    <t>20.  FITTING LOSS, lbs/yr, (Lrf)</t>
  </si>
  <si>
    <t>21.  STANDING LOSS, lbs/yr. (Ls)</t>
  </si>
  <si>
    <t>22.  WITHDRAWAL LOSS, lbs/yr, (Lw)</t>
  </si>
  <si>
    <t>23.  TOTAL LOSS, lbs/yr.</t>
  </si>
  <si>
    <t>24.  PROJECT CHANGES, lbs/day</t>
  </si>
  <si>
    <t>25.  TOTAL PROJECT INCREASES, lbs/day</t>
  </si>
  <si>
    <t>1994:1995 ATIR Info:TOSCAQMD.rev1.xls</t>
  </si>
  <si>
    <t xml:space="preserve">DEVICE </t>
  </si>
  <si>
    <t>INPUTS:</t>
  </si>
  <si>
    <t>Maximum Potential PTE</t>
  </si>
  <si>
    <t>Potential PTE</t>
  </si>
  <si>
    <t>Tank Number</t>
  </si>
  <si>
    <t>Product Name</t>
  </si>
  <si>
    <t>HCN</t>
  </si>
  <si>
    <t>NAPH HVY CR</t>
  </si>
  <si>
    <t>DCU HVGO</t>
  </si>
  <si>
    <t>HTU4 CHG</t>
  </si>
  <si>
    <t>HARV BLEND</t>
  </si>
  <si>
    <t>Vented to VR System (N,V or T)</t>
  </si>
  <si>
    <t>V</t>
  </si>
  <si>
    <t>D, Tank Dia (ft)</t>
  </si>
  <si>
    <t>Hs, Tank Shell Ht (ft)</t>
  </si>
  <si>
    <t>Paint Color (White, Aluminum Specular or Diffuse, Light or Medium Gray, Red)</t>
  </si>
  <si>
    <t>white</t>
  </si>
  <si>
    <t>medium gray</t>
  </si>
  <si>
    <t>Paint Condition (Good or Fair)</t>
  </si>
  <si>
    <t>good</t>
  </si>
  <si>
    <t>Lx, Total Excess Emissions from Upsets (lbs/yr)</t>
  </si>
  <si>
    <t>optional inputs:</t>
  </si>
  <si>
    <t>Control System Efficiency (%)</t>
  </si>
  <si>
    <t>Tank Capacity (bbl) - If unknown, leave blank</t>
  </si>
  <si>
    <t>Storage Temp. (leave blank unless diff. from ambient temp.)</t>
  </si>
  <si>
    <t>(Hs-Hl), Average Outage (ft)  (Default = 0.2*Hs or input value)</t>
  </si>
  <si>
    <t>Roof type (Cone or Dome, default = cone)</t>
  </si>
  <si>
    <t>LOOKUP TABLE VALUES:</t>
  </si>
  <si>
    <t>Product Code (SCAQMD Table)</t>
  </si>
  <si>
    <t>06</t>
  </si>
  <si>
    <t>09</t>
  </si>
  <si>
    <t>02</t>
  </si>
  <si>
    <t>Reid Vapor Pressure (psia)</t>
  </si>
  <si>
    <t>Mv, Vapor Molecular Weight (lb/lb-mole)</t>
  </si>
  <si>
    <t>Q, Throughput (bbl/period)</t>
  </si>
  <si>
    <t>Days in Service</t>
  </si>
  <si>
    <t>Q, Throughput (bbl/yr)</t>
  </si>
  <si>
    <t>N, Turnovers per year</t>
  </si>
  <si>
    <t>Vv, Vapor Space Volume, (ft^3)</t>
  </si>
  <si>
    <t>Wv, Vapor Density, (lb/ft^3)</t>
  </si>
  <si>
    <t>Ke, Vapor Space Expansion (dim'less)</t>
  </si>
  <si>
    <t>Kv, Vented Vapor Saturation (dim'less)</t>
  </si>
  <si>
    <t>P, True Vapor Pressure (psia)</t>
  </si>
  <si>
    <t>Kn, Turnover Factor (dim'less)</t>
  </si>
  <si>
    <t>Kp, Product Factor (dim'less)</t>
  </si>
  <si>
    <t>Number of days in use</t>
  </si>
  <si>
    <t>Ls, Standing Storage Loss (lbs/yr)</t>
  </si>
  <si>
    <t>Lw, Working Loss (lbs/yr)</t>
  </si>
  <si>
    <t>Ls+Lw+Lx, Total Loss w/o Ctrl Sys (lbs/yr)</t>
  </si>
  <si>
    <t>Total Loss w/ Ctrl Sys (lbs/yr)</t>
  </si>
  <si>
    <t>Project Changes (lbs/day)</t>
  </si>
  <si>
    <t>Total Project Increases (lbs/day)</t>
  </si>
  <si>
    <t>Calculated Values:</t>
  </si>
  <si>
    <t>*</t>
  </si>
  <si>
    <t>Tv, Daily vapor temperature range (deg R)</t>
  </si>
  <si>
    <t>Tmin, Daily minimum surface temperature (deg R)</t>
  </si>
  <si>
    <t>Tla, Daily average liquid surface temperature (deg R)</t>
  </si>
  <si>
    <t>Tmax, Daily maximum surface temperature (deg R)</t>
  </si>
  <si>
    <t>TVPmin, True Vapor Pressure at Tmin</t>
  </si>
  <si>
    <t>P, True Vapor Pressure at Tla</t>
  </si>
  <si>
    <t>TVPmax, True Vapor Pressure at Tmax</t>
  </si>
  <si>
    <t>TVPrng, Daily vapor pressure range (psia)</t>
  </si>
  <si>
    <t>Hvo, Vapor Space Outage (ft)</t>
  </si>
  <si>
    <t>Hro, Roof Outage (ft)</t>
  </si>
  <si>
    <t>alpha, Tank paint solar absorptance factor</t>
  </si>
  <si>
    <t>Default Factors:</t>
  </si>
  <si>
    <t>Sr, Tank cone roof slope (ft/ft)</t>
  </si>
  <si>
    <t>R, Ideal Gas Constant (psia-ft3/lb-mole-deg R)</t>
  </si>
  <si>
    <t>Pb, Breather vent pressure setting range (deg R)</t>
  </si>
  <si>
    <t>Pa, Atmospheric Pressure (plsi)</t>
  </si>
  <si>
    <t>GO VSR</t>
  </si>
  <si>
    <t>CRUDE</t>
  </si>
  <si>
    <t>BOHO-7</t>
  </si>
  <si>
    <t>Project Increase</t>
  </si>
  <si>
    <t>mmBtu/hr</t>
  </si>
  <si>
    <t>Hours/day</t>
  </si>
  <si>
    <t>Pollutant</t>
  </si>
  <si>
    <t>Emission Factor (lbs/mmscf)</t>
  </si>
  <si>
    <t>Project Emission Rate (lbs/day)</t>
  </si>
  <si>
    <t>NOx*</t>
  </si>
  <si>
    <t>SOx*</t>
  </si>
  <si>
    <t>BOHO-8</t>
  </si>
  <si>
    <t>BOHO-9</t>
  </si>
  <si>
    <t>BOHO-10</t>
  </si>
  <si>
    <t>Emission Rate (lbs/day)</t>
  </si>
  <si>
    <t>SUMMARY OF COMBUSTION EMISSIONS</t>
  </si>
  <si>
    <t>Total Emissions (lbs/day)</t>
  </si>
  <si>
    <t>Emission factors for CO, VOCs, and PM10 are based on SCAQMD default emission factors.</t>
  </si>
  <si>
    <t>Emission factors for NOx and SOx are based on the RECLAIM emission factors.</t>
  </si>
  <si>
    <t>* The emission calculations herein assumed a worst-case maximum daily emission rate.  The actual project emissions</t>
  </si>
  <si>
    <t xml:space="preserve">will be limited by permit conditions to less than 40 tons/year (about 216 lbs/day). </t>
  </si>
  <si>
    <t>N:1994:CombustEmiss</t>
  </si>
  <si>
    <r>
      <t>Btu/ft</t>
    </r>
    <r>
      <rPr>
        <vertAlign val="superscript"/>
        <sz val="10"/>
        <rFont val="Arial"/>
        <family val="2"/>
      </rPr>
      <t>3</t>
    </r>
  </si>
  <si>
    <r>
      <t>mmft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</si>
  <si>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 xml:space="preserve">* </t>
    </r>
    <r>
      <rPr>
        <sz val="8"/>
        <rFont val="Arial"/>
        <family val="2"/>
      </rPr>
      <t xml:space="preserve"> Units for emission factors are lb/mmBtu.</t>
    </r>
  </si>
  <si>
    <t>CARSON TERMINAL</t>
  </si>
  <si>
    <t xml:space="preserve"> CARB PHASE III PROPOSED PROJECT FUGITIVE EMISSION ESTIMATES</t>
  </si>
  <si>
    <t>Railcar Unloading</t>
  </si>
  <si>
    <t>Totals</t>
  </si>
  <si>
    <t>Truck Loading</t>
  </si>
  <si>
    <t>Gas Holder</t>
  </si>
  <si>
    <t>Afterburner</t>
  </si>
  <si>
    <t>Piping</t>
  </si>
  <si>
    <t>Rail Car Loading</t>
  </si>
  <si>
    <t>Truck loading</t>
  </si>
  <si>
    <t>Toxics Speciation</t>
  </si>
  <si>
    <t>Vapor Fraction</t>
  </si>
  <si>
    <t>lbs/year</t>
  </si>
  <si>
    <t>1,2,4-Trimethylbenzene</t>
  </si>
  <si>
    <t>Benzene</t>
  </si>
  <si>
    <t>Cumene</t>
  </si>
  <si>
    <t>Ethyl alchol</t>
  </si>
  <si>
    <t>Ethyl Benzene</t>
  </si>
  <si>
    <t>Hexane</t>
  </si>
  <si>
    <t>Isooctane</t>
  </si>
  <si>
    <t>Naphthalene</t>
  </si>
  <si>
    <t>Toluene</t>
  </si>
  <si>
    <t>Xylene</t>
  </si>
  <si>
    <t>Others</t>
  </si>
  <si>
    <t>Tank 504</t>
  </si>
  <si>
    <t>Tank 508</t>
  </si>
  <si>
    <t>Tank 512</t>
  </si>
  <si>
    <t>Tank 513</t>
  </si>
  <si>
    <t>Tank 514</t>
  </si>
  <si>
    <t>EFB Data, Year Ending 6/30/99</t>
  </si>
  <si>
    <t>Total VOCs, lb/yr</t>
  </si>
  <si>
    <t>EFB Data, Year Ending 6/30/00</t>
  </si>
  <si>
    <t>Average Emissions for the Last 2 Years</t>
  </si>
  <si>
    <t>Average Emissions, Tanks in New Service</t>
  </si>
  <si>
    <t>Ethanol, lb/yr</t>
  </si>
  <si>
    <t>Total, lb/yr</t>
  </si>
  <si>
    <t>Potential to Emit, Tanks in New Service</t>
  </si>
  <si>
    <t>Emission Changes Associated</t>
  </si>
  <si>
    <t>(1) Negative numbers indicate emission reductions</t>
  </si>
  <si>
    <t>Each Tank</t>
  </si>
  <si>
    <t>5 Tanks</t>
  </si>
  <si>
    <t>Ethyl alcohol</t>
  </si>
  <si>
    <t>N:1994Emissions</t>
  </si>
  <si>
    <r>
      <t>with the Proposed Project, lb/yr</t>
    </r>
    <r>
      <rPr>
        <b/>
        <vertAlign val="superscript"/>
        <sz val="10"/>
        <rFont val="Arial"/>
        <family val="2"/>
      </rPr>
      <t>(1)</t>
    </r>
  </si>
  <si>
    <t>Emission Factor (lbs/1000 gal) = 12.46 x S x P x M/T</t>
  </si>
  <si>
    <t>Parameter</t>
  </si>
  <si>
    <t>Value</t>
  </si>
  <si>
    <t>Basis</t>
  </si>
  <si>
    <t>Saturation factor, truck loading</t>
  </si>
  <si>
    <t>AP-42, Table 5.2-1</t>
  </si>
  <si>
    <t>Ethanol Vapor Pressure, psia</t>
  </si>
  <si>
    <t>Ethanol Molecular Weight, lb/lb mole</t>
  </si>
  <si>
    <t>Emission Factor, lbs/1000 gal</t>
  </si>
  <si>
    <t>lbs/1000 gal</t>
  </si>
  <si>
    <t>Ethanol Loaded, bbls/day</t>
  </si>
  <si>
    <t>Equilon's estimates</t>
  </si>
  <si>
    <t>Ethanol Loaded, gals/day</t>
  </si>
  <si>
    <t>Uncontrolled Loading Emissions, lbs/day</t>
  </si>
  <si>
    <t>Controlled Loading Emissions, lbs/day</t>
  </si>
  <si>
    <t>Assumes 95% control efficiency for afterburner</t>
  </si>
  <si>
    <t>Maximum Ethanol Loaded, gals/hr</t>
  </si>
  <si>
    <t>Assumes 3,600 gpm</t>
  </si>
  <si>
    <t>Uncontrolled Loading Emissions, max. lbs/hr</t>
  </si>
  <si>
    <t>Controlled Loading Emissions, lbs/hr</t>
  </si>
  <si>
    <r>
      <t xml:space="preserve">Ethanol Loading Temperature,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</si>
  <si>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64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+ 460</t>
    </r>
  </si>
  <si>
    <t>Afterburner
Combustion</t>
  </si>
  <si>
    <t>AHU: Average Hourly Uncontrolled, lbs/hr</t>
  </si>
  <si>
    <t>PM</t>
  </si>
  <si>
    <t xml:space="preserve">  </t>
  </si>
  <si>
    <t>AHC: Average Hourly Controlled, lbs/hr</t>
  </si>
  <si>
    <t>MHU: Maximum Hourly Uncontrolled, lbs/hr</t>
  </si>
  <si>
    <t>MHC: Maximum Hourly Controlled, lbs/hr</t>
  </si>
  <si>
    <t>MDU: Maximum Daily Uncontrolled, lbs/day</t>
  </si>
  <si>
    <t>MDC: Maximum Daily Controlled, lbs/day</t>
  </si>
  <si>
    <t>AA: Average Annual, lbs/year</t>
  </si>
  <si>
    <t>30-DAY: Maximum Over 30-Days, lbs/day</t>
  </si>
  <si>
    <t>Terminal</t>
  </si>
  <si>
    <t>Trucks/day</t>
  </si>
  <si>
    <t>Mileage per truck</t>
  </si>
  <si>
    <t>Total Mileage</t>
  </si>
  <si>
    <t>Carson</t>
  </si>
  <si>
    <t>see below</t>
  </si>
  <si>
    <t>100 trucks will be loaded at the Carson Terminal and shipped to other terminals for blending.</t>
  </si>
  <si>
    <t>Mormon Island</t>
  </si>
  <si>
    <t xml:space="preserve">No trucks will transport material from the marine terminal.  </t>
  </si>
  <si>
    <t>Wilmington</t>
  </si>
  <si>
    <t>From Carson to Wilmington</t>
  </si>
  <si>
    <t>Signal Hill</t>
  </si>
  <si>
    <t>From Carson to Signal</t>
  </si>
  <si>
    <t>Van Nuys</t>
  </si>
  <si>
    <t>From Carson to Van Nuys</t>
  </si>
  <si>
    <t>Rialto</t>
  </si>
  <si>
    <t>From Carson to Rialto</t>
  </si>
  <si>
    <t>Colton</t>
  </si>
  <si>
    <t>From Carson to Colton</t>
  </si>
  <si>
    <t>Other Terminals</t>
  </si>
  <si>
    <t>These terminals will be located outside the South Coast Air Basin.</t>
  </si>
  <si>
    <t>Mileage within Basin</t>
  </si>
  <si>
    <t xml:space="preserve">Average distance from Carson to end of Basin.  </t>
  </si>
  <si>
    <t>Mileage outside of Basin</t>
  </si>
  <si>
    <t xml:space="preserve">Total Mileage Associated with </t>
  </si>
  <si>
    <t>Ethanol Transport, miles/day</t>
  </si>
  <si>
    <t>Workers Commuting</t>
  </si>
  <si>
    <t xml:space="preserve">Workers Commuting </t>
  </si>
  <si>
    <t>Carson to Wilmington</t>
  </si>
  <si>
    <t>Carson to Signal Hill</t>
  </si>
  <si>
    <t>Carson to Van Nuys</t>
  </si>
  <si>
    <t>Carson to Rialto</t>
  </si>
  <si>
    <t>Carson to Colton</t>
  </si>
  <si>
    <t>Mileage to other Terminals within Basin</t>
  </si>
  <si>
    <t>Mileage to other Terminals outside Basin</t>
  </si>
  <si>
    <t xml:space="preserve">Total Emissions for Workers Commuting </t>
  </si>
  <si>
    <t>Total Emissions for Heavy Diesel Trucks within Basin</t>
  </si>
  <si>
    <t>Total Emissions for Heavy Diesel Trucks outside Basin</t>
  </si>
  <si>
    <t>Cargo Weight (Rail Car and Freight)</t>
  </si>
  <si>
    <t>Volume of Ethanol</t>
  </si>
  <si>
    <t>gpy</t>
  </si>
  <si>
    <t>Gallons per railcar</t>
  </si>
  <si>
    <t>gal</t>
  </si>
  <si>
    <t>Number of Railcars</t>
  </si>
  <si>
    <t>cars/yr</t>
  </si>
  <si>
    <t>Rail car weight</t>
  </si>
  <si>
    <t>tons/car</t>
  </si>
  <si>
    <t>Total Rail Car Weight</t>
  </si>
  <si>
    <t>tons/yr</t>
  </si>
  <si>
    <t>Weight of Ethanol</t>
  </si>
  <si>
    <t>Gross Weight</t>
  </si>
  <si>
    <t>tons</t>
  </si>
  <si>
    <t>Fuel Consumption</t>
  </si>
  <si>
    <t>Distance within CA outside of Air Basin</t>
  </si>
  <si>
    <t>miles</t>
  </si>
  <si>
    <t>Total tons/mile</t>
  </si>
  <si>
    <t>tons-mile</t>
  </si>
  <si>
    <t>Average Fuel efficiency</t>
  </si>
  <si>
    <t>ton-mile/gal</t>
  </si>
  <si>
    <t>Total Fuel consumption</t>
  </si>
  <si>
    <t>gal/yr</t>
  </si>
  <si>
    <t>Distance within CA inside of Air Basin</t>
  </si>
  <si>
    <t>gram/gallon</t>
  </si>
  <si>
    <t>lbs/gallon</t>
  </si>
  <si>
    <t>Link</t>
  </si>
  <si>
    <t>EMISSIONS</t>
  </si>
  <si>
    <t>Within Basin (lbs/yr)</t>
  </si>
  <si>
    <t>Within Basin (tons/yr)</t>
  </si>
  <si>
    <t>Within Basin (lbs/day)</t>
  </si>
  <si>
    <t>Outside Basin (lbs/yr)</t>
  </si>
  <si>
    <t>Outside Basin (tons/day)</t>
  </si>
  <si>
    <t>Outside Basin (lbs/day)</t>
  </si>
  <si>
    <t>(1)  Emission factors are based on Emission Factors for Locomotives, U.S. EPA 420-F-97-05, December 1997.</t>
  </si>
  <si>
    <r>
      <t>EMISSION FACTORS</t>
    </r>
    <r>
      <rPr>
        <vertAlign val="superscript"/>
        <sz val="10"/>
        <rFont val="Arial"/>
        <family val="2"/>
      </rPr>
      <t>(1)</t>
    </r>
  </si>
  <si>
    <t>Yard Piping</t>
  </si>
  <si>
    <t>Blending System</t>
  </si>
  <si>
    <t>XLS:1994TerminalData</t>
  </si>
  <si>
    <t>TANK M-24</t>
  </si>
  <si>
    <t>Tank M-24 Emissions lbs/yr</t>
  </si>
  <si>
    <t>Tank M-10 Emissions lbs/yr</t>
  </si>
  <si>
    <t xml:space="preserve">  Total VOCs, lbs/yr</t>
  </si>
  <si>
    <t>Average Emissions, Tank M-24 in New Service</t>
  </si>
  <si>
    <t xml:space="preserve">  Total, lb/yr</t>
  </si>
  <si>
    <t>Potential to Emit, Tank M-24 in New Service</t>
  </si>
  <si>
    <t>Emission Changes Associated with the Proposed Project, lb/yr</t>
  </si>
  <si>
    <t>Note:  negative numbers indicate emission reductions.</t>
  </si>
  <si>
    <t xml:space="preserve">Current and Proposed Shipments </t>
  </si>
  <si>
    <t>Total Cruising Emissions lbs/yr</t>
  </si>
  <si>
    <t>at Los Angeles Marine Terminal</t>
  </si>
  <si>
    <t>No. Ships</t>
  </si>
  <si>
    <t>HC</t>
  </si>
  <si>
    <t>Ship Contents</t>
  </si>
  <si>
    <t>Current No.</t>
  </si>
  <si>
    <t>Proposed No.</t>
  </si>
  <si>
    <t>Hours at Berth</t>
  </si>
  <si>
    <t>Currently</t>
  </si>
  <si>
    <t>Motor</t>
  </si>
  <si>
    <t>Alkylate</t>
  </si>
  <si>
    <t>Steam</t>
  </si>
  <si>
    <t>Ethanol</t>
  </si>
  <si>
    <t xml:space="preserve">Total </t>
  </si>
  <si>
    <t>Proposed</t>
  </si>
  <si>
    <t>Assume 50/50 split of motor versus steam per cargo</t>
  </si>
  <si>
    <t>increase</t>
  </si>
  <si>
    <t>Propulsion Type</t>
  </si>
  <si>
    <t>Total Maneuvering Emissions lbs/yr</t>
  </si>
  <si>
    <t>Increase</t>
  </si>
  <si>
    <t>Emissions from Auxiliary Power (lbs/yr)</t>
  </si>
  <si>
    <t>Cargo</t>
  </si>
  <si>
    <t>Berth Time/ Ship, hrs</t>
  </si>
  <si>
    <t>Total Berth Time, hrs</t>
  </si>
  <si>
    <t>Emissions from Tug Boats</t>
  </si>
  <si>
    <t>No. of Ships</t>
  </si>
  <si>
    <t>No. of Tug Boats/ Ship</t>
  </si>
  <si>
    <t>Maneuvering Time, hours</t>
  </si>
  <si>
    <t>No. of Tug Boats</t>
  </si>
  <si>
    <t>Mobil Revised EIR Data</t>
  </si>
  <si>
    <t>Annual, lbs/yr</t>
  </si>
  <si>
    <t>Per Tug, lbs/hr</t>
  </si>
  <si>
    <t>Equilon Current Operations</t>
  </si>
  <si>
    <t>Equilon Proposed Project</t>
  </si>
  <si>
    <t>increase (lbs/yr)</t>
  </si>
  <si>
    <t>overall (cruising, maneuvering, auxiliary power, &amp; tug boats) (lb/yr)</t>
  </si>
  <si>
    <t>overall (cruising, maneuvering, auxiliary power, &amp; tug boats)(lb/visit)</t>
  </si>
  <si>
    <t>N:1994:Ship Emissions</t>
  </si>
  <si>
    <t>Satellite Terminals</t>
  </si>
  <si>
    <t>New Components</t>
  </si>
  <si>
    <t>per each Terminal</t>
  </si>
  <si>
    <t>*  Emissions estimate for each terminal (Wilmington, Signal Hill, Van Nuys, Rialto and Colton).</t>
  </si>
  <si>
    <t>SATELLITE TERMINAL STORAGE TANK EMISSIONS</t>
  </si>
  <si>
    <t>Potential to Emit</t>
  </si>
  <si>
    <t>New Ethanol Tank, Wilmington</t>
  </si>
  <si>
    <t>New Alkylate Tank, Signal Hill</t>
  </si>
  <si>
    <t>Ethanol Tank*, Signal Hill</t>
  </si>
  <si>
    <t>New Ethanol Tank, Van Nuys</t>
  </si>
  <si>
    <t>New Ethanol Tank, Colton</t>
  </si>
  <si>
    <t>Modified Tank, Colton</t>
  </si>
  <si>
    <t>New Ethanol Tank, Rialto</t>
  </si>
  <si>
    <t>Potential to Emit (lbs/yr)</t>
  </si>
  <si>
    <t>Tank Size (bbl)</t>
  </si>
  <si>
    <t>Contents</t>
  </si>
  <si>
    <t>lbs/yr</t>
  </si>
  <si>
    <t>Ethyl benzene</t>
  </si>
  <si>
    <t>1994:Project HRA:Terminal Risk:TerminalEmissionsRev2</t>
  </si>
  <si>
    <t>Alternative 1 Ship Emissions:</t>
  </si>
  <si>
    <t>Proposed Project Ship Emissions:</t>
  </si>
  <si>
    <t>Alternative 1 Emissions Increases over the Proposed Project (lbs/yr):</t>
  </si>
  <si>
    <t>N:1994:Alt. Ship Emissions</t>
  </si>
  <si>
    <t>Alternative 3 Terminal Construction</t>
  </si>
  <si>
    <t>Alternative 3 Fugitive Construction</t>
  </si>
  <si>
    <t>ALTERNATIVE 3</t>
  </si>
  <si>
    <t>At Lomita</t>
  </si>
  <si>
    <t>Assumes 5,280 gpm</t>
  </si>
  <si>
    <t>Operational Emission Estimates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</si>
</sst>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0.0"/>
    <numFmt numFmtId="168" formatCode="0.000E+00"/>
    <numFmt numFmtId="169" formatCode="#,##0.000"/>
    <numFmt numFmtId="170" formatCode="#,##0.0"/>
    <numFmt numFmtId="171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sz val="8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CG Times"/>
      <family val="1"/>
    </font>
    <font>
      <sz val="8"/>
      <name val="CG Times"/>
      <family val="0"/>
    </font>
    <font>
      <sz val="10"/>
      <name val="Helv"/>
      <family val="0"/>
    </font>
    <font>
      <sz val="10"/>
      <color indexed="10"/>
      <name val="CG Times"/>
      <family val="1"/>
    </font>
    <font>
      <sz val="10"/>
      <color indexed="12"/>
      <name val="CG Times"/>
      <family val="1"/>
    </font>
    <font>
      <sz val="10"/>
      <color indexed="8"/>
      <name val="CG Times"/>
      <family val="1"/>
    </font>
    <font>
      <sz val="9"/>
      <name val="Helv"/>
      <family val="0"/>
    </font>
    <font>
      <sz val="10"/>
      <name val="Tahoma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 style="thick"/>
      <bottom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 style="thick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/>
      <right style="thin"/>
      <top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 style="thin"/>
      <top style="medium"/>
      <bottom style="double"/>
    </border>
    <border>
      <left style="thin"/>
      <right style="thin"/>
      <top style="double"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/>
      <bottom/>
    </border>
    <border>
      <left/>
      <right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25" xfId="0" applyNumberFormat="1" applyBorder="1" applyAlignment="1" quotePrefix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8" fillId="34" borderId="26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/>
    </xf>
    <xf numFmtId="0" fontId="8" fillId="0" borderId="2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0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5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2" fontId="0" fillId="0" borderId="41" xfId="0" applyNumberFormat="1" applyBorder="1" applyAlignment="1">
      <alignment horizontal="center"/>
    </xf>
    <xf numFmtId="2" fontId="0" fillId="0" borderId="5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4" fillId="0" borderId="5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wrapText="1"/>
    </xf>
    <xf numFmtId="0" fontId="0" fillId="0" borderId="5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59" xfId="0" applyNumberFormat="1" applyBorder="1" applyAlignment="1">
      <alignment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32" xfId="0" applyNumberFormat="1" applyBorder="1" applyAlignment="1">
      <alignment/>
    </xf>
    <xf numFmtId="0" fontId="0" fillId="0" borderId="63" xfId="0" applyBorder="1" applyAlignment="1">
      <alignment/>
    </xf>
    <xf numFmtId="167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1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11" xfId="0" applyBorder="1" applyAlignment="1">
      <alignment/>
    </xf>
    <xf numFmtId="1" fontId="5" fillId="0" borderId="61" xfId="0" applyNumberFormat="1" applyFont="1" applyBorder="1" applyAlignment="1">
      <alignment horizontal="center" wrapText="1"/>
    </xf>
    <xf numFmtId="0" fontId="0" fillId="0" borderId="64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65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" fontId="0" fillId="0" borderId="64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70" xfId="0" applyBorder="1" applyAlignment="1">
      <alignment/>
    </xf>
    <xf numFmtId="0" fontId="5" fillId="0" borderId="64" xfId="0" applyFont="1" applyBorder="1" applyAlignment="1">
      <alignment/>
    </xf>
    <xf numFmtId="2" fontId="0" fillId="0" borderId="38" xfId="0" applyNumberForma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5" applyFont="1">
      <alignment/>
      <protection/>
    </xf>
    <xf numFmtId="0" fontId="13" fillId="0" borderId="25" xfId="0" applyFont="1" applyBorder="1" applyAlignment="1">
      <alignment/>
    </xf>
    <xf numFmtId="0" fontId="14" fillId="0" borderId="25" xfId="0" applyFont="1" applyBorder="1" applyAlignment="1">
      <alignment horizontal="center" wrapText="1"/>
    </xf>
    <xf numFmtId="0" fontId="14" fillId="0" borderId="25" xfId="55" applyFont="1" applyBorder="1" applyAlignment="1" applyProtection="1">
      <alignment horizontal="fill"/>
      <protection/>
    </xf>
    <xf numFmtId="0" fontId="14" fillId="0" borderId="25" xfId="0" applyFont="1" applyBorder="1" applyAlignment="1">
      <alignment/>
    </xf>
    <xf numFmtId="0" fontId="14" fillId="0" borderId="25" xfId="55" applyFont="1" applyBorder="1" applyProtection="1">
      <alignment/>
      <protection locked="0"/>
    </xf>
    <xf numFmtId="0" fontId="14" fillId="0" borderId="25" xfId="0" applyFont="1" applyBorder="1" applyAlignment="1">
      <alignment wrapText="1"/>
    </xf>
    <xf numFmtId="0" fontId="14" fillId="0" borderId="25" xfId="55" applyFont="1" applyBorder="1" applyAlignment="1" applyProtection="1">
      <alignment horizontal="right"/>
      <protection/>
    </xf>
    <xf numFmtId="0" fontId="14" fillId="0" borderId="25" xfId="0" applyFont="1" applyBorder="1" applyAlignment="1">
      <alignment horizontal="right"/>
    </xf>
    <xf numFmtId="0" fontId="14" fillId="0" borderId="25" xfId="55" applyFont="1" applyBorder="1" applyAlignment="1" applyProtection="1">
      <alignment horizontal="right"/>
      <protection locked="0"/>
    </xf>
    <xf numFmtId="4" fontId="14" fillId="0" borderId="25" xfId="42" applyNumberFormat="1" applyFont="1" applyFill="1" applyBorder="1" applyAlignment="1">
      <alignment horizontal="right"/>
    </xf>
    <xf numFmtId="0" fontId="14" fillId="0" borderId="25" xfId="55" applyNumberFormat="1" applyFont="1" applyBorder="1" applyProtection="1">
      <alignment/>
      <protection locked="0"/>
    </xf>
    <xf numFmtId="3" fontId="14" fillId="0" borderId="25" xfId="55" applyNumberFormat="1" applyFont="1" applyBorder="1" applyProtection="1">
      <alignment/>
      <protection locked="0"/>
    </xf>
    <xf numFmtId="2" fontId="14" fillId="0" borderId="25" xfId="0" applyNumberFormat="1" applyFont="1" applyBorder="1" applyAlignment="1">
      <alignment/>
    </xf>
    <xf numFmtId="170" fontId="14" fillId="0" borderId="25" xfId="55" applyNumberFormat="1" applyFont="1" applyBorder="1" applyProtection="1">
      <alignment/>
      <protection locked="0"/>
    </xf>
    <xf numFmtId="171" fontId="14" fillId="0" borderId="25" xfId="55" applyNumberFormat="1" applyFont="1" applyBorder="1" applyProtection="1">
      <alignment/>
      <protection locked="0"/>
    </xf>
    <xf numFmtId="0" fontId="14" fillId="0" borderId="25" xfId="55" applyFont="1" applyFill="1" applyBorder="1" applyAlignment="1" applyProtection="1">
      <alignment horizontal="right"/>
      <protection locked="0"/>
    </xf>
    <xf numFmtId="1" fontId="14" fillId="0" borderId="25" xfId="0" applyNumberFormat="1" applyFont="1" applyBorder="1" applyAlignment="1">
      <alignment/>
    </xf>
    <xf numFmtId="1" fontId="14" fillId="0" borderId="25" xfId="55" applyNumberFormat="1" applyFont="1" applyFill="1" applyBorder="1" applyProtection="1">
      <alignment/>
      <protection locked="0"/>
    </xf>
    <xf numFmtId="1" fontId="14" fillId="0" borderId="25" xfId="55" applyNumberFormat="1" applyFont="1" applyBorder="1" applyProtection="1">
      <alignment/>
      <protection locked="0"/>
    </xf>
    <xf numFmtId="1" fontId="14" fillId="0" borderId="25" xfId="55" applyNumberFormat="1" applyFont="1" applyBorder="1">
      <alignment/>
      <protection/>
    </xf>
    <xf numFmtId="2" fontId="14" fillId="0" borderId="59" xfId="0" applyNumberFormat="1" applyFont="1" applyBorder="1" applyAlignment="1">
      <alignment/>
    </xf>
    <xf numFmtId="1" fontId="14" fillId="0" borderId="59" xfId="0" applyNumberFormat="1" applyFont="1" applyBorder="1" applyAlignment="1">
      <alignment/>
    </xf>
    <xf numFmtId="2" fontId="14" fillId="0" borderId="71" xfId="0" applyNumberFormat="1" applyFont="1" applyBorder="1" applyAlignment="1">
      <alignment/>
    </xf>
    <xf numFmtId="2" fontId="14" fillId="0" borderId="72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55" applyFont="1">
      <alignment/>
      <protection/>
    </xf>
    <xf numFmtId="0" fontId="3" fillId="0" borderId="0" xfId="60" applyFont="1">
      <alignment/>
      <protection/>
    </xf>
    <xf numFmtId="14" fontId="9" fillId="0" borderId="0" xfId="0" applyNumberFormat="1" applyFont="1" applyAlignment="1">
      <alignment/>
    </xf>
    <xf numFmtId="0" fontId="16" fillId="0" borderId="0" xfId="60" applyFont="1" applyAlignment="1">
      <alignment/>
      <protection/>
    </xf>
    <xf numFmtId="0" fontId="13" fillId="0" borderId="0" xfId="60" applyFont="1" applyAlignment="1">
      <alignment horizontal="right"/>
      <protection/>
    </xf>
    <xf numFmtId="0" fontId="13" fillId="0" borderId="25" xfId="60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60" applyFont="1" applyAlignment="1">
      <alignment/>
      <protection/>
    </xf>
    <xf numFmtId="0" fontId="13" fillId="0" borderId="25" xfId="60" applyFont="1" applyBorder="1" applyAlignment="1">
      <alignment horizontal="center"/>
      <protection/>
    </xf>
    <xf numFmtId="0" fontId="13" fillId="0" borderId="25" xfId="60" applyFont="1" applyBorder="1" applyAlignment="1">
      <alignment horizontal="center" wrapText="1"/>
      <protection/>
    </xf>
    <xf numFmtId="0" fontId="13" fillId="0" borderId="0" xfId="60" applyFont="1" applyAlignment="1">
      <alignment horizontal="left"/>
      <protection/>
    </xf>
    <xf numFmtId="0" fontId="13" fillId="0" borderId="0" xfId="60" applyFont="1" applyAlignment="1">
      <alignment wrapText="1"/>
      <protection/>
    </xf>
    <xf numFmtId="9" fontId="13" fillId="0" borderId="0" xfId="60" applyNumberFormat="1" applyFont="1" applyAlignment="1">
      <alignment/>
      <protection/>
    </xf>
    <xf numFmtId="9" fontId="13" fillId="0" borderId="25" xfId="60" applyNumberFormat="1" applyFont="1" applyBorder="1" applyAlignment="1">
      <alignment horizontal="right"/>
      <protection/>
    </xf>
    <xf numFmtId="3" fontId="13" fillId="0" borderId="0" xfId="60" applyNumberFormat="1" applyFont="1" applyAlignment="1">
      <alignment/>
      <protection/>
    </xf>
    <xf numFmtId="3" fontId="13" fillId="0" borderId="25" xfId="60" applyNumberFormat="1" applyFont="1" applyBorder="1" applyAlignment="1">
      <alignment horizontal="right"/>
      <protection/>
    </xf>
    <xf numFmtId="170" fontId="13" fillId="0" borderId="0" xfId="60" applyNumberFormat="1" applyFont="1" applyAlignment="1">
      <alignment/>
      <protection/>
    </xf>
    <xf numFmtId="170" fontId="13" fillId="0" borderId="0" xfId="60" applyNumberFormat="1" applyFont="1" applyAlignment="1">
      <alignment wrapText="1"/>
      <protection/>
    </xf>
    <xf numFmtId="170" fontId="13" fillId="0" borderId="25" xfId="60" applyNumberFormat="1" applyFont="1" applyBorder="1" applyAlignment="1">
      <alignment horizontal="right"/>
      <protection/>
    </xf>
    <xf numFmtId="0" fontId="13" fillId="0" borderId="25" xfId="60" applyFont="1" applyFill="1" applyBorder="1" applyAlignment="1">
      <alignment horizontal="right"/>
      <protection/>
    </xf>
    <xf numFmtId="3" fontId="13" fillId="0" borderId="25" xfId="60" applyNumberFormat="1" applyFont="1" applyFill="1" applyBorder="1" applyAlignment="1">
      <alignment horizontal="right"/>
      <protection/>
    </xf>
    <xf numFmtId="0" fontId="17" fillId="0" borderId="0" xfId="60" applyFont="1" applyAlignment="1">
      <alignment/>
      <protection/>
    </xf>
    <xf numFmtId="0" fontId="17" fillId="0" borderId="25" xfId="60" applyFont="1" applyBorder="1" applyAlignment="1">
      <alignment horizontal="right"/>
      <protection/>
    </xf>
    <xf numFmtId="0" fontId="17" fillId="0" borderId="0" xfId="60" applyFont="1" applyAlignment="1">
      <alignment horizontal="right"/>
      <protection/>
    </xf>
    <xf numFmtId="0" fontId="18" fillId="0" borderId="0" xfId="60" applyFont="1" applyAlignment="1">
      <alignment horizontal="right"/>
      <protection/>
    </xf>
    <xf numFmtId="1" fontId="13" fillId="0" borderId="0" xfId="60" applyNumberFormat="1" applyFont="1" applyAlignment="1">
      <alignment/>
      <protection/>
    </xf>
    <xf numFmtId="170" fontId="18" fillId="0" borderId="0" xfId="60" applyNumberFormat="1" applyFont="1" applyAlignment="1">
      <alignment horizontal="right"/>
      <protection/>
    </xf>
    <xf numFmtId="3" fontId="18" fillId="0" borderId="0" xfId="60" applyNumberFormat="1" applyFont="1" applyAlignment="1">
      <alignment horizontal="right"/>
      <protection/>
    </xf>
    <xf numFmtId="2" fontId="18" fillId="0" borderId="0" xfId="60" applyNumberFormat="1" applyFont="1" applyAlignment="1">
      <alignment horizontal="right"/>
      <protection/>
    </xf>
    <xf numFmtId="2" fontId="18" fillId="0" borderId="0" xfId="42" applyNumberFormat="1" applyFont="1" applyFill="1" applyBorder="1" applyAlignment="1">
      <alignment horizontal="right"/>
    </xf>
    <xf numFmtId="9" fontId="18" fillId="0" borderId="0" xfId="60" applyNumberFormat="1" applyFont="1" applyAlignment="1">
      <alignment horizontal="right"/>
      <protection/>
    </xf>
    <xf numFmtId="3" fontId="18" fillId="0" borderId="25" xfId="60" applyNumberFormat="1" applyFont="1" applyBorder="1" applyAlignment="1">
      <alignment horizontal="right"/>
      <protection/>
    </xf>
    <xf numFmtId="0" fontId="18" fillId="0" borderId="0" xfId="60" applyFont="1" applyAlignment="1">
      <alignment/>
      <protection/>
    </xf>
    <xf numFmtId="0" fontId="13" fillId="0" borderId="0" xfId="60" applyFont="1" applyAlignment="1">
      <alignment/>
      <protection/>
    </xf>
    <xf numFmtId="0" fontId="13" fillId="0" borderId="25" xfId="60" applyFont="1" applyBorder="1" applyAlignment="1">
      <alignment horizontal="right"/>
      <protection/>
    </xf>
    <xf numFmtId="2" fontId="13" fillId="0" borderId="25" xfId="60" applyNumberFormat="1" applyFont="1" applyBorder="1" applyAlignment="1">
      <alignment horizontal="right"/>
      <protection/>
    </xf>
    <xf numFmtId="2" fontId="13" fillId="0" borderId="0" xfId="60" applyNumberFormat="1" applyFont="1" applyAlignment="1">
      <alignment horizontal="right"/>
      <protection/>
    </xf>
    <xf numFmtId="0" fontId="13" fillId="0" borderId="0" xfId="60" applyFont="1" applyAlignment="1">
      <alignment horizontal="right"/>
      <protection/>
    </xf>
    <xf numFmtId="2" fontId="13" fillId="0" borderId="0" xfId="60" applyNumberFormat="1" applyFont="1" applyAlignment="1">
      <alignment horizontal="right"/>
      <protection/>
    </xf>
    <xf numFmtId="2" fontId="13" fillId="0" borderId="0" xfId="42" applyNumberFormat="1" applyFont="1" applyFill="1" applyBorder="1" applyAlignment="1">
      <alignment horizontal="right"/>
    </xf>
    <xf numFmtId="4" fontId="13" fillId="0" borderId="0" xfId="60" applyNumberFormat="1" applyFont="1" applyAlignment="1">
      <alignment/>
      <protection/>
    </xf>
    <xf numFmtId="0" fontId="19" fillId="0" borderId="0" xfId="60" applyFont="1">
      <alignment/>
      <protection/>
    </xf>
    <xf numFmtId="0" fontId="19" fillId="0" borderId="0" xfId="60" applyFont="1" applyAlignment="1">
      <alignment horizontal="right"/>
      <protection/>
    </xf>
    <xf numFmtId="14" fontId="3" fillId="0" borderId="0" xfId="60" applyNumberFormat="1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73" xfId="0" applyFont="1" applyBorder="1" applyAlignment="1">
      <alignment/>
    </xf>
    <xf numFmtId="0" fontId="5" fillId="0" borderId="73" xfId="0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74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2" fontId="0" fillId="0" borderId="75" xfId="0" applyNumberFormat="1" applyBorder="1" applyAlignment="1">
      <alignment/>
    </xf>
    <xf numFmtId="2" fontId="0" fillId="0" borderId="63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58" xfId="0" applyBorder="1" applyAlignment="1">
      <alignment/>
    </xf>
    <xf numFmtId="11" fontId="0" fillId="0" borderId="58" xfId="0" applyNumberFormat="1" applyBorder="1" applyAlignment="1">
      <alignment/>
    </xf>
    <xf numFmtId="168" fontId="0" fillId="0" borderId="58" xfId="0" applyNumberFormat="1" applyBorder="1" applyAlignment="1">
      <alignment/>
    </xf>
    <xf numFmtId="11" fontId="0" fillId="0" borderId="25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5" xfId="0" applyNumberFormat="1" applyBorder="1" applyAlignment="1">
      <alignment/>
    </xf>
    <xf numFmtId="0" fontId="9" fillId="0" borderId="25" xfId="0" applyFont="1" applyBorder="1" applyAlignment="1">
      <alignment/>
    </xf>
    <xf numFmtId="0" fontId="0" fillId="0" borderId="76" xfId="0" applyBorder="1" applyAlignment="1">
      <alignment horizontal="left"/>
    </xf>
    <xf numFmtId="4" fontId="0" fillId="0" borderId="76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32" xfId="0" applyBorder="1" applyAlignment="1">
      <alignment horizontal="left"/>
    </xf>
    <xf numFmtId="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9" xfId="0" applyBorder="1" applyAlignment="1">
      <alignment horizontal="left"/>
    </xf>
    <xf numFmtId="4" fontId="0" fillId="0" borderId="19" xfId="0" applyNumberFormat="1" applyBorder="1" applyAlignment="1">
      <alignment/>
    </xf>
    <xf numFmtId="0" fontId="0" fillId="0" borderId="25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left" indent="1"/>
    </xf>
    <xf numFmtId="4" fontId="0" fillId="0" borderId="25" xfId="0" applyNumberFormat="1" applyBorder="1" applyAlignment="1">
      <alignment/>
    </xf>
    <xf numFmtId="0" fontId="5" fillId="0" borderId="77" xfId="0" applyFont="1" applyBorder="1" applyAlignment="1">
      <alignment/>
    </xf>
    <xf numFmtId="4" fontId="5" fillId="0" borderId="78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4" fontId="5" fillId="0" borderId="81" xfId="0" applyNumberFormat="1" applyFont="1" applyBorder="1" applyAlignment="1">
      <alignment/>
    </xf>
    <xf numFmtId="4" fontId="5" fillId="0" borderId="82" xfId="0" applyNumberFormat="1" applyFont="1" applyBorder="1" applyAlignment="1">
      <alignment/>
    </xf>
    <xf numFmtId="4" fontId="0" fillId="0" borderId="0" xfId="0" applyNumberFormat="1" applyAlignment="1">
      <alignment/>
    </xf>
    <xf numFmtId="168" fontId="0" fillId="0" borderId="75" xfId="0" applyNumberFormat="1" applyBorder="1" applyAlignment="1">
      <alignment/>
    </xf>
    <xf numFmtId="164" fontId="0" fillId="0" borderId="58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58" xfId="0" applyBorder="1" applyAlignment="1">
      <alignment wrapText="1"/>
    </xf>
    <xf numFmtId="0" fontId="0" fillId="0" borderId="25" xfId="0" applyBorder="1" applyAlignment="1">
      <alignment wrapText="1"/>
    </xf>
    <xf numFmtId="2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" fillId="0" borderId="25" xfId="0" applyFont="1" applyBorder="1" applyAlignment="1">
      <alignment horizontal="center" wrapText="1"/>
    </xf>
    <xf numFmtId="169" fontId="0" fillId="0" borderId="25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83" xfId="0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7" fillId="0" borderId="45" xfId="0" applyFont="1" applyBorder="1" applyAlignment="1">
      <alignment wrapText="1"/>
    </xf>
    <xf numFmtId="0" fontId="0" fillId="0" borderId="84" xfId="0" applyBorder="1" applyAlignment="1">
      <alignment wrapText="1"/>
    </xf>
    <xf numFmtId="0" fontId="0" fillId="0" borderId="58" xfId="0" applyBorder="1" applyAlignment="1">
      <alignment horizontal="center"/>
    </xf>
    <xf numFmtId="0" fontId="7" fillId="0" borderId="85" xfId="0" applyFont="1" applyBorder="1" applyAlignment="1">
      <alignment wrapText="1"/>
    </xf>
    <xf numFmtId="0" fontId="0" fillId="0" borderId="86" xfId="0" applyBorder="1" applyAlignment="1">
      <alignment wrapText="1"/>
    </xf>
    <xf numFmtId="0" fontId="7" fillId="0" borderId="87" xfId="0" applyFont="1" applyBorder="1" applyAlignment="1">
      <alignment/>
    </xf>
    <xf numFmtId="0" fontId="0" fillId="0" borderId="86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/>
    </xf>
    <xf numFmtId="0" fontId="7" fillId="0" borderId="90" xfId="0" applyFont="1" applyBorder="1" applyAlignment="1">
      <alignment/>
    </xf>
    <xf numFmtId="0" fontId="0" fillId="0" borderId="84" xfId="0" applyBorder="1" applyAlignment="1">
      <alignment/>
    </xf>
    <xf numFmtId="0" fontId="9" fillId="0" borderId="58" xfId="0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7" fillId="0" borderId="87" xfId="0" applyFont="1" applyBorder="1" applyAlignment="1">
      <alignment wrapText="1"/>
    </xf>
    <xf numFmtId="3" fontId="0" fillId="0" borderId="89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91" xfId="0" applyBorder="1" applyAlignment="1">
      <alignment shrinkToFi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wrapText="1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wrapText="1"/>
    </xf>
    <xf numFmtId="0" fontId="0" fillId="0" borderId="96" xfId="0" applyBorder="1" applyAlignment="1">
      <alignment horizontal="center"/>
    </xf>
    <xf numFmtId="0" fontId="7" fillId="0" borderId="39" xfId="0" applyFont="1" applyBorder="1" applyAlignment="1">
      <alignment wrapText="1"/>
    </xf>
    <xf numFmtId="165" fontId="0" fillId="0" borderId="25" xfId="0" applyNumberFormat="1" applyBorder="1" applyAlignment="1">
      <alignment/>
    </xf>
    <xf numFmtId="164" fontId="0" fillId="0" borderId="58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81" xfId="0" applyBorder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0" fontId="0" fillId="0" borderId="72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0" fillId="0" borderId="58" xfId="0" applyNumberFormat="1" applyBorder="1" applyAlignment="1">
      <alignment/>
    </xf>
    <xf numFmtId="0" fontId="0" fillId="0" borderId="25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4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2" fontId="0" fillId="0" borderId="4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43" xfId="0" applyBorder="1" applyAlignment="1">
      <alignment/>
    </xf>
    <xf numFmtId="0" fontId="0" fillId="0" borderId="47" xfId="0" applyBorder="1" applyAlignment="1">
      <alignment wrapText="1"/>
    </xf>
    <xf numFmtId="0" fontId="0" fillId="0" borderId="52" xfId="0" applyBorder="1" applyAlignment="1">
      <alignment/>
    </xf>
    <xf numFmtId="0" fontId="0" fillId="0" borderId="49" xfId="0" applyBorder="1" applyAlignment="1">
      <alignment wrapText="1"/>
    </xf>
    <xf numFmtId="0" fontId="0" fillId="0" borderId="57" xfId="0" applyBorder="1" applyAlignment="1">
      <alignment/>
    </xf>
    <xf numFmtId="0" fontId="0" fillId="0" borderId="42" xfId="0" applyBorder="1" applyAlignment="1">
      <alignment wrapText="1"/>
    </xf>
    <xf numFmtId="0" fontId="0" fillId="0" borderId="54" xfId="0" applyBorder="1" applyAlignment="1">
      <alignment/>
    </xf>
    <xf numFmtId="0" fontId="0" fillId="0" borderId="48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2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49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11" fillId="0" borderId="0" xfId="0" applyFont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0" fillId="0" borderId="50" xfId="0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8" xfId="0" applyBorder="1" applyAlignment="1">
      <alignment/>
    </xf>
    <xf numFmtId="0" fontId="5" fillId="0" borderId="0" xfId="0" applyFont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T_FLOT.XLS" xfId="55"/>
    <cellStyle name="Note" xfId="56"/>
    <cellStyle name="Output" xfId="57"/>
    <cellStyle name="Percent" xfId="58"/>
    <cellStyle name="Title" xfId="59"/>
    <cellStyle name="TnkCalx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1994\1995%20ATIR%20Info\Tankcalcs.re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1994\1995%20ATIR%20Info\Tankcal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ALCS_ab2588_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1994\Ship%20Emissio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1994\Alt.Ship%20Emi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SUMMARY"/>
      <sheetName val="speciatn"/>
      <sheetName val="fix_tks"/>
      <sheetName val="ext_tks"/>
      <sheetName val="THRUPUTS"/>
      <sheetName val="prod_info"/>
    </sheetNames>
    <sheetDataSet>
      <sheetData sheetId="2">
        <row r="2">
          <cell r="D2" t="str">
            <v>CPN</v>
          </cell>
          <cell r="E2" t="str">
            <v>BNZ</v>
          </cell>
          <cell r="F2" t="str">
            <v>CHX</v>
          </cell>
          <cell r="G2" t="str">
            <v>TOL</v>
          </cell>
          <cell r="H2" t="str">
            <v>ETB</v>
          </cell>
          <cell r="I2" t="str">
            <v>MXY</v>
          </cell>
          <cell r="J2" t="str">
            <v>OXY</v>
          </cell>
          <cell r="K2" t="str">
            <v>PXY</v>
          </cell>
          <cell r="L2" t="str">
            <v>CUM</v>
          </cell>
          <cell r="M2" t="str">
            <v>135TMB</v>
          </cell>
          <cell r="N2" t="str">
            <v>124TMB</v>
          </cell>
          <cell r="O2" t="str">
            <v>123TMB</v>
          </cell>
          <cell r="P2" t="str">
            <v>NAPH</v>
          </cell>
          <cell r="Q2" t="str">
            <v>CRY</v>
          </cell>
          <cell r="R2" t="str">
            <v>SUA</v>
          </cell>
          <cell r="S2" t="str">
            <v>SOH</v>
          </cell>
          <cell r="T2" t="str">
            <v>CRE</v>
          </cell>
          <cell r="U2" t="str">
            <v>H2S</v>
          </cell>
          <cell r="V2" t="str">
            <v>DMS</v>
          </cell>
          <cell r="W2" t="str">
            <v>MDS</v>
          </cell>
          <cell r="X2" t="str">
            <v>MMC</v>
          </cell>
          <cell r="Y2" t="str">
            <v>BTD</v>
          </cell>
          <cell r="Z2" t="str">
            <v>TCA</v>
          </cell>
          <cell r="AA2" t="str">
            <v>ETH</v>
          </cell>
          <cell r="AB2" t="str">
            <v>PROP</v>
          </cell>
          <cell r="AC2" t="str">
            <v>NH3</v>
          </cell>
          <cell r="AD2" t="str">
            <v>DEA</v>
          </cell>
          <cell r="AE2" t="str">
            <v>DBE</v>
          </cell>
          <cell r="AF2" t="str">
            <v>DCE</v>
          </cell>
          <cell r="AG2" t="str">
            <v>METH</v>
          </cell>
          <cell r="AH2" t="str">
            <v>MTBE</v>
          </cell>
        </row>
        <row r="3"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  <cell r="O3">
            <v>13</v>
          </cell>
          <cell r="P3">
            <v>14</v>
          </cell>
          <cell r="Q3">
            <v>15</v>
          </cell>
          <cell r="R3">
            <v>16</v>
          </cell>
          <cell r="S3">
            <v>17</v>
          </cell>
          <cell r="T3">
            <v>18</v>
          </cell>
          <cell r="U3">
            <v>19</v>
          </cell>
          <cell r="V3">
            <v>20</v>
          </cell>
          <cell r="W3">
            <v>21</v>
          </cell>
          <cell r="X3">
            <v>22</v>
          </cell>
          <cell r="Y3">
            <v>23</v>
          </cell>
          <cell r="Z3">
            <v>24</v>
          </cell>
          <cell r="AA3">
            <v>25</v>
          </cell>
          <cell r="AB3">
            <v>26</v>
          </cell>
          <cell r="AC3">
            <v>27</v>
          </cell>
          <cell r="AD3">
            <v>28</v>
          </cell>
          <cell r="AE3">
            <v>29</v>
          </cell>
          <cell r="AF3">
            <v>30</v>
          </cell>
          <cell r="AG3">
            <v>31</v>
          </cell>
          <cell r="AH3">
            <v>32</v>
          </cell>
        </row>
        <row r="4">
          <cell r="D4">
            <v>5.802631578947368</v>
          </cell>
          <cell r="E4">
            <v>1.8404800416207423</v>
          </cell>
          <cell r="F4">
            <v>1.5946948488241883</v>
          </cell>
          <cell r="G4">
            <v>0.5498694125878639</v>
          </cell>
          <cell r="H4">
            <v>0.18385947829590743</v>
          </cell>
          <cell r="I4">
            <v>0.19</v>
          </cell>
          <cell r="J4">
            <v>0.19</v>
          </cell>
          <cell r="K4">
            <v>0.19</v>
          </cell>
          <cell r="L4">
            <v>0.06</v>
          </cell>
          <cell r="M4">
            <v>0.04932236842105263</v>
          </cell>
          <cell r="N4">
            <v>0.04932236842105263</v>
          </cell>
          <cell r="O4">
            <v>0.04932236842105263</v>
          </cell>
          <cell r="P4">
            <v>0.0045</v>
          </cell>
          <cell r="Q4">
            <v>0.0001</v>
          </cell>
          <cell r="T4">
            <v>1</v>
          </cell>
          <cell r="U4">
            <v>220.5</v>
          </cell>
          <cell r="Y4">
            <v>32.34</v>
          </cell>
          <cell r="Z4">
            <v>2.03</v>
          </cell>
          <cell r="AA4">
            <v>588</v>
          </cell>
          <cell r="AB4">
            <v>146.96</v>
          </cell>
          <cell r="AC4">
            <v>117.52</v>
          </cell>
          <cell r="AD4">
            <v>3.8684210526315788</v>
          </cell>
          <cell r="AE4">
            <v>0.21</v>
          </cell>
          <cell r="AF4">
            <v>1.28</v>
          </cell>
          <cell r="AG4">
            <v>1.9342105263157894</v>
          </cell>
          <cell r="AH4">
            <v>4</v>
          </cell>
        </row>
        <row r="5">
          <cell r="D5">
            <v>70</v>
          </cell>
          <cell r="E5">
            <v>78.11</v>
          </cell>
          <cell r="F5">
            <v>84.16</v>
          </cell>
          <cell r="G5">
            <v>92.13</v>
          </cell>
          <cell r="H5">
            <v>106.16</v>
          </cell>
          <cell r="I5">
            <v>106.18</v>
          </cell>
          <cell r="J5">
            <v>106.18</v>
          </cell>
          <cell r="K5">
            <v>106.18</v>
          </cell>
          <cell r="L5">
            <v>120.2</v>
          </cell>
          <cell r="M5">
            <v>120.2</v>
          </cell>
          <cell r="N5">
            <v>120.2</v>
          </cell>
          <cell r="O5">
            <v>120.2</v>
          </cell>
          <cell r="P5">
            <v>128.16</v>
          </cell>
          <cell r="Q5">
            <v>228</v>
          </cell>
          <cell r="R5">
            <v>98</v>
          </cell>
          <cell r="U5">
            <v>34</v>
          </cell>
          <cell r="Y5">
            <v>54.09</v>
          </cell>
          <cell r="Z5">
            <v>133.42</v>
          </cell>
          <cell r="AA5">
            <v>28</v>
          </cell>
          <cell r="AB5">
            <v>42</v>
          </cell>
          <cell r="AC5">
            <v>17</v>
          </cell>
          <cell r="AD5">
            <v>73</v>
          </cell>
          <cell r="AE5">
            <v>187.8</v>
          </cell>
          <cell r="AF5">
            <v>99</v>
          </cell>
          <cell r="AG5">
            <v>32</v>
          </cell>
          <cell r="AH5">
            <v>88</v>
          </cell>
        </row>
        <row r="8">
          <cell r="C8" t="str">
            <v>AVGAS</v>
          </cell>
          <cell r="D8">
            <v>0</v>
          </cell>
          <cell r="E8">
            <v>2.8985507246376814E-05</v>
          </cell>
          <cell r="F8">
            <v>0</v>
          </cell>
          <cell r="G8">
            <v>0.008623188405797101</v>
          </cell>
          <cell r="H8">
            <v>0.0006231884057971014</v>
          </cell>
          <cell r="I8">
            <v>0.0008768115942028985</v>
          </cell>
          <cell r="J8">
            <v>0.0008550724637681159</v>
          </cell>
          <cell r="K8">
            <v>0.0008768115942028985</v>
          </cell>
          <cell r="L8">
            <v>0</v>
          </cell>
          <cell r="M8">
            <v>4.3478260869565214E-05</v>
          </cell>
          <cell r="N8">
            <v>0.00010144927536231885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E8">
            <v>0.0017681400000000003</v>
          </cell>
          <cell r="AF8">
            <v>0.0018621900000000001</v>
          </cell>
          <cell r="AI8">
            <v>5</v>
          </cell>
          <cell r="AJ8">
            <v>80</v>
          </cell>
          <cell r="AK8">
            <v>94.81481481481481</v>
          </cell>
          <cell r="AL8">
            <v>0.23703703703703705</v>
          </cell>
        </row>
        <row r="9">
          <cell r="C9" t="str">
            <v>LR</v>
          </cell>
          <cell r="D9">
            <v>0.0035431429762401</v>
          </cell>
          <cell r="E9">
            <v>0.023482006391552034</v>
          </cell>
          <cell r="F9">
            <v>0.0027789356676392943</v>
          </cell>
          <cell r="G9">
            <v>0.07398916215089621</v>
          </cell>
          <cell r="H9">
            <v>0.019591496456857024</v>
          </cell>
          <cell r="I9">
            <v>0.03167986661108796</v>
          </cell>
          <cell r="J9">
            <v>0.026886202584410174</v>
          </cell>
          <cell r="K9">
            <v>0.03167986661108796</v>
          </cell>
          <cell r="L9">
            <v>0.0008336807002917883</v>
          </cell>
          <cell r="M9">
            <v>0.0055578713352785886</v>
          </cell>
          <cell r="N9">
            <v>0.018549395581492288</v>
          </cell>
          <cell r="O9">
            <v>0.005418924551896623</v>
          </cell>
          <cell r="P9">
            <v>0.001945254967347506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I9">
            <v>6</v>
          </cell>
          <cell r="AJ9">
            <v>68</v>
          </cell>
          <cell r="AK9">
            <v>73.23076923076923</v>
          </cell>
          <cell r="AL9">
            <v>0.17948717948717946</v>
          </cell>
        </row>
        <row r="10">
          <cell r="C10" t="str">
            <v>ULR RFG</v>
          </cell>
          <cell r="D10">
            <v>0.006427090532135453</v>
          </cell>
          <cell r="E10">
            <v>0.01</v>
          </cell>
          <cell r="F10">
            <v>0.0015618521078092603</v>
          </cell>
          <cell r="G10">
            <v>0.07509329647546648</v>
          </cell>
          <cell r="H10">
            <v>0.01969592259847961</v>
          </cell>
          <cell r="I10">
            <v>0.0307394609536973</v>
          </cell>
          <cell r="J10">
            <v>0.025846579129232893</v>
          </cell>
          <cell r="K10">
            <v>0.0307394609536973</v>
          </cell>
          <cell r="L10">
            <v>0.0017277125086385624</v>
          </cell>
          <cell r="M10">
            <v>0.008610919143054596</v>
          </cell>
          <cell r="N10">
            <v>0.028099516240497578</v>
          </cell>
          <cell r="O10">
            <v>0.005777470628887353</v>
          </cell>
          <cell r="P10">
            <v>0.0025017277125086385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H10">
            <v>0.0934</v>
          </cell>
          <cell r="AI10">
            <v>5</v>
          </cell>
          <cell r="AJ10">
            <v>68</v>
          </cell>
          <cell r="AK10">
            <v>73.23076923076923</v>
          </cell>
          <cell r="AL10">
            <v>0.2153846153846154</v>
          </cell>
        </row>
        <row r="11">
          <cell r="C11" t="str">
            <v>ULR</v>
          </cell>
          <cell r="D11">
            <v>0.006427090532135453</v>
          </cell>
          <cell r="E11">
            <v>0.014416033172080164</v>
          </cell>
          <cell r="F11">
            <v>0.0015618521078092603</v>
          </cell>
          <cell r="G11">
            <v>0.07509329647546648</v>
          </cell>
          <cell r="H11">
            <v>0.01969592259847961</v>
          </cell>
          <cell r="I11">
            <v>0.0307394609536973</v>
          </cell>
          <cell r="J11">
            <v>0.025846579129232893</v>
          </cell>
          <cell r="K11">
            <v>0.0307394609536973</v>
          </cell>
          <cell r="L11">
            <v>0.0017277125086385624</v>
          </cell>
          <cell r="M11">
            <v>0.008610919143054596</v>
          </cell>
          <cell r="N11">
            <v>0.028099516240497578</v>
          </cell>
          <cell r="O11">
            <v>0.005777470628887353</v>
          </cell>
          <cell r="P11">
            <v>0.0025017277125086385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H11">
            <v>0.02</v>
          </cell>
          <cell r="AI11">
            <v>5</v>
          </cell>
          <cell r="AJ11">
            <v>68</v>
          </cell>
          <cell r="AK11">
            <v>73.23076923076923</v>
          </cell>
          <cell r="AL11">
            <v>0.2153846153846154</v>
          </cell>
        </row>
        <row r="12">
          <cell r="C12" t="str">
            <v>ULP</v>
          </cell>
          <cell r="D12">
            <v>0.0018737270875763745</v>
          </cell>
          <cell r="E12">
            <v>0.010522742701968771</v>
          </cell>
          <cell r="F12">
            <v>0.003231500339443313</v>
          </cell>
          <cell r="G12">
            <v>0.07687712152070604</v>
          </cell>
          <cell r="H12">
            <v>0.020054310930074676</v>
          </cell>
          <cell r="I12">
            <v>0.03169042769857434</v>
          </cell>
          <cell r="J12">
            <v>0.026951799049558724</v>
          </cell>
          <cell r="K12">
            <v>0.03169042769857434</v>
          </cell>
          <cell r="L12">
            <v>0.0018058384249830279</v>
          </cell>
          <cell r="M12">
            <v>0.009599456890699253</v>
          </cell>
          <cell r="N12">
            <v>0.03458248472505091</v>
          </cell>
          <cell r="O12">
            <v>0.005974202308214528</v>
          </cell>
          <cell r="P12">
            <v>0.002389680923285811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H12">
            <v>0.026989</v>
          </cell>
          <cell r="AI12">
            <v>5.7</v>
          </cell>
          <cell r="AJ12">
            <v>68</v>
          </cell>
          <cell r="AK12">
            <v>73.23076923076923</v>
          </cell>
          <cell r="AL12">
            <v>0.18893387314439944</v>
          </cell>
        </row>
        <row r="13">
          <cell r="C13" t="str">
            <v>MTBE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H13">
            <v>1</v>
          </cell>
          <cell r="AI13">
            <v>4</v>
          </cell>
          <cell r="AJ13">
            <v>88</v>
          </cell>
          <cell r="AK13">
            <v>88</v>
          </cell>
          <cell r="AL13">
            <v>0.25</v>
          </cell>
        </row>
        <row r="14">
          <cell r="C14" t="str">
            <v>AVJET A</v>
          </cell>
          <cell r="D14">
            <v>0</v>
          </cell>
          <cell r="E14">
            <v>0</v>
          </cell>
          <cell r="F14">
            <v>0</v>
          </cell>
          <cell r="G14">
            <v>0.00028989160574741617</v>
          </cell>
          <cell r="H14">
            <v>0.0008570708343836653</v>
          </cell>
          <cell r="I14">
            <v>0.0013297201915805394</v>
          </cell>
          <cell r="J14">
            <v>0.001739349634484497</v>
          </cell>
          <cell r="K14">
            <v>0.0013297201915805394</v>
          </cell>
          <cell r="L14">
            <v>0.00046634736576758255</v>
          </cell>
          <cell r="M14">
            <v>0.002470380640282329</v>
          </cell>
          <cell r="N14">
            <v>0.009314343332493067</v>
          </cell>
          <cell r="O14">
            <v>0.0033400554575245774</v>
          </cell>
          <cell r="P14">
            <v>0.0008948827829594151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I14">
            <v>0.022</v>
          </cell>
          <cell r="AJ14">
            <v>130</v>
          </cell>
          <cell r="AK14">
            <v>151.31147540983605</v>
          </cell>
          <cell r="AL14">
            <v>52.90611028315947</v>
          </cell>
        </row>
        <row r="15">
          <cell r="C15" t="str">
            <v>AVJET</v>
          </cell>
          <cell r="D15">
            <v>2.485089463220676E-05</v>
          </cell>
          <cell r="E15">
            <v>2.485089463220676E-05</v>
          </cell>
          <cell r="F15">
            <v>6.21272365805169E-05</v>
          </cell>
          <cell r="G15">
            <v>0.0016153081510934394</v>
          </cell>
          <cell r="H15">
            <v>0.00032306163021868787</v>
          </cell>
          <cell r="I15">
            <v>0.0005964214711729623</v>
          </cell>
          <cell r="J15">
            <v>0.0006336978131212724</v>
          </cell>
          <cell r="K15">
            <v>0.0005964214711729623</v>
          </cell>
          <cell r="L15">
            <v>0.00029821073558648114</v>
          </cell>
          <cell r="M15">
            <v>0.0003727634194831014</v>
          </cell>
          <cell r="N15">
            <v>0.002360834990059642</v>
          </cell>
          <cell r="O15">
            <v>0.0021123260437375746</v>
          </cell>
          <cell r="P15">
            <v>0.0006461232604373757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I15">
            <v>0.022</v>
          </cell>
          <cell r="AJ15">
            <v>130</v>
          </cell>
          <cell r="AK15">
            <v>151.31147540983605</v>
          </cell>
          <cell r="AL15">
            <v>52.90611028315947</v>
          </cell>
        </row>
        <row r="16">
          <cell r="C16" t="str">
            <v>KEROSENE</v>
          </cell>
          <cell r="D16">
            <v>0</v>
          </cell>
          <cell r="E16">
            <v>2.4866343404202412E-05</v>
          </cell>
          <cell r="F16">
            <v>0</v>
          </cell>
          <cell r="G16">
            <v>0.00027352977744622654</v>
          </cell>
          <cell r="H16">
            <v>0.00031082929255253015</v>
          </cell>
          <cell r="I16">
            <v>0.00041651125202039045</v>
          </cell>
          <cell r="J16">
            <v>0.0005346263831903518</v>
          </cell>
          <cell r="K16">
            <v>0.00041651125202039045</v>
          </cell>
          <cell r="L16">
            <v>0.00028596294914832776</v>
          </cell>
          <cell r="M16">
            <v>0.0005719258982966555</v>
          </cell>
          <cell r="N16">
            <v>0.0026109660574412533</v>
          </cell>
          <cell r="O16">
            <v>0.0012184508268059183</v>
          </cell>
          <cell r="P16">
            <v>0.0001989307472336193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I16">
            <v>0.1</v>
          </cell>
          <cell r="AJ16">
            <v>130</v>
          </cell>
          <cell r="AK16">
            <v>151.31147540983605</v>
          </cell>
          <cell r="AL16">
            <v>11.639344262295081</v>
          </cell>
        </row>
        <row r="17">
          <cell r="C17" t="str">
            <v>FUEL OIL 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I17">
            <v>0.0019</v>
          </cell>
          <cell r="AJ17">
            <v>130</v>
          </cell>
          <cell r="AK17">
            <v>151.31147540983605</v>
          </cell>
          <cell r="AL17">
            <v>612.5970664365832</v>
          </cell>
        </row>
        <row r="18">
          <cell r="C18" t="str">
            <v>DIESEL</v>
          </cell>
          <cell r="D18">
            <v>0</v>
          </cell>
          <cell r="E18">
            <v>3.5756853396901067E-05</v>
          </cell>
          <cell r="F18">
            <v>8.343265792610251E-05</v>
          </cell>
          <cell r="G18">
            <v>0.00026221692491060786</v>
          </cell>
          <cell r="H18">
            <v>0.00025029797377830747</v>
          </cell>
          <cell r="I18">
            <v>0.00041120381406436227</v>
          </cell>
          <cell r="J18">
            <v>0.0004410011918951132</v>
          </cell>
          <cell r="K18">
            <v>0.00041120381406436227</v>
          </cell>
          <cell r="L18">
            <v>0.00010727056019070321</v>
          </cell>
          <cell r="M18">
            <v>0.0006555423122765197</v>
          </cell>
          <cell r="N18">
            <v>0.001871275327771156</v>
          </cell>
          <cell r="O18">
            <v>0.0010965435041716328</v>
          </cell>
          <cell r="P18">
            <v>0.0012872467222884386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I18">
            <v>0.029</v>
          </cell>
          <cell r="AJ18">
            <v>130</v>
          </cell>
          <cell r="AK18">
            <v>151.31147540983605</v>
          </cell>
          <cell r="AL18">
            <v>40.13566986998303</v>
          </cell>
        </row>
        <row r="19">
          <cell r="C19" t="str">
            <v>FUEL OIL 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I19">
            <v>0.0019</v>
          </cell>
          <cell r="AJ19">
            <v>130</v>
          </cell>
          <cell r="AK19">
            <v>151.31147540983605</v>
          </cell>
          <cell r="AL19">
            <v>612.5970664365832</v>
          </cell>
        </row>
        <row r="20">
          <cell r="C20" t="str">
            <v>SLOP 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I20">
            <v>1.1</v>
          </cell>
          <cell r="AJ20">
            <v>80</v>
          </cell>
          <cell r="AK20">
            <v>80</v>
          </cell>
          <cell r="AL20">
            <v>0.9090909090909091</v>
          </cell>
        </row>
        <row r="21">
          <cell r="C21" t="str">
            <v>BUNKER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7.599999999999999E-05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I21">
            <v>0.0019</v>
          </cell>
          <cell r="AJ21">
            <v>190</v>
          </cell>
          <cell r="AK21">
            <v>234.53125</v>
          </cell>
          <cell r="AL21">
            <v>649.6710526315788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0.00014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I22">
            <v>0.0019</v>
          </cell>
          <cell r="AJ22">
            <v>190</v>
          </cell>
          <cell r="AK22">
            <v>234.53125</v>
          </cell>
          <cell r="AL22">
            <v>649.6710526315788</v>
          </cell>
        </row>
        <row r="23">
          <cell r="C23" t="str">
            <v>FC HCGO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0.000495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I23">
            <v>0.0019</v>
          </cell>
          <cell r="AJ23">
            <v>190</v>
          </cell>
          <cell r="AK23">
            <v>234.53125</v>
          </cell>
          <cell r="AL23">
            <v>649.6710526315788</v>
          </cell>
        </row>
        <row r="24">
          <cell r="C24" t="str">
            <v>NONENE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C25" t="str">
            <v>AROM SOLV</v>
          </cell>
          <cell r="D25">
            <v>0</v>
          </cell>
          <cell r="E25">
            <v>0</v>
          </cell>
          <cell r="F25">
            <v>0</v>
          </cell>
          <cell r="G25">
            <v>0.0006187080536912751</v>
          </cell>
          <cell r="H25">
            <v>0.0007969798657718121</v>
          </cell>
          <cell r="I25">
            <v>0.0018613674496644294</v>
          </cell>
          <cell r="J25">
            <v>0.0019609899328859063</v>
          </cell>
          <cell r="K25">
            <v>0.0018613674496644294</v>
          </cell>
          <cell r="L25">
            <v>0.00016778523489932885</v>
          </cell>
          <cell r="M25">
            <v>0.0036807885906040266</v>
          </cell>
          <cell r="N25">
            <v>0.013443791946308726</v>
          </cell>
          <cell r="O25">
            <v>0.00014681208053691277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I25">
            <v>0.77</v>
          </cell>
          <cell r="AJ25">
            <v>80</v>
          </cell>
          <cell r="AK25">
            <v>80</v>
          </cell>
          <cell r="AL25">
            <v>1.2987012987012987</v>
          </cell>
        </row>
        <row r="26">
          <cell r="C26" t="str">
            <v>AROM A150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0.000827092880295071</v>
          </cell>
          <cell r="O26">
            <v>0.005364926791103163</v>
          </cell>
          <cell r="P26">
            <v>0.009835699117022466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I26">
            <v>0.8</v>
          </cell>
          <cell r="AL26">
            <v>1</v>
          </cell>
        </row>
        <row r="27">
          <cell r="C27" t="str">
            <v>AROM 1400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5.147740142077628E-05</v>
          </cell>
          <cell r="N27">
            <v>0.00048388757335529695</v>
          </cell>
          <cell r="O27">
            <v>0.00041181921136621024</v>
          </cell>
          <cell r="P27">
            <v>0.07965613095850921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I27">
            <v>0.8</v>
          </cell>
          <cell r="AL27">
            <v>1</v>
          </cell>
        </row>
        <row r="28">
          <cell r="C28" t="str">
            <v>HEPTENE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L28">
            <v>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L29" t="e">
            <v>#DIV/0!</v>
          </cell>
        </row>
        <row r="30">
          <cell r="D30">
            <v>0.002265967993202096</v>
          </cell>
          <cell r="E30">
            <v>0.0008639002974082991</v>
          </cell>
          <cell r="F30">
            <v>0.003965443988103667</v>
          </cell>
          <cell r="G30">
            <v>0.01586177595241467</v>
          </cell>
          <cell r="H30">
            <v>0.018835858943492424</v>
          </cell>
          <cell r="I30">
            <v>0.008922248973233252</v>
          </cell>
          <cell r="J30">
            <v>0.006656280980031157</v>
          </cell>
          <cell r="K30">
            <v>0.008922248973233252</v>
          </cell>
          <cell r="L30">
            <v>0.001557852995326441</v>
          </cell>
          <cell r="M30">
            <v>0.0007506018977481943</v>
          </cell>
          <cell r="N30">
            <v>0.000849737997450786</v>
          </cell>
          <cell r="O30">
            <v>0.0003682197988953406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L30" t="e">
            <v>#DIV/0!</v>
          </cell>
        </row>
        <row r="31">
          <cell r="D31">
            <v>0</v>
          </cell>
          <cell r="E31">
            <v>8.911332244170502E-05</v>
          </cell>
          <cell r="F31">
            <v>0.008614287836031485</v>
          </cell>
          <cell r="G31">
            <v>8.911332244170502E-05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2.9704440813901676E-05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L31" t="e">
            <v>#DIV/0!</v>
          </cell>
        </row>
        <row r="32">
          <cell r="D32">
            <v>0.0002589555459646094</v>
          </cell>
          <cell r="E32">
            <v>0</v>
          </cell>
          <cell r="F32">
            <v>0.051503380808516755</v>
          </cell>
          <cell r="G32">
            <v>0.01668824629549705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L32" t="e">
            <v>#DIV/0!</v>
          </cell>
        </row>
        <row r="33">
          <cell r="D33">
            <v>0</v>
          </cell>
          <cell r="E33">
            <v>5.411255411255411E-05</v>
          </cell>
          <cell r="F33">
            <v>0.004193722943722944</v>
          </cell>
          <cell r="G33">
            <v>0.10849567099567099</v>
          </cell>
          <cell r="H33">
            <v>0.0010416666666666667</v>
          </cell>
          <cell r="I33">
            <v>0.00027056277056277056</v>
          </cell>
          <cell r="J33">
            <v>1.3528138528138528E-05</v>
          </cell>
          <cell r="K33">
            <v>0.00027056277056277056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L33" t="e">
            <v>#DIV/0!</v>
          </cell>
        </row>
        <row r="34">
          <cell r="D34">
            <v>8.638065073423552E-05</v>
          </cell>
          <cell r="E34">
            <v>0.0003455226029369421</v>
          </cell>
          <cell r="F34">
            <v>0.005182839044054132</v>
          </cell>
          <cell r="G34">
            <v>0.041174776849985606</v>
          </cell>
          <cell r="H34">
            <v>0.005038871292830406</v>
          </cell>
          <cell r="I34">
            <v>0.0017276130146847105</v>
          </cell>
          <cell r="J34">
            <v>0.0008926000575871005</v>
          </cell>
          <cell r="K34">
            <v>0.0017276130146847105</v>
          </cell>
          <cell r="L34">
            <v>1.4396775122372589E-05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L34" t="e">
            <v>#DIV/0!</v>
          </cell>
        </row>
        <row r="35">
          <cell r="D35">
            <v>0</v>
          </cell>
          <cell r="E35">
            <v>0</v>
          </cell>
          <cell r="F35">
            <v>0.00020240183510997166</v>
          </cell>
          <cell r="G35">
            <v>0.00022938874645796789</v>
          </cell>
          <cell r="H35">
            <v>0.0007691269734178922</v>
          </cell>
          <cell r="I35">
            <v>0.0007421400620698961</v>
          </cell>
          <cell r="J35">
            <v>0.0004317905815679395</v>
          </cell>
          <cell r="K35">
            <v>0.0007421400620698961</v>
          </cell>
          <cell r="L35">
            <v>2.698691134799622E-05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L35" t="e">
            <v>#DIV/0!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0.0002192134107027724</v>
          </cell>
          <cell r="I36">
            <v>0.0002572533849129594</v>
          </cell>
          <cell r="J36">
            <v>0.0007092198581560284</v>
          </cell>
          <cell r="K36">
            <v>0.0002572533849129594</v>
          </cell>
          <cell r="L36">
            <v>0.0014184397163120568</v>
          </cell>
          <cell r="M36">
            <v>0.0026563507414571245</v>
          </cell>
          <cell r="N36">
            <v>0.008742746615087041</v>
          </cell>
          <cell r="O36">
            <v>0.0035718891038039975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L36" t="e">
            <v>#DIV/0!</v>
          </cell>
        </row>
        <row r="37">
          <cell r="D37">
            <v>0</v>
          </cell>
          <cell r="E37">
            <v>0.00010254907705830648</v>
          </cell>
          <cell r="F37">
            <v>0.03677116905947846</v>
          </cell>
          <cell r="G37">
            <v>0.009668912979783182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L37" t="e">
            <v>#DIV/0!</v>
          </cell>
        </row>
        <row r="38">
          <cell r="D38">
            <v>0.016440088523553588</v>
          </cell>
          <cell r="E38">
            <v>1.5807777426493833E-05</v>
          </cell>
          <cell r="F38">
            <v>3.161555485298767E-05</v>
          </cell>
          <cell r="G38">
            <v>3.161555485298767E-05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L38" t="e">
            <v>#DIV/0!</v>
          </cell>
        </row>
        <row r="39">
          <cell r="D39">
            <v>0</v>
          </cell>
          <cell r="E39">
            <v>7.411799584939224E-05</v>
          </cell>
          <cell r="F39">
            <v>0.015564779128372369</v>
          </cell>
          <cell r="G39">
            <v>0.0016305959086866293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L39" t="e">
            <v>#DIV/0!</v>
          </cell>
        </row>
        <row r="40">
          <cell r="D40">
            <v>0</v>
          </cell>
          <cell r="E40">
            <v>0</v>
          </cell>
          <cell r="F40">
            <v>2.5906735751295337E-05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0.0002072538860103627</v>
          </cell>
          <cell r="N40">
            <v>0.0005181347150259068</v>
          </cell>
          <cell r="O40">
            <v>0.00022020725388601037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L40" t="e">
            <v>#DIV/0!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0.0006941766293868107</v>
          </cell>
          <cell r="I41">
            <v>0.0008998585936495694</v>
          </cell>
          <cell r="J41">
            <v>0.0021853708702918116</v>
          </cell>
          <cell r="K41">
            <v>0.0008998585936495694</v>
          </cell>
          <cell r="L41">
            <v>0.0033423319192698296</v>
          </cell>
          <cell r="M41">
            <v>0.005013497878904744</v>
          </cell>
          <cell r="N41">
            <v>0.01709731327934182</v>
          </cell>
          <cell r="O41">
            <v>0.008484381025838797</v>
          </cell>
          <cell r="P41">
            <v>0.00011569610489780177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L41" t="e">
            <v>#DIV/0!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L42">
            <v>1</v>
          </cell>
        </row>
        <row r="43">
          <cell r="C43" t="str">
            <v>TOLUENE</v>
          </cell>
          <cell r="D43">
            <v>0</v>
          </cell>
          <cell r="E43">
            <v>0.0029513888888888884</v>
          </cell>
          <cell r="F43">
            <v>0</v>
          </cell>
          <cell r="G43">
            <v>0.985949074074074</v>
          </cell>
          <cell r="H43">
            <v>0.000810185185185185</v>
          </cell>
          <cell r="I43">
            <v>0.00014467592592592592</v>
          </cell>
          <cell r="J43">
            <v>0</v>
          </cell>
          <cell r="K43">
            <v>0.00014467592592592592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I43">
            <v>0.55</v>
          </cell>
          <cell r="AJ43">
            <v>92</v>
          </cell>
          <cell r="AK43">
            <v>92</v>
          </cell>
          <cell r="AL43">
            <v>1.8181818181818181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9.295840111550081E-05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0.9999070415988844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I44">
            <v>1.8</v>
          </cell>
          <cell r="AJ44">
            <v>78</v>
          </cell>
          <cell r="AK44">
            <v>78</v>
          </cell>
          <cell r="AL44">
            <v>0.5555555555555556</v>
          </cell>
        </row>
        <row r="45">
          <cell r="D45">
            <v>0</v>
          </cell>
          <cell r="E45">
            <v>0.0029513888888888884</v>
          </cell>
          <cell r="F45">
            <v>0</v>
          </cell>
          <cell r="G45">
            <v>0.9959490740740741</v>
          </cell>
          <cell r="H45">
            <v>0.000810185185185185</v>
          </cell>
          <cell r="I45">
            <v>0.00014467592592592592</v>
          </cell>
          <cell r="J45">
            <v>0</v>
          </cell>
          <cell r="K45">
            <v>0.00014467592592592592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J45">
            <v>120</v>
          </cell>
          <cell r="AK45">
            <v>120</v>
          </cell>
          <cell r="AL45">
            <v>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0.3742797879695783</v>
          </cell>
          <cell r="H46">
            <v>0.03825766305600369</v>
          </cell>
          <cell r="I46">
            <v>0.10670661442728739</v>
          </cell>
          <cell r="J46">
            <v>0.09449181839133441</v>
          </cell>
          <cell r="K46">
            <v>0.10670661442728739</v>
          </cell>
          <cell r="L46">
            <v>0.009910117538603365</v>
          </cell>
          <cell r="M46">
            <v>0.010117538603364831</v>
          </cell>
          <cell r="N46">
            <v>0.04816778059460705</v>
          </cell>
          <cell r="O46">
            <v>0.014289006683567643</v>
          </cell>
          <cell r="P46">
            <v>0.0002765614196819544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J46">
            <v>120</v>
          </cell>
          <cell r="AK46">
            <v>120</v>
          </cell>
          <cell r="AL46">
            <v>1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0.005286103542234332</v>
          </cell>
          <cell r="H47">
            <v>5.4495912806539515E-05</v>
          </cell>
          <cell r="I47">
            <v>0</v>
          </cell>
          <cell r="J47">
            <v>0</v>
          </cell>
          <cell r="K47">
            <v>0</v>
          </cell>
          <cell r="L47">
            <v>0.04599455040871935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L47">
            <v>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L48">
            <v>1</v>
          </cell>
        </row>
        <row r="49">
          <cell r="C49" t="str">
            <v>SLOP</v>
          </cell>
          <cell r="D49">
            <v>0</v>
          </cell>
          <cell r="E49">
            <v>0.005963</v>
          </cell>
          <cell r="F49">
            <v>0</v>
          </cell>
          <cell r="G49">
            <v>0.0281407</v>
          </cell>
          <cell r="H49">
            <v>0.0061444444444444446</v>
          </cell>
          <cell r="I49">
            <v>0.010161696969696966</v>
          </cell>
          <cell r="J49">
            <v>0.010161696969696966</v>
          </cell>
          <cell r="K49">
            <v>0.010161696969696966</v>
          </cell>
          <cell r="L49">
            <v>0.001315</v>
          </cell>
          <cell r="M49">
            <v>0</v>
          </cell>
          <cell r="N49">
            <v>0.006192666666666667</v>
          </cell>
          <cell r="O49">
            <v>0</v>
          </cell>
          <cell r="P49">
            <v>0.006986666666666666</v>
          </cell>
          <cell r="Q49">
            <v>1.55E-06</v>
          </cell>
          <cell r="R49">
            <v>0</v>
          </cell>
          <cell r="S49">
            <v>0</v>
          </cell>
          <cell r="T49">
            <v>0.014499999999999999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I49">
            <v>2</v>
          </cell>
          <cell r="AJ49">
            <v>80</v>
          </cell>
          <cell r="AK49">
            <v>94.81481481481481</v>
          </cell>
          <cell r="AL49">
            <v>1</v>
          </cell>
        </row>
        <row r="50">
          <cell r="C50" t="str">
            <v>ACID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0.9064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J50">
            <v>98</v>
          </cell>
          <cell r="AK50">
            <v>98</v>
          </cell>
          <cell r="AL50">
            <v>1</v>
          </cell>
        </row>
        <row r="51">
          <cell r="C51" t="str">
            <v>AMINE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0.2074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J51">
            <v>73</v>
          </cell>
          <cell r="AK51">
            <v>73</v>
          </cell>
          <cell r="AL51">
            <v>1</v>
          </cell>
        </row>
        <row r="52">
          <cell r="C52" t="str">
            <v>CAUSTIC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0.2635</v>
          </cell>
          <cell r="T52">
            <v>0.013000000000000001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J52">
            <v>1</v>
          </cell>
          <cell r="AK52">
            <v>1</v>
          </cell>
          <cell r="AL52">
            <v>1</v>
          </cell>
        </row>
        <row r="53">
          <cell r="C53" t="str">
            <v>CRUDE</v>
          </cell>
          <cell r="D53">
            <v>0.0004888268156424581</v>
          </cell>
          <cell r="E53">
            <v>0.0015246741154562385</v>
          </cell>
          <cell r="F53">
            <v>0.003328677839851024</v>
          </cell>
          <cell r="G53">
            <v>0.003992085661080075</v>
          </cell>
          <cell r="H53">
            <v>0.0014315642458100559</v>
          </cell>
          <cell r="I53">
            <v>0.0020018621973929237</v>
          </cell>
          <cell r="J53">
            <v>0.0017690875232774675</v>
          </cell>
          <cell r="K53">
            <v>0.0020018621973929237</v>
          </cell>
          <cell r="L53">
            <v>0.0002676908752327747</v>
          </cell>
          <cell r="M53">
            <v>0.0008263500931098696</v>
          </cell>
          <cell r="N53">
            <v>0.0022579143389199257</v>
          </cell>
          <cell r="O53">
            <v>0.0009194599627560523</v>
          </cell>
          <cell r="P53">
            <v>0.0008379888268156424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I53">
            <v>4</v>
          </cell>
          <cell r="AJ53">
            <v>50</v>
          </cell>
          <cell r="AK53">
            <v>78.88888888888889</v>
          </cell>
          <cell r="AL53">
            <v>0.39444444444444443</v>
          </cell>
        </row>
        <row r="54">
          <cell r="C54" t="str">
            <v>OLEFIN</v>
          </cell>
          <cell r="E54">
            <v>7.529411764705883E-08</v>
          </cell>
          <cell r="G54">
            <v>1.1529411764705883E-07</v>
          </cell>
          <cell r="I54">
            <v>4.7450980392157004E-08</v>
          </cell>
          <cell r="J54">
            <v>4.7450980392157004E-08</v>
          </cell>
          <cell r="K54">
            <v>4.7450980392157004E-08</v>
          </cell>
          <cell r="Y54">
            <v>0.02494297811766698</v>
          </cell>
          <cell r="AA54">
            <v>0.0002379105110507163</v>
          </cell>
          <cell r="AB54">
            <v>0.030831866705882352</v>
          </cell>
          <cell r="AI54" t="e">
            <v>#REF!</v>
          </cell>
          <cell r="AJ54">
            <v>58</v>
          </cell>
          <cell r="AK54">
            <v>58</v>
          </cell>
          <cell r="AL54" t="e">
            <v>#REF!</v>
          </cell>
        </row>
        <row r="55">
          <cell r="C55" t="str">
            <v>BUTANE</v>
          </cell>
          <cell r="E55">
            <v>0.014388888888888889</v>
          </cell>
          <cell r="G55">
            <v>0.024944444444444446</v>
          </cell>
          <cell r="H55">
            <v>0.0009533333333333334</v>
          </cell>
          <cell r="I55">
            <v>0.0007766666666666667</v>
          </cell>
          <cell r="J55">
            <v>0.0007766666666666667</v>
          </cell>
          <cell r="K55">
            <v>0.0007766666666666667</v>
          </cell>
          <cell r="L55">
            <v>0.00013333333333333334</v>
          </cell>
          <cell r="P55">
            <v>0.00012</v>
          </cell>
          <cell r="Y55">
            <v>0.0011046901003153732</v>
          </cell>
          <cell r="AA55">
            <v>0.0001409454109951865</v>
          </cell>
          <cell r="AB55">
            <v>0.007940283333333333</v>
          </cell>
          <cell r="AI55" t="e">
            <v>#REF!</v>
          </cell>
          <cell r="AJ55">
            <v>42</v>
          </cell>
          <cell r="AK55">
            <v>42</v>
          </cell>
          <cell r="AL55" t="e">
            <v>#REF!</v>
          </cell>
        </row>
        <row r="56">
          <cell r="C56" t="str">
            <v>LPG</v>
          </cell>
          <cell r="Y56">
            <v>0</v>
          </cell>
          <cell r="AA56">
            <v>0.018802174667308904</v>
          </cell>
          <cell r="AB56">
            <v>0.082936675</v>
          </cell>
          <cell r="AI56" t="e">
            <v>#REF!</v>
          </cell>
          <cell r="AJ56">
            <v>44</v>
          </cell>
          <cell r="AK56">
            <v>44</v>
          </cell>
          <cell r="AL56" t="e">
            <v>#REF!</v>
          </cell>
        </row>
        <row r="57">
          <cell r="C57" t="str">
            <v>FG H2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0.0019763653846153846</v>
          </cell>
          <cell r="AA57">
            <v>0.028674319854245903</v>
          </cell>
          <cell r="AB57">
            <v>0.055382850000000004</v>
          </cell>
          <cell r="AL57">
            <v>1</v>
          </cell>
        </row>
        <row r="58">
          <cell r="C58" t="str">
            <v>FG SOUR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0.070975</v>
          </cell>
          <cell r="V58">
            <v>0</v>
          </cell>
          <cell r="W58">
            <v>0</v>
          </cell>
          <cell r="X58">
            <v>0</v>
          </cell>
          <cell r="Y58">
            <v>0.002912538461538462</v>
          </cell>
          <cell r="AA58">
            <v>0.028674319854245903</v>
          </cell>
          <cell r="AB58">
            <v>0.055382850000000004</v>
          </cell>
          <cell r="AL58">
            <v>1</v>
          </cell>
        </row>
        <row r="59">
          <cell r="C59" t="str">
            <v>FG SWEET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0.000936173076923077</v>
          </cell>
          <cell r="AA59">
            <v>0.143091926281303</v>
          </cell>
          <cell r="AB59">
            <v>0.051354933333333304</v>
          </cell>
          <cell r="AL59">
            <v>1</v>
          </cell>
        </row>
        <row r="60">
          <cell r="C60" t="str">
            <v>GM SOUR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0.04053846153846154</v>
          </cell>
          <cell r="V60">
            <v>0</v>
          </cell>
          <cell r="W60">
            <v>0</v>
          </cell>
          <cell r="X60">
            <v>0</v>
          </cell>
          <cell r="Y60">
            <v>0.024964615384615387</v>
          </cell>
          <cell r="AA60">
            <v>0.028674319854245903</v>
          </cell>
          <cell r="AB60">
            <v>0.055382850000000004</v>
          </cell>
          <cell r="AL60">
            <v>1</v>
          </cell>
        </row>
        <row r="61">
          <cell r="C61" t="str">
            <v>GM SWEET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0.029988744230769235</v>
          </cell>
          <cell r="AL61">
            <v>1</v>
          </cell>
        </row>
        <row r="62">
          <cell r="C62" t="str">
            <v>GO HVY CR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0.0017929999999999999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I62">
            <v>0.00019</v>
          </cell>
          <cell r="AJ62">
            <v>190</v>
          </cell>
          <cell r="AK62">
            <v>234.53125</v>
          </cell>
          <cell r="AL62">
            <v>6496.710526315789</v>
          </cell>
        </row>
        <row r="63">
          <cell r="C63" t="str">
            <v>GO HVY HYC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I63">
            <v>0.00019</v>
          </cell>
          <cell r="AJ63">
            <v>190</v>
          </cell>
          <cell r="AK63">
            <v>234.53125</v>
          </cell>
          <cell r="AL63">
            <v>6496.710526315789</v>
          </cell>
        </row>
        <row r="64">
          <cell r="C64" t="str">
            <v>GO HSR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6.8E-05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I64">
            <v>0.00019</v>
          </cell>
          <cell r="AJ64">
            <v>190</v>
          </cell>
          <cell r="AK64">
            <v>234.53125</v>
          </cell>
          <cell r="AL64">
            <v>6496.710526315789</v>
          </cell>
        </row>
        <row r="65">
          <cell r="C65" t="str">
            <v>GO INT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0.00134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I65">
            <v>0.022</v>
          </cell>
          <cell r="AJ65">
            <v>180</v>
          </cell>
          <cell r="AK65">
            <v>222.1875</v>
          </cell>
          <cell r="AL65">
            <v>56.107954545454554</v>
          </cell>
        </row>
        <row r="66">
          <cell r="C66" t="str">
            <v>GO INT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0.00134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I66">
            <v>0.022</v>
          </cell>
          <cell r="AJ66">
            <v>180</v>
          </cell>
          <cell r="AK66">
            <v>222.1875</v>
          </cell>
          <cell r="AL66">
            <v>56.107954545454554</v>
          </cell>
        </row>
        <row r="67">
          <cell r="C67" t="str">
            <v>GO LT CHEM</v>
          </cell>
          <cell r="D67">
            <v>0</v>
          </cell>
          <cell r="E67">
            <v>2.3957834211787255E-05</v>
          </cell>
          <cell r="F67">
            <v>2.3957834211787255E-05</v>
          </cell>
          <cell r="G67">
            <v>0.0003114518447532343</v>
          </cell>
          <cell r="H67">
            <v>0.0001796837565884044</v>
          </cell>
          <cell r="I67">
            <v>0.00011379971250598946</v>
          </cell>
          <cell r="J67">
            <v>9.583133684714902E-05</v>
          </cell>
          <cell r="K67">
            <v>0.00011379971250598946</v>
          </cell>
          <cell r="L67">
            <v>0.00010781025395304264</v>
          </cell>
          <cell r="M67">
            <v>0.0001317680881648299</v>
          </cell>
          <cell r="N67">
            <v>0.0007426928605654048</v>
          </cell>
          <cell r="O67">
            <v>0.0007067561092477239</v>
          </cell>
          <cell r="P67">
            <v>0.0005390512697652132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I67">
            <v>0.022</v>
          </cell>
          <cell r="AJ67">
            <v>170</v>
          </cell>
          <cell r="AK67">
            <v>209.84375</v>
          </cell>
          <cell r="AL67">
            <v>56.107954545454554</v>
          </cell>
        </row>
        <row r="68">
          <cell r="C68" t="str">
            <v>GO LT CR KD</v>
          </cell>
          <cell r="D68">
            <v>0</v>
          </cell>
          <cell r="E68">
            <v>3.7313432835820896E-05</v>
          </cell>
          <cell r="F68">
            <v>0</v>
          </cell>
          <cell r="G68">
            <v>0.000541044776119403</v>
          </cell>
          <cell r="H68">
            <v>0.0006343283582089553</v>
          </cell>
          <cell r="I68">
            <v>0.0009888059701492538</v>
          </cell>
          <cell r="J68">
            <v>0.0009888059701492538</v>
          </cell>
          <cell r="K68">
            <v>0.0009888059701492538</v>
          </cell>
          <cell r="L68">
            <v>0.00022388059701492535</v>
          </cell>
          <cell r="M68">
            <v>0.0008208955223880597</v>
          </cell>
          <cell r="N68">
            <v>0.0032835820895522386</v>
          </cell>
          <cell r="O68">
            <v>0.0014925373134328358</v>
          </cell>
          <cell r="P68">
            <v>0.004365671641791045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I68">
            <v>0.022</v>
          </cell>
          <cell r="AJ68">
            <v>170</v>
          </cell>
          <cell r="AK68">
            <v>209.84375</v>
          </cell>
          <cell r="AL68">
            <v>56.107954545454554</v>
          </cell>
        </row>
        <row r="69">
          <cell r="C69" t="str">
            <v>GO LT HYC KD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0.00015</v>
          </cell>
          <cell r="I69">
            <v>0.00035</v>
          </cell>
          <cell r="J69">
            <v>0.0006</v>
          </cell>
          <cell r="K69">
            <v>0.00035</v>
          </cell>
          <cell r="L69">
            <v>0</v>
          </cell>
          <cell r="M69">
            <v>0.00435</v>
          </cell>
          <cell r="N69">
            <v>0.0146</v>
          </cell>
          <cell r="O69">
            <v>0.0024700000000000004</v>
          </cell>
          <cell r="P69">
            <v>0.00063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I69">
            <v>0.022</v>
          </cell>
          <cell r="AJ69">
            <v>170</v>
          </cell>
          <cell r="AK69">
            <v>209.84375</v>
          </cell>
          <cell r="AL69">
            <v>56.107954545454554</v>
          </cell>
        </row>
        <row r="70">
          <cell r="C70" t="str">
            <v>GO LT HYT KD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3E-05</v>
          </cell>
          <cell r="O70">
            <v>0</v>
          </cell>
          <cell r="P70">
            <v>3E-05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I70">
            <v>0.022</v>
          </cell>
          <cell r="AJ70">
            <v>170</v>
          </cell>
          <cell r="AK70">
            <v>209.84375</v>
          </cell>
          <cell r="AL70">
            <v>56.107954545454554</v>
          </cell>
        </row>
        <row r="71">
          <cell r="C71" t="str">
            <v>GO LSR KD</v>
          </cell>
          <cell r="D71">
            <v>0</v>
          </cell>
          <cell r="E71">
            <v>2.4670038238559267E-05</v>
          </cell>
          <cell r="F71">
            <v>0.00034538053533982976</v>
          </cell>
          <cell r="G71">
            <v>0.0008264462809917355</v>
          </cell>
          <cell r="H71">
            <v>0.0013075120266436413</v>
          </cell>
          <cell r="I71">
            <v>0.0006352534846429011</v>
          </cell>
          <cell r="J71">
            <v>0.0006537560133218207</v>
          </cell>
          <cell r="K71">
            <v>0.0006352534846429011</v>
          </cell>
          <cell r="L71">
            <v>0.0003207104971012705</v>
          </cell>
          <cell r="M71">
            <v>0.0003823855926976687</v>
          </cell>
          <cell r="N71">
            <v>0.002047613173800419</v>
          </cell>
          <cell r="O71">
            <v>0.001381522141359319</v>
          </cell>
          <cell r="P71">
            <v>0.002380658690020969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I71">
            <v>0.022</v>
          </cell>
          <cell r="AJ71">
            <v>170</v>
          </cell>
          <cell r="AK71">
            <v>209.84375</v>
          </cell>
          <cell r="AL71">
            <v>56.107954545454554</v>
          </cell>
        </row>
        <row r="72">
          <cell r="C72" t="str">
            <v>GO VAC HYT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5.8E-05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I72">
            <v>0.022</v>
          </cell>
          <cell r="AJ72">
            <v>180</v>
          </cell>
          <cell r="AK72">
            <v>222.1875</v>
          </cell>
          <cell r="AL72">
            <v>56.107954545454554</v>
          </cell>
        </row>
        <row r="73">
          <cell r="C73" t="str">
            <v>GO VSR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5.3E-05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I73">
            <v>0.022</v>
          </cell>
          <cell r="AJ73">
            <v>180</v>
          </cell>
          <cell r="AK73">
            <v>222.1875</v>
          </cell>
          <cell r="AL73">
            <v>56.107954545454554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0.00016199999999999998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C91" t="str">
            <v>BENS NAPH</v>
          </cell>
          <cell r="D91">
            <v>0.00030670926517571885</v>
          </cell>
          <cell r="E91">
            <v>0.004728434504792333</v>
          </cell>
          <cell r="F91">
            <v>0.004984025559105432</v>
          </cell>
          <cell r="G91">
            <v>0.016996805111821087</v>
          </cell>
          <cell r="H91">
            <v>0.0026837060702875402</v>
          </cell>
          <cell r="I91">
            <v>0.004728434504792333</v>
          </cell>
          <cell r="J91">
            <v>0.003706070287539936</v>
          </cell>
          <cell r="K91">
            <v>0.004728434504792333</v>
          </cell>
          <cell r="L91">
            <v>0.0009073482428115016</v>
          </cell>
          <cell r="M91">
            <v>0.0015335463258785943</v>
          </cell>
          <cell r="N91">
            <v>0.007539936102236422</v>
          </cell>
          <cell r="O91">
            <v>0.0039616613418530355</v>
          </cell>
          <cell r="P91">
            <v>0.0010095846645367414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I91">
            <v>5</v>
          </cell>
          <cell r="AJ91">
            <v>78</v>
          </cell>
          <cell r="AK91">
            <v>92.44444444444444</v>
          </cell>
          <cell r="AL91">
            <v>0.23703703703703705</v>
          </cell>
        </row>
        <row r="92">
          <cell r="C92" t="str">
            <v>NAPH FR ALK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I92">
            <v>4.4</v>
          </cell>
          <cell r="AJ92">
            <v>78</v>
          </cell>
          <cell r="AK92">
            <v>92.44444444444444</v>
          </cell>
          <cell r="AL92">
            <v>0.26936026936026936</v>
          </cell>
        </row>
        <row r="93">
          <cell r="C93" t="str">
            <v>NAPH LT ALK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I93">
            <v>6</v>
          </cell>
          <cell r="AJ93">
            <v>76</v>
          </cell>
          <cell r="AK93">
            <v>90.07407407407408</v>
          </cell>
          <cell r="AL93">
            <v>0.19753086419753085</v>
          </cell>
        </row>
        <row r="94">
          <cell r="C94" t="str">
            <v>NAPH FR CR</v>
          </cell>
          <cell r="D94">
            <v>0.0013145412657541672</v>
          </cell>
          <cell r="E94">
            <v>0.0067759859059493156</v>
          </cell>
          <cell r="F94">
            <v>0.0004336630979807562</v>
          </cell>
          <cell r="G94">
            <v>0.02988209784523648</v>
          </cell>
          <cell r="H94">
            <v>0.009825179563626506</v>
          </cell>
          <cell r="I94">
            <v>0.0178208429326467</v>
          </cell>
          <cell r="J94">
            <v>0.01314541265754167</v>
          </cell>
          <cell r="K94">
            <v>0.0178208429326467</v>
          </cell>
          <cell r="L94">
            <v>0.0007318064778425261</v>
          </cell>
          <cell r="M94">
            <v>0.006369426751592357</v>
          </cell>
          <cell r="N94">
            <v>0.02147987532185933</v>
          </cell>
          <cell r="O94">
            <v>0.004133351402629082</v>
          </cell>
          <cell r="P94">
            <v>0.003482856755657948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I94">
            <v>5</v>
          </cell>
          <cell r="AJ94">
            <v>78</v>
          </cell>
          <cell r="AK94">
            <v>92.44444444444444</v>
          </cell>
          <cell r="AL94">
            <v>0.23703703703703705</v>
          </cell>
        </row>
        <row r="95">
          <cell r="C95" t="str">
            <v>NAPH FR HYT</v>
          </cell>
          <cell r="D95">
            <v>0.00030670926517571885</v>
          </cell>
          <cell r="E95">
            <v>0.004728434504792333</v>
          </cell>
          <cell r="F95">
            <v>0.004984025559105432</v>
          </cell>
          <cell r="G95">
            <v>0.016996805111821087</v>
          </cell>
          <cell r="H95">
            <v>0.0026837060702875402</v>
          </cell>
          <cell r="I95">
            <v>0.004728434504792333</v>
          </cell>
          <cell r="J95">
            <v>0.003706070287539936</v>
          </cell>
          <cell r="K95">
            <v>0.004728434504792333</v>
          </cell>
          <cell r="L95">
            <v>0.0009073482428115016</v>
          </cell>
          <cell r="M95">
            <v>0.0015335463258785943</v>
          </cell>
          <cell r="N95">
            <v>0.007539936102236422</v>
          </cell>
          <cell r="O95">
            <v>0.0039616613418530355</v>
          </cell>
          <cell r="P95">
            <v>0.0010095846645367414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I95">
            <v>5</v>
          </cell>
          <cell r="AJ95">
            <v>78</v>
          </cell>
          <cell r="AK95">
            <v>92.44444444444444</v>
          </cell>
          <cell r="AL95">
            <v>0.23703703703703705</v>
          </cell>
        </row>
        <row r="96">
          <cell r="C96" t="str">
            <v>NAPH FR REF</v>
          </cell>
          <cell r="D96">
            <v>0.0015363304369726734</v>
          </cell>
          <cell r="E96">
            <v>0.04911220249338874</v>
          </cell>
          <cell r="F96">
            <v>0.010074297947361793</v>
          </cell>
          <cell r="G96">
            <v>0.13121773076438736</v>
          </cell>
          <cell r="H96">
            <v>0.0353859715401083</v>
          </cell>
          <cell r="I96">
            <v>0.05654199722956806</v>
          </cell>
          <cell r="J96">
            <v>0.01309658733157033</v>
          </cell>
          <cell r="K96">
            <v>0.05654199722956806</v>
          </cell>
          <cell r="L96">
            <v>0.0028711749149981105</v>
          </cell>
          <cell r="M96">
            <v>0.016370734164462913</v>
          </cell>
          <cell r="N96">
            <v>0.0578642488351593</v>
          </cell>
          <cell r="O96">
            <v>0.013474373504596397</v>
          </cell>
          <cell r="P96">
            <v>0.006737186752298199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0.031</v>
          </cell>
          <cell r="AI96">
            <v>5</v>
          </cell>
          <cell r="AJ96">
            <v>78</v>
          </cell>
          <cell r="AK96">
            <v>92.44444444444444</v>
          </cell>
          <cell r="AL96">
            <v>0.23703703703703705</v>
          </cell>
        </row>
        <row r="97">
          <cell r="C97" t="str">
            <v>NAPHT FR SR</v>
          </cell>
          <cell r="D97">
            <v>0.0022889842632331904</v>
          </cell>
          <cell r="E97">
            <v>0.005579399141630901</v>
          </cell>
          <cell r="F97">
            <v>0.01659513590844063</v>
          </cell>
          <cell r="G97">
            <v>0.017453505007153074</v>
          </cell>
          <cell r="H97">
            <v>0.006580829756795421</v>
          </cell>
          <cell r="I97">
            <v>0.011874105865522176</v>
          </cell>
          <cell r="J97">
            <v>0.011444921316165951</v>
          </cell>
          <cell r="K97">
            <v>0.011874105865522176</v>
          </cell>
          <cell r="L97">
            <v>0.00117310443490701</v>
          </cell>
          <cell r="M97">
            <v>0.0015736766809728185</v>
          </cell>
          <cell r="N97">
            <v>0.0017167381974248926</v>
          </cell>
          <cell r="O97">
            <v>7.15307582260372E-05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I97">
            <v>4.5</v>
          </cell>
          <cell r="AJ97">
            <v>78</v>
          </cell>
          <cell r="AK97">
            <v>92.44444444444444</v>
          </cell>
          <cell r="AL97">
            <v>0.2633744855967078</v>
          </cell>
        </row>
        <row r="98">
          <cell r="C98" t="str">
            <v>NAPH HVY CT</v>
          </cell>
          <cell r="D98">
            <v>0.0027498968788670424</v>
          </cell>
          <cell r="E98">
            <v>0.007837206104771071</v>
          </cell>
          <cell r="F98">
            <v>0.0027498968788670424</v>
          </cell>
          <cell r="G98">
            <v>0.030798845043310874</v>
          </cell>
          <cell r="H98">
            <v>0.014986937989825382</v>
          </cell>
          <cell r="I98">
            <v>0.023236628626426507</v>
          </cell>
          <cell r="J98">
            <v>0.019249278152069296</v>
          </cell>
          <cell r="K98">
            <v>0.023236628626426507</v>
          </cell>
          <cell r="L98">
            <v>0.0003574865942527155</v>
          </cell>
          <cell r="M98">
            <v>0.0068747421971676066</v>
          </cell>
          <cell r="N98">
            <v>0.023511618314313216</v>
          </cell>
          <cell r="O98">
            <v>0.005499793757734085</v>
          </cell>
          <cell r="P98">
            <v>0.004124845318300563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I98">
            <v>4.5</v>
          </cell>
          <cell r="AJ98">
            <v>78</v>
          </cell>
          <cell r="AK98">
            <v>92.44444444444444</v>
          </cell>
          <cell r="AL98">
            <v>0.2633744855967078</v>
          </cell>
        </row>
        <row r="99">
          <cell r="C99" t="str">
            <v>NAPH HVY CR</v>
          </cell>
          <cell r="D99">
            <v>0</v>
          </cell>
          <cell r="E99">
            <v>0.0001625406351587897</v>
          </cell>
          <cell r="F99">
            <v>0.00025006251562890725</v>
          </cell>
          <cell r="G99">
            <v>0.0009377344336084021</v>
          </cell>
          <cell r="H99">
            <v>0.00028757189297324334</v>
          </cell>
          <cell r="I99">
            <v>0.0009939984996249062</v>
          </cell>
          <cell r="J99">
            <v>0.0012628157039259816</v>
          </cell>
          <cell r="K99">
            <v>0.0009939984996249062</v>
          </cell>
          <cell r="L99">
            <v>0.00022505626406601648</v>
          </cell>
          <cell r="M99">
            <v>0.0006001500375093773</v>
          </cell>
          <cell r="N99">
            <v>0.004126031507876969</v>
          </cell>
          <cell r="O99">
            <v>0.0027506876719179795</v>
          </cell>
          <cell r="P99">
            <v>0.0042510627656914225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I99">
            <v>4.5</v>
          </cell>
          <cell r="AJ99">
            <v>80</v>
          </cell>
          <cell r="AK99">
            <v>94.81481481481481</v>
          </cell>
          <cell r="AL99">
            <v>0.2633744855967078</v>
          </cell>
        </row>
        <row r="100">
          <cell r="C100" t="str">
            <v>NAPH HVY HYT</v>
          </cell>
          <cell r="D100">
            <v>0</v>
          </cell>
          <cell r="E100">
            <v>0.001583740266596278</v>
          </cell>
          <cell r="F100">
            <v>0.007258809555232941</v>
          </cell>
          <cell r="G100">
            <v>0.025339844265540448</v>
          </cell>
          <cell r="H100">
            <v>0.023228190576745415</v>
          </cell>
          <cell r="I100">
            <v>0.010129338788438694</v>
          </cell>
          <cell r="J100">
            <v>0.008512603932954995</v>
          </cell>
          <cell r="K100">
            <v>0.010129338788438694</v>
          </cell>
          <cell r="L100">
            <v>0.0018476969776956577</v>
          </cell>
          <cell r="M100">
            <v>0.003259865382077339</v>
          </cell>
          <cell r="N100">
            <v>0.009977563679556552</v>
          </cell>
          <cell r="O100">
            <v>0.0030750956843077736</v>
          </cell>
          <cell r="P100">
            <v>2.6395671109937968E-05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I100">
            <v>4.5</v>
          </cell>
          <cell r="AJ100">
            <v>80</v>
          </cell>
          <cell r="AK100">
            <v>94.81481481481481</v>
          </cell>
          <cell r="AL100">
            <v>0.2633744855967078</v>
          </cell>
        </row>
        <row r="101">
          <cell r="C101" t="str">
            <v>NAPH HVY REF</v>
          </cell>
          <cell r="D101">
            <v>0.00027704167670440855</v>
          </cell>
          <cell r="E101">
            <v>0.008913514815707058</v>
          </cell>
          <cell r="F101">
            <v>7.227174174897614E-05</v>
          </cell>
          <cell r="G101">
            <v>0.04501324981932064</v>
          </cell>
          <cell r="H101">
            <v>0.04351963382317514</v>
          </cell>
          <cell r="I101">
            <v>0.06731510479402553</v>
          </cell>
          <cell r="J101">
            <v>0.057696940496265954</v>
          </cell>
          <cell r="K101">
            <v>0.06731510479402553</v>
          </cell>
          <cell r="L101">
            <v>0.0027583714767525896</v>
          </cell>
          <cell r="M101">
            <v>0.027860756444230302</v>
          </cell>
          <cell r="N101">
            <v>0.08893037822211515</v>
          </cell>
          <cell r="O101">
            <v>0.02051312936641773</v>
          </cell>
          <cell r="P101">
            <v>0.0067935437244037574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0.031</v>
          </cell>
          <cell r="AI101">
            <v>4.5</v>
          </cell>
          <cell r="AJ101">
            <v>80</v>
          </cell>
          <cell r="AK101">
            <v>94.81481481481481</v>
          </cell>
          <cell r="AL101">
            <v>0.2633744855967078</v>
          </cell>
        </row>
        <row r="102">
          <cell r="C102" t="str">
            <v>NAPH HSR</v>
          </cell>
          <cell r="D102">
            <v>0.00017064846416382253</v>
          </cell>
          <cell r="E102">
            <v>0.002192176424258335</v>
          </cell>
          <cell r="F102">
            <v>0.008991861380939879</v>
          </cell>
          <cell r="G102">
            <v>0.01736676292990286</v>
          </cell>
          <cell r="H102">
            <v>0.011446573903911787</v>
          </cell>
          <cell r="I102">
            <v>0.00878839590443686</v>
          </cell>
          <cell r="J102">
            <v>0.008204253084799159</v>
          </cell>
          <cell r="K102">
            <v>0.00878839590443686</v>
          </cell>
          <cell r="L102">
            <v>0.0016933578367025466</v>
          </cell>
          <cell r="M102">
            <v>0.0022184300341296925</v>
          </cell>
          <cell r="N102">
            <v>0.005775794171698608</v>
          </cell>
          <cell r="O102">
            <v>0.0022315568390653714</v>
          </cell>
          <cell r="P102">
            <v>0.0014176949330532947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I102">
            <v>4.5</v>
          </cell>
          <cell r="AJ102">
            <v>80</v>
          </cell>
          <cell r="AK102">
            <v>94.81481481481481</v>
          </cell>
          <cell r="AL102">
            <v>0.2633744855967078</v>
          </cell>
        </row>
        <row r="103">
          <cell r="C103" t="str">
            <v>NAPH LT HYC</v>
          </cell>
          <cell r="D103">
            <v>0.004604024902273057</v>
          </cell>
          <cell r="E103">
            <v>0.0402490227305632</v>
          </cell>
          <cell r="F103">
            <v>0.025264224699580135</v>
          </cell>
          <cell r="G103">
            <v>0.0006515129578688288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I103">
            <v>6</v>
          </cell>
          <cell r="AJ103">
            <v>76</v>
          </cell>
          <cell r="AK103">
            <v>90.07407407407408</v>
          </cell>
          <cell r="AL103">
            <v>0.19753086419753085</v>
          </cell>
        </row>
        <row r="104">
          <cell r="C104" t="str">
            <v>NAPH HVY HYC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0.001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I104">
            <v>4.5</v>
          </cell>
          <cell r="AJ104">
            <v>80</v>
          </cell>
          <cell r="AK104">
            <v>94.81481481481481</v>
          </cell>
          <cell r="AL104">
            <v>0.2633744855967078</v>
          </cell>
        </row>
        <row r="105">
          <cell r="C105" t="str">
            <v>NAPH LT CT</v>
          </cell>
          <cell r="D105">
            <v>0.0019180087847730602</v>
          </cell>
          <cell r="E105">
            <v>0.011200585651537335</v>
          </cell>
          <cell r="F105">
            <v>0</v>
          </cell>
          <cell r="G105">
            <v>0.037847730600292825</v>
          </cell>
          <cell r="H105">
            <v>0.006076134699853588</v>
          </cell>
          <cell r="I105">
            <v>0.011493411420204979</v>
          </cell>
          <cell r="J105">
            <v>0.007101024890190336</v>
          </cell>
          <cell r="K105">
            <v>0.011493411420204979</v>
          </cell>
          <cell r="L105">
            <v>7.320644216691069E-05</v>
          </cell>
          <cell r="M105">
            <v>0.0012445095168374816</v>
          </cell>
          <cell r="N105">
            <v>0.0036603221083455345</v>
          </cell>
          <cell r="O105">
            <v>0.0007027818448023426</v>
          </cell>
          <cell r="P105">
            <v>5.856515373352855E-05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I105">
            <v>6</v>
          </cell>
          <cell r="AJ105">
            <v>76</v>
          </cell>
          <cell r="AK105">
            <v>90.07407407407408</v>
          </cell>
          <cell r="AL105">
            <v>0.19753086419753085</v>
          </cell>
        </row>
        <row r="106">
          <cell r="C106" t="str">
            <v>NAPH LT CR</v>
          </cell>
          <cell r="D106">
            <v>0.0013829483889364128</v>
          </cell>
          <cell r="E106">
            <v>0.00998003992015968</v>
          </cell>
          <cell r="F106">
            <v>0.0006415739948674081</v>
          </cell>
          <cell r="G106">
            <v>0.03721129170230967</v>
          </cell>
          <cell r="H106">
            <v>0.007912745936698032</v>
          </cell>
          <cell r="I106">
            <v>0.015397775876817794</v>
          </cell>
          <cell r="J106">
            <v>0.010407755916737952</v>
          </cell>
          <cell r="K106">
            <v>0.015397775876817794</v>
          </cell>
          <cell r="L106">
            <v>0.00019960079840319363</v>
          </cell>
          <cell r="M106">
            <v>0.003336184773310522</v>
          </cell>
          <cell r="N106">
            <v>0.011120615911035072</v>
          </cell>
          <cell r="O106">
            <v>0.0025092671799258628</v>
          </cell>
          <cell r="P106">
            <v>0.0005417735956658112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I106">
            <v>6</v>
          </cell>
          <cell r="AJ106">
            <v>76</v>
          </cell>
          <cell r="AK106">
            <v>90.07407407407408</v>
          </cell>
          <cell r="AL106">
            <v>0.19753086419753085</v>
          </cell>
        </row>
        <row r="107">
          <cell r="C107" t="str">
            <v>NAPH LT HYT</v>
          </cell>
          <cell r="D107">
            <v>0.0004973821989528797</v>
          </cell>
          <cell r="E107">
            <v>0.007761780104712042</v>
          </cell>
          <cell r="F107">
            <v>0.008939790575916231</v>
          </cell>
          <cell r="G107">
            <v>0.019214659685863875</v>
          </cell>
          <cell r="H107">
            <v>0.0131282722513089</v>
          </cell>
          <cell r="I107">
            <v>0.00856020942408377</v>
          </cell>
          <cell r="J107">
            <v>0.007068062827225132</v>
          </cell>
          <cell r="K107">
            <v>0.00856020942408377</v>
          </cell>
          <cell r="L107">
            <v>0.0035863874345549744</v>
          </cell>
          <cell r="M107">
            <v>0.0036387434554973823</v>
          </cell>
          <cell r="N107">
            <v>0.014175392670157069</v>
          </cell>
          <cell r="O107">
            <v>0.006217277486910995</v>
          </cell>
          <cell r="P107">
            <v>0.00015706806282722515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I107">
            <v>6</v>
          </cell>
          <cell r="AJ107">
            <v>76</v>
          </cell>
          <cell r="AK107">
            <v>90.07407407407408</v>
          </cell>
          <cell r="AL107">
            <v>0.19753086419753085</v>
          </cell>
        </row>
        <row r="108">
          <cell r="C108" t="str">
            <v>NAPH LT REF</v>
          </cell>
          <cell r="D108">
            <v>0.0022730347720200245</v>
          </cell>
          <cell r="E108">
            <v>0.11581653362197267</v>
          </cell>
          <cell r="F108">
            <v>0.0009606277905560818</v>
          </cell>
          <cell r="G108">
            <v>0.2201325936950345</v>
          </cell>
          <cell r="H108">
            <v>0.0004870788797185767</v>
          </cell>
          <cell r="I108">
            <v>0.004356649979705047</v>
          </cell>
          <cell r="J108">
            <v>0.003396022189148965</v>
          </cell>
          <cell r="K108">
            <v>0.004356649979705047</v>
          </cell>
          <cell r="L108">
            <v>0.00012176971992964417</v>
          </cell>
          <cell r="M108">
            <v>0.0006764984440535787</v>
          </cell>
          <cell r="N108">
            <v>0.0015018265457989448</v>
          </cell>
          <cell r="O108">
            <v>0.0005547287241239345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0.031</v>
          </cell>
          <cell r="AI108">
            <v>6</v>
          </cell>
          <cell r="AJ108">
            <v>76</v>
          </cell>
          <cell r="AK108">
            <v>90.07407407407408</v>
          </cell>
          <cell r="AL108">
            <v>0.19753086419753085</v>
          </cell>
        </row>
        <row r="109">
          <cell r="C109" t="str">
            <v>NAPH LSR</v>
          </cell>
          <cell r="D109">
            <v>0.008046327339225846</v>
          </cell>
          <cell r="E109">
            <v>0.016123133191100276</v>
          </cell>
          <cell r="F109">
            <v>0.017799451386772327</v>
          </cell>
          <cell r="G109">
            <v>0.020252971654983236</v>
          </cell>
          <cell r="H109">
            <v>0.007101493447119781</v>
          </cell>
          <cell r="I109">
            <v>0.0001295336787564767</v>
          </cell>
          <cell r="J109">
            <v>9.143553794574824E-05</v>
          </cell>
          <cell r="K109">
            <v>0.0001295336787564767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I109">
            <v>6</v>
          </cell>
          <cell r="AJ109">
            <v>76</v>
          </cell>
          <cell r="AK109">
            <v>90.07407407407408</v>
          </cell>
          <cell r="AL109">
            <v>0.19753086419753085</v>
          </cell>
        </row>
        <row r="110">
          <cell r="C110" t="str">
            <v>NAPH FR POLY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I110">
            <v>5</v>
          </cell>
          <cell r="AJ110">
            <v>78</v>
          </cell>
          <cell r="AK110">
            <v>92.44444444444444</v>
          </cell>
          <cell r="AL110">
            <v>0.23703703703703705</v>
          </cell>
        </row>
        <row r="111">
          <cell r="C111" t="str">
            <v>NAPH UNS UNT</v>
          </cell>
          <cell r="D111">
            <v>0.0031276778063410453</v>
          </cell>
          <cell r="E111">
            <v>0.005284204512996287</v>
          </cell>
          <cell r="F111">
            <v>0.013139103113396172</v>
          </cell>
          <cell r="G111">
            <v>0.015852613538988862</v>
          </cell>
          <cell r="H111">
            <v>0.005569837189374464</v>
          </cell>
          <cell r="I111">
            <v>0.004998571836618109</v>
          </cell>
          <cell r="J111">
            <v>0.004427306483861754</v>
          </cell>
          <cell r="K111">
            <v>0.004998571836618109</v>
          </cell>
          <cell r="L111">
            <v>0.0006855184233076263</v>
          </cell>
          <cell r="M111">
            <v>0.0014138817480719794</v>
          </cell>
          <cell r="N111">
            <v>0.003998857469294488</v>
          </cell>
          <cell r="O111">
            <v>0.0013281919451585261</v>
          </cell>
          <cell r="P111">
            <v>0.00032847757783490436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AI111">
            <v>6</v>
          </cell>
          <cell r="AJ111">
            <v>78</v>
          </cell>
          <cell r="AK111">
            <v>92.44444444444444</v>
          </cell>
          <cell r="AL111">
            <v>0.19753086419753085</v>
          </cell>
        </row>
        <row r="112">
          <cell r="C112" t="str">
            <v>RESID ATM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5.2E-05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AI112">
            <v>5</v>
          </cell>
          <cell r="AJ112">
            <v>80</v>
          </cell>
          <cell r="AK112">
            <v>94.81481481481481</v>
          </cell>
          <cell r="AL112">
            <v>0.23703703703703705</v>
          </cell>
        </row>
        <row r="113">
          <cell r="C113" t="str">
            <v>RESID VSR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I113">
            <v>5</v>
          </cell>
          <cell r="AJ113">
            <v>80</v>
          </cell>
          <cell r="AK113">
            <v>94.81481481481481</v>
          </cell>
          <cell r="AL113">
            <v>0.23703703703703705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AL114" t="e">
            <v>#DIV/0!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AL115" t="e">
            <v>#DIV/0!</v>
          </cell>
        </row>
        <row r="116">
          <cell r="C116" t="str">
            <v>SOUR WATER</v>
          </cell>
          <cell r="U116">
            <v>0.001</v>
          </cell>
          <cell r="AC116">
            <v>0.0125</v>
          </cell>
          <cell r="AI116">
            <v>2</v>
          </cell>
          <cell r="AJ116">
            <v>34</v>
          </cell>
          <cell r="AK116">
            <v>18</v>
          </cell>
          <cell r="AL116">
            <v>0.2647058823529412</v>
          </cell>
        </row>
        <row r="117">
          <cell r="C117" t="str">
            <v>DEA</v>
          </cell>
          <cell r="AD117">
            <v>1</v>
          </cell>
          <cell r="AI117">
            <v>3.8684210526315788</v>
          </cell>
          <cell r="AJ117">
            <v>73</v>
          </cell>
          <cell r="AK117">
            <v>73</v>
          </cell>
          <cell r="AL117">
            <v>0.2585034013605442</v>
          </cell>
        </row>
        <row r="118">
          <cell r="C118" t="str">
            <v>NH3</v>
          </cell>
          <cell r="AC118">
            <v>1</v>
          </cell>
          <cell r="AI118">
            <v>117.52</v>
          </cell>
          <cell r="AJ118">
            <v>17</v>
          </cell>
          <cell r="AK118">
            <v>17</v>
          </cell>
          <cell r="AL118">
            <v>0.00850918992511913</v>
          </cell>
        </row>
        <row r="119">
          <cell r="C119">
            <v>0</v>
          </cell>
          <cell r="AJ119">
            <v>1</v>
          </cell>
          <cell r="AK119">
            <v>0</v>
          </cell>
          <cell r="AL119">
            <v>0</v>
          </cell>
        </row>
        <row r="120">
          <cell r="C120" t="str">
            <v>NO</v>
          </cell>
          <cell r="I120">
            <v>0</v>
          </cell>
          <cell r="K120">
            <v>0</v>
          </cell>
          <cell r="AI120">
            <v>1</v>
          </cell>
          <cell r="AJ120">
            <v>1</v>
          </cell>
          <cell r="AK120">
            <v>0</v>
          </cell>
          <cell r="A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L1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SUMMARY"/>
      <sheetName val="speciatn"/>
      <sheetName val="fix_tks"/>
      <sheetName val="ext_tks"/>
      <sheetName val="THRUPUTS"/>
      <sheetName val="prod_info"/>
      <sheetName val="fix_tks (2)"/>
      <sheetName val="ext_tks (2)"/>
    </sheetNames>
    <sheetDataSet>
      <sheetData sheetId="5">
        <row r="4">
          <cell r="A4">
            <v>476</v>
          </cell>
          <cell r="B4" t="str">
            <v>Additive</v>
          </cell>
          <cell r="C4" t="str">
            <v>FIX</v>
          </cell>
          <cell r="P4">
            <v>0</v>
          </cell>
          <cell r="AD4">
            <v>0</v>
          </cell>
          <cell r="AH4">
            <v>0</v>
          </cell>
          <cell r="AJ4">
            <v>0</v>
          </cell>
        </row>
        <row r="5">
          <cell r="A5">
            <v>125002</v>
          </cell>
          <cell r="B5" t="str">
            <v>ALKY</v>
          </cell>
          <cell r="C5" t="str">
            <v>EXT</v>
          </cell>
          <cell r="D5">
            <v>14143</v>
          </cell>
          <cell r="G5">
            <v>138844</v>
          </cell>
          <cell r="K5">
            <v>59286</v>
          </cell>
          <cell r="M5">
            <v>20927</v>
          </cell>
          <cell r="P5">
            <v>233200</v>
          </cell>
          <cell r="AC5">
            <v>49220.85</v>
          </cell>
          <cell r="AD5">
            <v>282420.85</v>
          </cell>
          <cell r="AE5">
            <v>125000</v>
          </cell>
          <cell r="AF5">
            <v>89</v>
          </cell>
          <cell r="AH5">
            <v>11125000</v>
          </cell>
          <cell r="AI5">
            <v>1</v>
          </cell>
          <cell r="AJ5">
            <v>3395821</v>
          </cell>
        </row>
        <row r="6">
          <cell r="A6">
            <v>13500</v>
          </cell>
          <cell r="B6" t="str">
            <v>AVGAS</v>
          </cell>
          <cell r="C6" t="str">
            <v>FIX</v>
          </cell>
          <cell r="D6">
            <v>173000</v>
          </cell>
          <cell r="G6">
            <v>146383</v>
          </cell>
          <cell r="J6">
            <v>111017</v>
          </cell>
          <cell r="M6">
            <v>147218</v>
          </cell>
          <cell r="P6">
            <v>577618</v>
          </cell>
          <cell r="AD6">
            <v>577618</v>
          </cell>
          <cell r="AE6">
            <v>13000</v>
          </cell>
          <cell r="AF6">
            <v>365</v>
          </cell>
          <cell r="AH6">
            <v>4745000</v>
          </cell>
          <cell r="AI6">
            <v>0.5</v>
          </cell>
          <cell r="AJ6">
            <v>259928.1</v>
          </cell>
        </row>
        <row r="7">
          <cell r="A7">
            <v>13501</v>
          </cell>
          <cell r="B7" t="str">
            <v>AVGAS</v>
          </cell>
          <cell r="C7" t="str">
            <v>FIX</v>
          </cell>
          <cell r="D7">
            <v>173000</v>
          </cell>
          <cell r="G7">
            <v>146383</v>
          </cell>
          <cell r="J7">
            <v>111017</v>
          </cell>
          <cell r="M7">
            <v>147218</v>
          </cell>
          <cell r="P7">
            <v>577618</v>
          </cell>
          <cell r="AD7">
            <v>577618</v>
          </cell>
          <cell r="AE7">
            <v>13000</v>
          </cell>
          <cell r="AF7">
            <v>365</v>
          </cell>
          <cell r="AH7">
            <v>4745000</v>
          </cell>
          <cell r="AI7">
            <v>0.5</v>
          </cell>
          <cell r="AJ7">
            <v>259928.1</v>
          </cell>
        </row>
        <row r="8">
          <cell r="A8">
            <v>13510</v>
          </cell>
          <cell r="B8" t="str">
            <v>AVIA ALKY</v>
          </cell>
          <cell r="C8" t="str">
            <v>FIX</v>
          </cell>
          <cell r="D8">
            <v>8588</v>
          </cell>
          <cell r="G8">
            <v>5469</v>
          </cell>
          <cell r="J8">
            <v>1322</v>
          </cell>
          <cell r="M8">
            <v>8932</v>
          </cell>
          <cell r="P8">
            <v>24311</v>
          </cell>
          <cell r="AD8">
            <v>24311</v>
          </cell>
          <cell r="AE8">
            <v>13000</v>
          </cell>
          <cell r="AF8">
            <v>365</v>
          </cell>
          <cell r="AH8">
            <v>4745000</v>
          </cell>
          <cell r="AI8">
            <v>1</v>
          </cell>
          <cell r="AJ8">
            <v>21879.9</v>
          </cell>
        </row>
        <row r="9">
          <cell r="A9">
            <v>36001</v>
          </cell>
          <cell r="B9" t="str">
            <v>AVJET A</v>
          </cell>
          <cell r="C9" t="str">
            <v>EXT</v>
          </cell>
          <cell r="D9">
            <v>578814</v>
          </cell>
          <cell r="G9">
            <v>701270</v>
          </cell>
          <cell r="J9">
            <v>496058</v>
          </cell>
          <cell r="M9">
            <v>306536</v>
          </cell>
          <cell r="P9">
            <v>2082678</v>
          </cell>
          <cell r="AC9">
            <v>150.36</v>
          </cell>
          <cell r="AD9">
            <v>2082828.36</v>
          </cell>
          <cell r="AE9">
            <v>36000</v>
          </cell>
          <cell r="AF9">
            <v>365</v>
          </cell>
          <cell r="AH9">
            <v>13140000</v>
          </cell>
          <cell r="AI9">
            <v>0.5</v>
          </cell>
          <cell r="AJ9">
            <v>937272.7620000001</v>
          </cell>
        </row>
        <row r="10">
          <cell r="A10">
            <v>76000</v>
          </cell>
          <cell r="B10" t="str">
            <v>AVJET A</v>
          </cell>
          <cell r="C10" t="str">
            <v>EXT</v>
          </cell>
          <cell r="D10">
            <v>578814</v>
          </cell>
          <cell r="G10">
            <v>701270</v>
          </cell>
          <cell r="J10">
            <v>496058</v>
          </cell>
          <cell r="M10">
            <v>306536</v>
          </cell>
          <cell r="P10">
            <v>2082678</v>
          </cell>
          <cell r="AC10">
            <v>150.36</v>
          </cell>
          <cell r="AD10">
            <v>2082828.36</v>
          </cell>
          <cell r="AE10">
            <v>76000</v>
          </cell>
          <cell r="AF10">
            <v>365</v>
          </cell>
          <cell r="AH10">
            <v>27740000</v>
          </cell>
          <cell r="AI10">
            <v>0.5</v>
          </cell>
          <cell r="AJ10">
            <v>937272.7620000001</v>
          </cell>
        </row>
        <row r="11">
          <cell r="A11">
            <v>13506</v>
          </cell>
          <cell r="B11" t="str">
            <v>BOD</v>
          </cell>
          <cell r="C11" t="str">
            <v>FIX</v>
          </cell>
          <cell r="D11">
            <v>59811</v>
          </cell>
          <cell r="G11">
            <v>5102</v>
          </cell>
          <cell r="J11">
            <v>4943</v>
          </cell>
          <cell r="M11">
            <v>9911</v>
          </cell>
          <cell r="P11">
            <v>79767</v>
          </cell>
          <cell r="AD11">
            <v>79767</v>
          </cell>
          <cell r="AE11">
            <v>13000</v>
          </cell>
          <cell r="AF11">
            <v>365</v>
          </cell>
          <cell r="AH11">
            <v>4745000</v>
          </cell>
          <cell r="AI11">
            <v>0.3333333333333333</v>
          </cell>
          <cell r="AJ11">
            <v>23930.100000000002</v>
          </cell>
        </row>
        <row r="12">
          <cell r="A12">
            <v>13507</v>
          </cell>
          <cell r="B12" t="str">
            <v>BOD</v>
          </cell>
          <cell r="C12" t="str">
            <v>FIX</v>
          </cell>
          <cell r="D12">
            <v>59811</v>
          </cell>
          <cell r="G12">
            <v>5102</v>
          </cell>
          <cell r="J12">
            <v>4943</v>
          </cell>
          <cell r="M12">
            <v>9911</v>
          </cell>
          <cell r="P12">
            <v>79767</v>
          </cell>
          <cell r="AD12">
            <v>79767</v>
          </cell>
          <cell r="AE12">
            <v>13000</v>
          </cell>
          <cell r="AF12">
            <v>365</v>
          </cell>
          <cell r="AH12">
            <v>4745000</v>
          </cell>
          <cell r="AI12">
            <v>0.3333333333333333</v>
          </cell>
          <cell r="AJ12">
            <v>23930.100000000002</v>
          </cell>
        </row>
        <row r="13">
          <cell r="A13">
            <v>13508</v>
          </cell>
          <cell r="B13" t="str">
            <v>BOD</v>
          </cell>
          <cell r="C13" t="str">
            <v>FIX</v>
          </cell>
          <cell r="D13">
            <v>59811</v>
          </cell>
          <cell r="G13">
            <v>5102</v>
          </cell>
          <cell r="J13">
            <v>4943</v>
          </cell>
          <cell r="M13">
            <v>9911</v>
          </cell>
          <cell r="P13">
            <v>79767</v>
          </cell>
          <cell r="AD13">
            <v>79767</v>
          </cell>
          <cell r="AE13">
            <v>13000</v>
          </cell>
          <cell r="AF13">
            <v>365</v>
          </cell>
          <cell r="AH13">
            <v>4745000</v>
          </cell>
          <cell r="AI13">
            <v>0.3333333333333333</v>
          </cell>
          <cell r="AJ13">
            <v>23930.100000000002</v>
          </cell>
        </row>
        <row r="14">
          <cell r="A14">
            <v>80071</v>
          </cell>
          <cell r="B14" t="str">
            <v>CAL MIXED</v>
          </cell>
          <cell r="C14" t="str">
            <v>FIX</v>
          </cell>
          <cell r="D14">
            <v>59811</v>
          </cell>
          <cell r="G14">
            <v>5102</v>
          </cell>
          <cell r="J14">
            <v>0</v>
          </cell>
          <cell r="M14">
            <v>0</v>
          </cell>
          <cell r="P14">
            <v>64913</v>
          </cell>
          <cell r="AC14">
            <v>21901174.259999998</v>
          </cell>
          <cell r="AD14">
            <v>21966087.259999998</v>
          </cell>
          <cell r="AE14">
            <v>80000</v>
          </cell>
          <cell r="AF14">
            <v>365</v>
          </cell>
          <cell r="AH14">
            <v>29200000</v>
          </cell>
          <cell r="AI14">
            <v>0.08333333333333333</v>
          </cell>
          <cell r="AJ14">
            <v>1647456.5444999998</v>
          </cell>
        </row>
        <row r="15">
          <cell r="A15">
            <v>80072</v>
          </cell>
          <cell r="B15" t="str">
            <v>CAL MIXED</v>
          </cell>
          <cell r="C15" t="str">
            <v>FIX</v>
          </cell>
          <cell r="D15">
            <v>59811</v>
          </cell>
          <cell r="G15">
            <v>5102</v>
          </cell>
          <cell r="J15">
            <v>0</v>
          </cell>
          <cell r="M15">
            <v>0</v>
          </cell>
          <cell r="P15">
            <v>64913</v>
          </cell>
          <cell r="AC15">
            <v>21901174.259999998</v>
          </cell>
          <cell r="AD15">
            <v>21966087.259999998</v>
          </cell>
          <cell r="AE15">
            <v>80000</v>
          </cell>
          <cell r="AF15">
            <v>365</v>
          </cell>
          <cell r="AH15">
            <v>29200000</v>
          </cell>
          <cell r="AI15">
            <v>0.08333333333333333</v>
          </cell>
          <cell r="AJ15">
            <v>1647456.5444999998</v>
          </cell>
        </row>
        <row r="16">
          <cell r="A16">
            <v>80073</v>
          </cell>
          <cell r="B16" t="str">
            <v>CAL MIXED</v>
          </cell>
          <cell r="C16" t="str">
            <v>FIX</v>
          </cell>
          <cell r="D16">
            <v>59811</v>
          </cell>
          <cell r="G16">
            <v>5102</v>
          </cell>
          <cell r="J16">
            <v>0</v>
          </cell>
          <cell r="M16">
            <v>0</v>
          </cell>
          <cell r="P16">
            <v>64913</v>
          </cell>
          <cell r="AC16">
            <v>21901174.259999998</v>
          </cell>
          <cell r="AD16">
            <v>21966087.259999998</v>
          </cell>
          <cell r="AE16">
            <v>80000</v>
          </cell>
          <cell r="AF16">
            <v>365</v>
          </cell>
          <cell r="AH16">
            <v>29200000</v>
          </cell>
          <cell r="AI16">
            <v>0.08333333333333333</v>
          </cell>
          <cell r="AJ16">
            <v>1647456.5444999998</v>
          </cell>
        </row>
        <row r="17">
          <cell r="A17">
            <v>80074</v>
          </cell>
          <cell r="B17" t="str">
            <v>CAL MIXED</v>
          </cell>
          <cell r="C17" t="str">
            <v>FIX</v>
          </cell>
          <cell r="D17">
            <v>59811</v>
          </cell>
          <cell r="G17">
            <v>5102</v>
          </cell>
          <cell r="J17">
            <v>0</v>
          </cell>
          <cell r="M17">
            <v>0</v>
          </cell>
          <cell r="P17">
            <v>64913</v>
          </cell>
          <cell r="AC17">
            <v>21901174.259999998</v>
          </cell>
          <cell r="AD17">
            <v>21966087.259999998</v>
          </cell>
          <cell r="AE17">
            <v>80000</v>
          </cell>
          <cell r="AF17">
            <v>365</v>
          </cell>
          <cell r="AH17">
            <v>29200000</v>
          </cell>
          <cell r="AI17">
            <v>0.08333333333333333</v>
          </cell>
          <cell r="AJ17">
            <v>1647456.5444999998</v>
          </cell>
        </row>
        <row r="18">
          <cell r="A18">
            <v>80075</v>
          </cell>
          <cell r="B18" t="str">
            <v>CAL MIXED</v>
          </cell>
          <cell r="C18" t="str">
            <v>FIX</v>
          </cell>
          <cell r="D18">
            <v>59811</v>
          </cell>
          <cell r="G18">
            <v>5102</v>
          </cell>
          <cell r="J18">
            <v>0</v>
          </cell>
          <cell r="M18">
            <v>0</v>
          </cell>
          <cell r="P18">
            <v>64913</v>
          </cell>
          <cell r="AC18">
            <v>21901174.259999998</v>
          </cell>
          <cell r="AD18">
            <v>21966087.259999998</v>
          </cell>
          <cell r="AE18">
            <v>80000</v>
          </cell>
          <cell r="AF18">
            <v>365</v>
          </cell>
          <cell r="AH18">
            <v>29200000</v>
          </cell>
          <cell r="AI18">
            <v>0.08333333333333333</v>
          </cell>
          <cell r="AJ18">
            <v>1647456.5444999998</v>
          </cell>
        </row>
        <row r="19">
          <cell r="A19">
            <v>80076</v>
          </cell>
          <cell r="B19" t="str">
            <v>CAL MIXED</v>
          </cell>
          <cell r="C19" t="str">
            <v>FIX</v>
          </cell>
          <cell r="D19">
            <v>59811</v>
          </cell>
          <cell r="G19">
            <v>5102</v>
          </cell>
          <cell r="J19">
            <v>0</v>
          </cell>
          <cell r="M19">
            <v>0</v>
          </cell>
          <cell r="P19">
            <v>64913</v>
          </cell>
          <cell r="AC19">
            <v>21901174.259999998</v>
          </cell>
          <cell r="AD19">
            <v>21966087.259999998</v>
          </cell>
          <cell r="AE19">
            <v>80000</v>
          </cell>
          <cell r="AF19">
            <v>365</v>
          </cell>
          <cell r="AH19">
            <v>29200000</v>
          </cell>
          <cell r="AI19">
            <v>0.08333333333333333</v>
          </cell>
          <cell r="AJ19">
            <v>1647456.5444999998</v>
          </cell>
        </row>
        <row r="20">
          <cell r="A20">
            <v>80077</v>
          </cell>
          <cell r="B20" t="str">
            <v>CAL MIXED</v>
          </cell>
          <cell r="C20" t="str">
            <v>FIX</v>
          </cell>
          <cell r="D20">
            <v>59811</v>
          </cell>
          <cell r="G20">
            <v>5102</v>
          </cell>
          <cell r="J20">
            <v>0</v>
          </cell>
          <cell r="M20">
            <v>0</v>
          </cell>
          <cell r="P20">
            <v>64913</v>
          </cell>
          <cell r="AC20">
            <v>21901174.259999998</v>
          </cell>
          <cell r="AD20">
            <v>21966087.259999998</v>
          </cell>
          <cell r="AE20">
            <v>80000</v>
          </cell>
          <cell r="AF20">
            <v>365</v>
          </cell>
          <cell r="AH20">
            <v>29200000</v>
          </cell>
          <cell r="AI20">
            <v>0.08333333333333333</v>
          </cell>
          <cell r="AJ20">
            <v>1647456.5444999998</v>
          </cell>
        </row>
        <row r="21">
          <cell r="A21">
            <v>80078</v>
          </cell>
          <cell r="B21" t="str">
            <v>CAL MIXED</v>
          </cell>
          <cell r="C21" t="str">
            <v>FIX</v>
          </cell>
          <cell r="D21">
            <v>59811</v>
          </cell>
          <cell r="G21">
            <v>5102</v>
          </cell>
          <cell r="J21">
            <v>0</v>
          </cell>
          <cell r="M21">
            <v>0</v>
          </cell>
          <cell r="P21">
            <v>64913</v>
          </cell>
          <cell r="AC21">
            <v>21901174.259999998</v>
          </cell>
          <cell r="AD21">
            <v>21966087.259999998</v>
          </cell>
          <cell r="AE21">
            <v>80000</v>
          </cell>
          <cell r="AF21">
            <v>365</v>
          </cell>
          <cell r="AH21">
            <v>29200000</v>
          </cell>
          <cell r="AI21">
            <v>0.08333333333333333</v>
          </cell>
          <cell r="AJ21">
            <v>1647456.5444999998</v>
          </cell>
        </row>
        <row r="22">
          <cell r="A22">
            <v>80080</v>
          </cell>
          <cell r="B22" t="str">
            <v>CAL MIXED</v>
          </cell>
          <cell r="C22" t="str">
            <v>FIX</v>
          </cell>
          <cell r="D22">
            <v>59811</v>
          </cell>
          <cell r="G22">
            <v>5102</v>
          </cell>
          <cell r="J22">
            <v>0</v>
          </cell>
          <cell r="M22">
            <v>0</v>
          </cell>
          <cell r="P22">
            <v>64913</v>
          </cell>
          <cell r="AC22">
            <v>21901174.259999998</v>
          </cell>
          <cell r="AD22">
            <v>21966087.259999998</v>
          </cell>
          <cell r="AE22">
            <v>80000</v>
          </cell>
          <cell r="AF22">
            <v>365</v>
          </cell>
          <cell r="AH22">
            <v>29200000</v>
          </cell>
          <cell r="AI22">
            <v>0.08333333333333333</v>
          </cell>
          <cell r="AJ22">
            <v>1647456.5444999998</v>
          </cell>
        </row>
        <row r="23">
          <cell r="A23">
            <v>80084</v>
          </cell>
          <cell r="B23" t="str">
            <v>CAL MIXED</v>
          </cell>
          <cell r="C23" t="str">
            <v>FIX</v>
          </cell>
          <cell r="D23">
            <v>59811</v>
          </cell>
          <cell r="G23">
            <v>5102</v>
          </cell>
          <cell r="J23">
            <v>0</v>
          </cell>
          <cell r="M23">
            <v>0</v>
          </cell>
          <cell r="P23">
            <v>64913</v>
          </cell>
          <cell r="AC23">
            <v>21901174.259999998</v>
          </cell>
          <cell r="AD23">
            <v>21966087.259999998</v>
          </cell>
          <cell r="AE23">
            <v>80000</v>
          </cell>
          <cell r="AF23">
            <v>365</v>
          </cell>
          <cell r="AH23">
            <v>29200000</v>
          </cell>
          <cell r="AI23">
            <v>0.08333333333333333</v>
          </cell>
          <cell r="AJ23">
            <v>1647456.5444999998</v>
          </cell>
        </row>
        <row r="24">
          <cell r="A24">
            <v>80085</v>
          </cell>
          <cell r="B24" t="str">
            <v>CAL MIXED</v>
          </cell>
          <cell r="C24" t="str">
            <v>FIX</v>
          </cell>
          <cell r="D24">
            <v>59811</v>
          </cell>
          <cell r="G24">
            <v>5102</v>
          </cell>
          <cell r="J24">
            <v>0</v>
          </cell>
          <cell r="M24">
            <v>0</v>
          </cell>
          <cell r="P24">
            <v>64913</v>
          </cell>
          <cell r="AC24">
            <v>21901174.259999998</v>
          </cell>
          <cell r="AD24">
            <v>21966087.259999998</v>
          </cell>
          <cell r="AE24">
            <v>80000</v>
          </cell>
          <cell r="AF24">
            <v>365</v>
          </cell>
          <cell r="AH24">
            <v>29200000</v>
          </cell>
          <cell r="AI24">
            <v>0.08333333333333333</v>
          </cell>
          <cell r="AJ24">
            <v>1647456.5444999998</v>
          </cell>
        </row>
        <row r="25">
          <cell r="A25">
            <v>80087</v>
          </cell>
          <cell r="B25" t="str">
            <v>CAL MIXED</v>
          </cell>
          <cell r="C25" t="str">
            <v>FIX</v>
          </cell>
          <cell r="D25">
            <v>59811</v>
          </cell>
          <cell r="G25">
            <v>5102</v>
          </cell>
          <cell r="J25">
            <v>0</v>
          </cell>
          <cell r="M25">
            <v>0</v>
          </cell>
          <cell r="P25">
            <v>64913</v>
          </cell>
          <cell r="AC25">
            <v>21901174.259999998</v>
          </cell>
          <cell r="AD25">
            <v>21966087.259999998</v>
          </cell>
          <cell r="AE25">
            <v>80000</v>
          </cell>
          <cell r="AF25">
            <v>365</v>
          </cell>
          <cell r="AH25">
            <v>29200000</v>
          </cell>
          <cell r="AI25">
            <v>0.08333333333333333</v>
          </cell>
          <cell r="AJ25">
            <v>1647456.5444999998</v>
          </cell>
        </row>
        <row r="26">
          <cell r="A26">
            <v>80033</v>
          </cell>
          <cell r="B26" t="str">
            <v>CARB DSL</v>
          </cell>
          <cell r="C26" t="str">
            <v>FIX</v>
          </cell>
          <cell r="D26">
            <v>675516</v>
          </cell>
          <cell r="G26">
            <v>938053</v>
          </cell>
          <cell r="J26">
            <v>463295</v>
          </cell>
          <cell r="M26">
            <v>745690</v>
          </cell>
          <cell r="P26">
            <v>2822554</v>
          </cell>
          <cell r="AC26">
            <v>0</v>
          </cell>
          <cell r="AD26">
            <v>2822554</v>
          </cell>
          <cell r="AE26">
            <v>36000</v>
          </cell>
          <cell r="AF26">
            <v>365</v>
          </cell>
          <cell r="AH26">
            <v>13140000</v>
          </cell>
          <cell r="AI26">
            <v>0.3103448275862069</v>
          </cell>
          <cell r="AJ26">
            <v>788368.5310344828</v>
          </cell>
        </row>
        <row r="27">
          <cell r="A27">
            <v>80034</v>
          </cell>
          <cell r="B27" t="str">
            <v>CARB DSL</v>
          </cell>
          <cell r="C27" t="str">
            <v>FIX</v>
          </cell>
          <cell r="D27">
            <v>675516</v>
          </cell>
          <cell r="E27">
            <v>0</v>
          </cell>
          <cell r="F27">
            <v>0</v>
          </cell>
          <cell r="G27">
            <v>938053</v>
          </cell>
          <cell r="J27">
            <v>463295</v>
          </cell>
          <cell r="M27">
            <v>745690</v>
          </cell>
          <cell r="P27">
            <v>2822554</v>
          </cell>
          <cell r="AC27">
            <v>0</v>
          </cell>
          <cell r="AD27">
            <v>2822554</v>
          </cell>
          <cell r="AE27">
            <v>80000</v>
          </cell>
          <cell r="AF27">
            <v>365</v>
          </cell>
          <cell r="AH27">
            <v>29200000</v>
          </cell>
          <cell r="AI27">
            <v>0.6896551724137931</v>
          </cell>
          <cell r="AJ27">
            <v>1751930.0689655175</v>
          </cell>
        </row>
        <row r="28">
          <cell r="A28">
            <v>80213</v>
          </cell>
          <cell r="B28" t="str">
            <v>CR GAS</v>
          </cell>
          <cell r="C28" t="str">
            <v>EXT</v>
          </cell>
          <cell r="D28">
            <v>47579</v>
          </cell>
          <cell r="G28">
            <v>17210</v>
          </cell>
          <cell r="J28">
            <v>6751</v>
          </cell>
          <cell r="M28">
            <v>4895</v>
          </cell>
          <cell r="P28">
            <v>76435</v>
          </cell>
          <cell r="AC28">
            <v>0</v>
          </cell>
          <cell r="AD28">
            <v>76435</v>
          </cell>
          <cell r="AE28">
            <v>80000</v>
          </cell>
          <cell r="AF28">
            <v>365</v>
          </cell>
          <cell r="AH28">
            <v>29200000</v>
          </cell>
          <cell r="AI28">
            <v>0.3007518796992481</v>
          </cell>
          <cell r="AJ28">
            <v>4724311</v>
          </cell>
        </row>
        <row r="29">
          <cell r="A29">
            <v>80214</v>
          </cell>
          <cell r="B29" t="str">
            <v>CR GAS</v>
          </cell>
          <cell r="C29" t="str">
            <v>EXT</v>
          </cell>
          <cell r="D29">
            <v>47579</v>
          </cell>
          <cell r="E29">
            <v>0</v>
          </cell>
          <cell r="F29">
            <v>0</v>
          </cell>
          <cell r="G29">
            <v>17210</v>
          </cell>
          <cell r="J29">
            <v>6751</v>
          </cell>
          <cell r="M29">
            <v>4895</v>
          </cell>
          <cell r="P29">
            <v>76435</v>
          </cell>
          <cell r="AC29">
            <v>0</v>
          </cell>
          <cell r="AD29">
            <v>76435</v>
          </cell>
          <cell r="AE29">
            <v>80000</v>
          </cell>
          <cell r="AF29">
            <v>365</v>
          </cell>
          <cell r="AH29">
            <v>29200000</v>
          </cell>
          <cell r="AI29">
            <v>0.3007518796992481</v>
          </cell>
          <cell r="AJ29">
            <v>3579311</v>
          </cell>
        </row>
        <row r="30">
          <cell r="A30">
            <v>80216</v>
          </cell>
          <cell r="B30" t="str">
            <v>CR GAS</v>
          </cell>
          <cell r="C30" t="str">
            <v>EXT</v>
          </cell>
          <cell r="D30">
            <v>47579</v>
          </cell>
          <cell r="E30">
            <v>0</v>
          </cell>
          <cell r="F30">
            <v>0</v>
          </cell>
          <cell r="G30">
            <v>17210</v>
          </cell>
          <cell r="J30">
            <v>6751</v>
          </cell>
          <cell r="M30">
            <v>4895</v>
          </cell>
          <cell r="P30">
            <v>76435</v>
          </cell>
          <cell r="AC30">
            <v>0</v>
          </cell>
          <cell r="AD30">
            <v>76435</v>
          </cell>
          <cell r="AE30">
            <v>80000</v>
          </cell>
          <cell r="AF30">
            <v>365</v>
          </cell>
          <cell r="AH30">
            <v>29200000</v>
          </cell>
          <cell r="AI30">
            <v>0.3007518796992481</v>
          </cell>
          <cell r="AJ30">
            <v>3629311</v>
          </cell>
        </row>
        <row r="31">
          <cell r="A31">
            <v>13504</v>
          </cell>
          <cell r="B31" t="str">
            <v>CR GAS</v>
          </cell>
          <cell r="C31" t="str">
            <v>FIX</v>
          </cell>
          <cell r="D31">
            <v>47579</v>
          </cell>
          <cell r="E31">
            <v>0</v>
          </cell>
          <cell r="F31">
            <v>0</v>
          </cell>
          <cell r="G31">
            <v>17210</v>
          </cell>
          <cell r="J31">
            <v>6751</v>
          </cell>
          <cell r="M31">
            <v>4895</v>
          </cell>
          <cell r="P31">
            <v>76435</v>
          </cell>
          <cell r="AC31">
            <v>0</v>
          </cell>
          <cell r="AD31">
            <v>76435</v>
          </cell>
          <cell r="AE31">
            <v>13000</v>
          </cell>
          <cell r="AF31">
            <v>365</v>
          </cell>
          <cell r="AH31">
            <v>4745000</v>
          </cell>
          <cell r="AI31">
            <v>0.04887218045112782</v>
          </cell>
          <cell r="AJ31">
            <v>3361.990601503759</v>
          </cell>
        </row>
        <row r="32">
          <cell r="A32">
            <v>13505</v>
          </cell>
          <cell r="B32" t="str">
            <v>CR GAS</v>
          </cell>
          <cell r="C32" t="str">
            <v>FIX</v>
          </cell>
          <cell r="D32">
            <v>47579</v>
          </cell>
          <cell r="E32">
            <v>0</v>
          </cell>
          <cell r="F32">
            <v>0</v>
          </cell>
          <cell r="G32">
            <v>17210</v>
          </cell>
          <cell r="J32">
            <v>6751</v>
          </cell>
          <cell r="M32">
            <v>4895</v>
          </cell>
          <cell r="P32">
            <v>76435</v>
          </cell>
          <cell r="AC32">
            <v>0</v>
          </cell>
          <cell r="AD32">
            <v>76435</v>
          </cell>
          <cell r="AE32">
            <v>13000</v>
          </cell>
          <cell r="AF32">
            <v>365</v>
          </cell>
          <cell r="AH32">
            <v>4745000</v>
          </cell>
          <cell r="AI32">
            <v>0.04887218045112782</v>
          </cell>
          <cell r="AJ32">
            <v>3361.990601503759</v>
          </cell>
        </row>
        <row r="33">
          <cell r="A33">
            <v>80221</v>
          </cell>
          <cell r="B33" t="str">
            <v>CRU CHG</v>
          </cell>
          <cell r="C33" t="str">
            <v>FIX</v>
          </cell>
          <cell r="D33">
            <v>143530</v>
          </cell>
          <cell r="G33">
            <v>24578</v>
          </cell>
          <cell r="J33">
            <v>37427</v>
          </cell>
          <cell r="M33">
            <v>100334</v>
          </cell>
          <cell r="P33">
            <v>305869</v>
          </cell>
          <cell r="AC33">
            <v>0</v>
          </cell>
          <cell r="AD33">
            <v>305869</v>
          </cell>
          <cell r="AE33">
            <v>80000</v>
          </cell>
          <cell r="AF33">
            <v>365</v>
          </cell>
          <cell r="AH33">
            <v>29200000</v>
          </cell>
          <cell r="AI33">
            <v>0.984009840098401</v>
          </cell>
          <cell r="AJ33">
            <v>270880.295202952</v>
          </cell>
        </row>
        <row r="34">
          <cell r="A34">
            <v>1302</v>
          </cell>
          <cell r="B34" t="str">
            <v>DB LT SR</v>
          </cell>
          <cell r="C34" t="str">
            <v>FIX</v>
          </cell>
          <cell r="D34">
            <v>0</v>
          </cell>
          <cell r="G34">
            <v>14479</v>
          </cell>
          <cell r="J34">
            <v>0</v>
          </cell>
          <cell r="M34">
            <v>28</v>
          </cell>
          <cell r="P34">
            <v>14507</v>
          </cell>
          <cell r="AC34">
            <v>0</v>
          </cell>
          <cell r="AD34">
            <v>14507</v>
          </cell>
          <cell r="AE34">
            <v>1300</v>
          </cell>
          <cell r="AF34">
            <v>365</v>
          </cell>
          <cell r="AH34">
            <v>474500</v>
          </cell>
          <cell r="AI34">
            <v>1</v>
          </cell>
          <cell r="AJ34">
            <v>13056.300000000001</v>
          </cell>
        </row>
        <row r="35">
          <cell r="A35">
            <v>13509</v>
          </cell>
          <cell r="B35" t="str">
            <v>DC CHG</v>
          </cell>
          <cell r="C35" t="str">
            <v>FIX</v>
          </cell>
          <cell r="D35">
            <v>0</v>
          </cell>
          <cell r="G35">
            <v>91717</v>
          </cell>
          <cell r="J35">
            <v>354750</v>
          </cell>
          <cell r="M35">
            <v>78070</v>
          </cell>
          <cell r="P35">
            <v>524537</v>
          </cell>
          <cell r="AC35">
            <v>265884.35</v>
          </cell>
          <cell r="AD35">
            <v>790421.35</v>
          </cell>
          <cell r="AE35">
            <v>13000</v>
          </cell>
          <cell r="AF35">
            <v>122</v>
          </cell>
          <cell r="AH35">
            <v>1586000</v>
          </cell>
          <cell r="AI35">
            <v>0.007741419032371432</v>
          </cell>
          <cell r="AJ35">
            <v>5507.084594234449</v>
          </cell>
        </row>
        <row r="36">
          <cell r="A36">
            <v>13512</v>
          </cell>
          <cell r="B36" t="str">
            <v>DC CHG</v>
          </cell>
          <cell r="C36" t="str">
            <v>FIX</v>
          </cell>
          <cell r="D36">
            <v>0</v>
          </cell>
          <cell r="G36">
            <v>91717</v>
          </cell>
          <cell r="J36">
            <v>354750</v>
          </cell>
          <cell r="M36">
            <v>78070</v>
          </cell>
          <cell r="P36">
            <v>524537</v>
          </cell>
          <cell r="AC36">
            <v>265884.35</v>
          </cell>
          <cell r="AD36">
            <v>790421.35</v>
          </cell>
          <cell r="AE36">
            <v>13000</v>
          </cell>
          <cell r="AF36">
            <v>122</v>
          </cell>
          <cell r="AH36">
            <v>1586000</v>
          </cell>
          <cell r="AI36">
            <v>0.007741419032371432</v>
          </cell>
          <cell r="AJ36">
            <v>5507.084594234449</v>
          </cell>
        </row>
        <row r="37">
          <cell r="A37">
            <v>80060</v>
          </cell>
          <cell r="B37" t="str">
            <v>DC CHG</v>
          </cell>
          <cell r="C37" t="str">
            <v>FIX</v>
          </cell>
          <cell r="D37">
            <v>0</v>
          </cell>
          <cell r="E37">
            <v>0</v>
          </cell>
          <cell r="F37">
            <v>0</v>
          </cell>
          <cell r="G37">
            <v>14479</v>
          </cell>
          <cell r="J37">
            <v>354750</v>
          </cell>
          <cell r="M37">
            <v>78070</v>
          </cell>
          <cell r="P37">
            <v>447299</v>
          </cell>
          <cell r="AC37">
            <v>265884.35</v>
          </cell>
          <cell r="AD37">
            <v>713183.35</v>
          </cell>
          <cell r="AE37">
            <v>80000</v>
          </cell>
          <cell r="AF37">
            <v>365</v>
          </cell>
          <cell r="AH37">
            <v>29200000</v>
          </cell>
          <cell r="AI37">
            <v>0.14252801749384983</v>
          </cell>
          <cell r="AJ37">
            <v>91483.74808661018</v>
          </cell>
        </row>
        <row r="38">
          <cell r="A38">
            <v>80064</v>
          </cell>
          <cell r="B38" t="str">
            <v>DC CHG</v>
          </cell>
          <cell r="C38" t="str">
            <v>FIX</v>
          </cell>
          <cell r="D38">
            <v>0</v>
          </cell>
          <cell r="E38">
            <v>0</v>
          </cell>
          <cell r="F38">
            <v>0</v>
          </cell>
          <cell r="G38">
            <v>91717</v>
          </cell>
          <cell r="J38">
            <v>354750</v>
          </cell>
          <cell r="M38">
            <v>78070</v>
          </cell>
          <cell r="P38">
            <v>524537</v>
          </cell>
          <cell r="AC38">
            <v>265884.35</v>
          </cell>
          <cell r="AD38">
            <v>790421.35</v>
          </cell>
          <cell r="AE38">
            <v>80000</v>
          </cell>
          <cell r="AF38">
            <v>365</v>
          </cell>
          <cell r="AH38">
            <v>29200000</v>
          </cell>
          <cell r="AI38">
            <v>0.14252801749384983</v>
          </cell>
          <cell r="AJ38">
            <v>101391.46920028116</v>
          </cell>
        </row>
        <row r="39">
          <cell r="A39">
            <v>80065</v>
          </cell>
          <cell r="B39" t="str">
            <v>DC CHG</v>
          </cell>
          <cell r="C39" t="str">
            <v>FIX</v>
          </cell>
          <cell r="D39">
            <v>0</v>
          </cell>
          <cell r="E39">
            <v>0</v>
          </cell>
          <cell r="F39">
            <v>0</v>
          </cell>
          <cell r="G39">
            <v>91717</v>
          </cell>
          <cell r="J39">
            <v>354750</v>
          </cell>
          <cell r="M39">
            <v>78070</v>
          </cell>
          <cell r="P39">
            <v>524537</v>
          </cell>
          <cell r="AC39">
            <v>265884.35</v>
          </cell>
          <cell r="AD39">
            <v>790421.35</v>
          </cell>
          <cell r="AE39">
            <v>80000</v>
          </cell>
          <cell r="AF39">
            <v>365</v>
          </cell>
          <cell r="AH39">
            <v>29200000</v>
          </cell>
          <cell r="AI39">
            <v>0.14252801749384983</v>
          </cell>
          <cell r="AJ39">
            <v>101391.46920028116</v>
          </cell>
        </row>
        <row r="40">
          <cell r="A40">
            <v>80066</v>
          </cell>
          <cell r="B40" t="str">
            <v>DC CHG</v>
          </cell>
          <cell r="C40" t="str">
            <v>FIX</v>
          </cell>
          <cell r="D40">
            <v>0</v>
          </cell>
          <cell r="E40">
            <v>0</v>
          </cell>
          <cell r="F40">
            <v>0</v>
          </cell>
          <cell r="G40">
            <v>91717</v>
          </cell>
          <cell r="J40">
            <v>354750</v>
          </cell>
          <cell r="M40">
            <v>78070</v>
          </cell>
          <cell r="P40">
            <v>524537</v>
          </cell>
          <cell r="AC40">
            <v>265884.35</v>
          </cell>
          <cell r="AD40">
            <v>790421.35</v>
          </cell>
          <cell r="AE40">
            <v>80000</v>
          </cell>
          <cell r="AF40">
            <v>365</v>
          </cell>
          <cell r="AH40">
            <v>29200000</v>
          </cell>
          <cell r="AI40">
            <v>0.14252801749384983</v>
          </cell>
          <cell r="AJ40">
            <v>101391.46920028116</v>
          </cell>
        </row>
        <row r="41">
          <cell r="A41">
            <v>80067</v>
          </cell>
          <cell r="B41" t="str">
            <v>DC CHG</v>
          </cell>
          <cell r="C41" t="str">
            <v>FIX</v>
          </cell>
          <cell r="D41">
            <v>0</v>
          </cell>
          <cell r="E41">
            <v>0</v>
          </cell>
          <cell r="F41">
            <v>0</v>
          </cell>
          <cell r="G41">
            <v>91717</v>
          </cell>
          <cell r="J41">
            <v>354750</v>
          </cell>
          <cell r="M41">
            <v>78070</v>
          </cell>
          <cell r="P41">
            <v>524537</v>
          </cell>
          <cell r="AC41">
            <v>265884.35</v>
          </cell>
          <cell r="AD41">
            <v>790421.35</v>
          </cell>
          <cell r="AE41">
            <v>80000</v>
          </cell>
          <cell r="AF41">
            <v>365</v>
          </cell>
          <cell r="AH41">
            <v>29200000</v>
          </cell>
          <cell r="AI41">
            <v>0.14252801749384983</v>
          </cell>
          <cell r="AJ41">
            <v>101391.46920028116</v>
          </cell>
        </row>
        <row r="42">
          <cell r="A42">
            <v>80068</v>
          </cell>
          <cell r="B42" t="str">
            <v>DC CHG</v>
          </cell>
          <cell r="C42" t="str">
            <v>FIX</v>
          </cell>
          <cell r="D42">
            <v>0</v>
          </cell>
          <cell r="E42">
            <v>0</v>
          </cell>
          <cell r="F42">
            <v>0</v>
          </cell>
          <cell r="G42">
            <v>91717</v>
          </cell>
          <cell r="J42">
            <v>354750</v>
          </cell>
          <cell r="M42">
            <v>78070</v>
          </cell>
          <cell r="P42">
            <v>524537</v>
          </cell>
          <cell r="AC42">
            <v>265884.35</v>
          </cell>
          <cell r="AD42">
            <v>790421.35</v>
          </cell>
          <cell r="AE42">
            <v>80000</v>
          </cell>
          <cell r="AF42">
            <v>365</v>
          </cell>
          <cell r="AH42">
            <v>29200000</v>
          </cell>
          <cell r="AI42">
            <v>0.14252801749384983</v>
          </cell>
          <cell r="AJ42">
            <v>101391.46920028116</v>
          </cell>
        </row>
        <row r="43">
          <cell r="A43">
            <v>125001</v>
          </cell>
          <cell r="B43" t="str">
            <v>DC CHG</v>
          </cell>
          <cell r="C43" t="str">
            <v>FIX</v>
          </cell>
          <cell r="D43">
            <v>0</v>
          </cell>
          <cell r="E43" t="e">
            <v>#REF!</v>
          </cell>
          <cell r="F43" t="e">
            <v>#REF!</v>
          </cell>
          <cell r="G43">
            <v>91717</v>
          </cell>
          <cell r="J43">
            <v>354750</v>
          </cell>
          <cell r="M43">
            <v>78070</v>
          </cell>
          <cell r="P43">
            <v>524537</v>
          </cell>
          <cell r="AC43">
            <v>265884.35</v>
          </cell>
          <cell r="AD43">
            <v>790421.35</v>
          </cell>
          <cell r="AE43">
            <v>125000</v>
          </cell>
          <cell r="AF43">
            <v>212</v>
          </cell>
          <cell r="AH43">
            <v>26500000</v>
          </cell>
          <cell r="AI43">
            <v>0.12934905697215823</v>
          </cell>
          <cell r="AJ43">
            <v>92016.2306098442</v>
          </cell>
        </row>
        <row r="44">
          <cell r="A44">
            <v>13502</v>
          </cell>
          <cell r="B44" t="str">
            <v>DC LT GAS</v>
          </cell>
          <cell r="C44" t="str">
            <v>EXT</v>
          </cell>
          <cell r="D44">
            <v>26506</v>
          </cell>
          <cell r="G44">
            <v>18714</v>
          </cell>
          <cell r="J44">
            <v>9866</v>
          </cell>
          <cell r="M44">
            <v>10992</v>
          </cell>
          <cell r="P44">
            <v>66078</v>
          </cell>
          <cell r="AC44">
            <v>0</v>
          </cell>
          <cell r="AD44">
            <v>66078</v>
          </cell>
          <cell r="AE44">
            <v>13000</v>
          </cell>
          <cell r="AF44">
            <v>365</v>
          </cell>
          <cell r="AH44">
            <v>4745000</v>
          </cell>
          <cell r="AI44">
            <v>0.12264150943396226</v>
          </cell>
          <cell r="AJ44">
            <v>7293.515094339623</v>
          </cell>
        </row>
        <row r="45">
          <cell r="A45">
            <v>13503</v>
          </cell>
          <cell r="B45" t="str">
            <v>DC LT GAS</v>
          </cell>
          <cell r="C45" t="str">
            <v>EXT</v>
          </cell>
          <cell r="D45">
            <v>26506</v>
          </cell>
          <cell r="G45">
            <v>18714</v>
          </cell>
          <cell r="J45">
            <v>9866</v>
          </cell>
          <cell r="M45">
            <v>10992</v>
          </cell>
          <cell r="P45">
            <v>66078</v>
          </cell>
          <cell r="AC45">
            <v>0</v>
          </cell>
          <cell r="AD45">
            <v>66078</v>
          </cell>
          <cell r="AE45">
            <v>13000</v>
          </cell>
          <cell r="AF45">
            <v>365</v>
          </cell>
          <cell r="AH45">
            <v>4745000</v>
          </cell>
          <cell r="AI45">
            <v>0.12264150943396226</v>
          </cell>
          <cell r="AJ45">
            <v>7293.515094339623</v>
          </cell>
        </row>
        <row r="46">
          <cell r="A46">
            <v>80211</v>
          </cell>
          <cell r="B46" t="str">
            <v>DC LT GAS</v>
          </cell>
          <cell r="C46" t="str">
            <v>EXT</v>
          </cell>
          <cell r="D46">
            <v>26506</v>
          </cell>
          <cell r="G46">
            <v>18714</v>
          </cell>
          <cell r="J46">
            <v>9866</v>
          </cell>
          <cell r="M46">
            <v>10992</v>
          </cell>
          <cell r="P46">
            <v>66078</v>
          </cell>
          <cell r="AC46">
            <v>0</v>
          </cell>
          <cell r="AD46">
            <v>66078</v>
          </cell>
          <cell r="AE46">
            <v>80000</v>
          </cell>
          <cell r="AF46">
            <v>365</v>
          </cell>
          <cell r="AH46">
            <v>29200000</v>
          </cell>
          <cell r="AI46">
            <v>0.7547169811320755</v>
          </cell>
          <cell r="AJ46">
            <v>44883.16981132076</v>
          </cell>
        </row>
        <row r="47">
          <cell r="A47">
            <v>80058</v>
          </cell>
          <cell r="B47" t="str">
            <v>DCU HVGO</v>
          </cell>
          <cell r="C47" t="str">
            <v>FIX</v>
          </cell>
          <cell r="D47">
            <v>0</v>
          </cell>
          <cell r="G47">
            <v>2756</v>
          </cell>
          <cell r="J47">
            <v>102097</v>
          </cell>
          <cell r="M47">
            <v>0</v>
          </cell>
          <cell r="P47">
            <v>104853</v>
          </cell>
          <cell r="AC47">
            <v>311347.33</v>
          </cell>
          <cell r="AD47">
            <v>416200.33</v>
          </cell>
          <cell r="AE47">
            <v>80000</v>
          </cell>
          <cell r="AF47">
            <v>365</v>
          </cell>
          <cell r="AH47">
            <v>29200000</v>
          </cell>
          <cell r="AI47">
            <v>1</v>
          </cell>
          <cell r="AJ47">
            <v>1450420</v>
          </cell>
        </row>
        <row r="48">
          <cell r="A48">
            <v>80037</v>
          </cell>
          <cell r="B48" t="str">
            <v>DGO/FCCU</v>
          </cell>
          <cell r="C48" t="str">
            <v>FIX</v>
          </cell>
          <cell r="D48">
            <v>5275</v>
          </cell>
          <cell r="G48">
            <v>0</v>
          </cell>
          <cell r="J48">
            <v>0</v>
          </cell>
          <cell r="M48">
            <v>0</v>
          </cell>
          <cell r="P48">
            <v>5275</v>
          </cell>
          <cell r="AC48">
            <v>1877051.47</v>
          </cell>
          <cell r="AD48">
            <v>1882326.47</v>
          </cell>
          <cell r="AE48">
            <v>80000</v>
          </cell>
          <cell r="AF48">
            <v>365</v>
          </cell>
          <cell r="AH48">
            <v>29200000</v>
          </cell>
          <cell r="AI48">
            <v>0.28776978417266186</v>
          </cell>
          <cell r="AJ48">
            <v>487509.01381294965</v>
          </cell>
        </row>
        <row r="49">
          <cell r="A49">
            <v>80092</v>
          </cell>
          <cell r="B49" t="str">
            <v>DGO/FCCU</v>
          </cell>
          <cell r="C49" t="str">
            <v>FIX</v>
          </cell>
          <cell r="D49">
            <v>0</v>
          </cell>
          <cell r="E49">
            <v>0</v>
          </cell>
          <cell r="F49">
            <v>0</v>
          </cell>
          <cell r="G49">
            <v>2756</v>
          </cell>
          <cell r="J49">
            <v>0</v>
          </cell>
          <cell r="M49">
            <v>0</v>
          </cell>
          <cell r="P49">
            <v>2756</v>
          </cell>
          <cell r="AC49">
            <v>311347.33</v>
          </cell>
          <cell r="AD49">
            <v>314103.33</v>
          </cell>
          <cell r="AE49">
            <v>80000</v>
          </cell>
          <cell r="AF49">
            <v>365</v>
          </cell>
          <cell r="AH49">
            <v>29200000</v>
          </cell>
          <cell r="AI49">
            <v>0.28776978417266186</v>
          </cell>
          <cell r="AJ49">
            <v>81350.50273381296</v>
          </cell>
        </row>
        <row r="50">
          <cell r="A50">
            <v>118066</v>
          </cell>
          <cell r="B50" t="str">
            <v>DGO/FCCU</v>
          </cell>
          <cell r="C50" t="str">
            <v>FIX</v>
          </cell>
          <cell r="D50">
            <v>5275</v>
          </cell>
          <cell r="E50">
            <v>0</v>
          </cell>
          <cell r="F50">
            <v>0</v>
          </cell>
          <cell r="G50">
            <v>0</v>
          </cell>
          <cell r="J50">
            <v>0</v>
          </cell>
          <cell r="M50">
            <v>0</v>
          </cell>
          <cell r="P50">
            <v>5275</v>
          </cell>
          <cell r="AC50">
            <v>1877051.47</v>
          </cell>
          <cell r="AD50">
            <v>1882326.47</v>
          </cell>
          <cell r="AE50">
            <v>118000</v>
          </cell>
          <cell r="AF50">
            <v>365</v>
          </cell>
          <cell r="AH50">
            <v>43070000</v>
          </cell>
          <cell r="AI50">
            <v>0.4244604316546763</v>
          </cell>
          <cell r="AJ50">
            <v>719075.7953741008</v>
          </cell>
        </row>
        <row r="51">
          <cell r="A51">
            <v>80090</v>
          </cell>
          <cell r="B51" t="str">
            <v>FC HCGO</v>
          </cell>
          <cell r="C51" t="str">
            <v>FIX</v>
          </cell>
          <cell r="D51">
            <v>155306</v>
          </cell>
          <cell r="G51">
            <v>134369</v>
          </cell>
          <cell r="J51">
            <v>192083</v>
          </cell>
          <cell r="M51">
            <v>203809</v>
          </cell>
          <cell r="P51">
            <v>685567</v>
          </cell>
          <cell r="AC51">
            <v>0</v>
          </cell>
          <cell r="AD51">
            <v>685567</v>
          </cell>
          <cell r="AE51">
            <v>80000</v>
          </cell>
          <cell r="AF51">
            <v>365</v>
          </cell>
          <cell r="AH51">
            <v>29200000</v>
          </cell>
          <cell r="AI51">
            <v>0.5</v>
          </cell>
          <cell r="AJ51">
            <v>308505.15</v>
          </cell>
        </row>
        <row r="52">
          <cell r="A52">
            <v>80089</v>
          </cell>
          <cell r="B52" t="str">
            <v>FC HCGO</v>
          </cell>
          <cell r="C52" t="str">
            <v>FIX</v>
          </cell>
          <cell r="D52">
            <v>155306</v>
          </cell>
          <cell r="G52">
            <v>134369</v>
          </cell>
          <cell r="J52">
            <v>192083</v>
          </cell>
          <cell r="M52">
            <v>203809</v>
          </cell>
          <cell r="P52">
            <v>806193</v>
          </cell>
          <cell r="AC52">
            <v>0</v>
          </cell>
          <cell r="AD52">
            <v>806193</v>
          </cell>
          <cell r="AE52">
            <v>80000</v>
          </cell>
          <cell r="AF52">
            <v>365</v>
          </cell>
          <cell r="AH52">
            <v>29200000</v>
          </cell>
          <cell r="AI52">
            <v>0.5</v>
          </cell>
          <cell r="AJ52">
            <v>362786.85000000003</v>
          </cell>
        </row>
        <row r="53">
          <cell r="A53">
            <v>80217</v>
          </cell>
          <cell r="B53" t="str">
            <v>FC HVY GAS</v>
          </cell>
          <cell r="C53" t="str">
            <v>EXT</v>
          </cell>
          <cell r="D53">
            <v>28125</v>
          </cell>
          <cell r="G53">
            <v>7761</v>
          </cell>
          <cell r="J53">
            <v>35747</v>
          </cell>
          <cell r="M53">
            <v>18632</v>
          </cell>
          <cell r="P53">
            <v>90265</v>
          </cell>
          <cell r="AC53">
            <v>4989.07</v>
          </cell>
          <cell r="AD53">
            <v>95254.07</v>
          </cell>
          <cell r="AE53">
            <v>80000</v>
          </cell>
          <cell r="AF53">
            <v>365</v>
          </cell>
          <cell r="AH53">
            <v>29200000</v>
          </cell>
          <cell r="AI53">
            <v>1</v>
          </cell>
          <cell r="AJ53">
            <v>85728.66300000002</v>
          </cell>
        </row>
        <row r="54">
          <cell r="A54">
            <v>13516</v>
          </cell>
          <cell r="B54" t="str">
            <v>FC LCGO</v>
          </cell>
          <cell r="C54" t="str">
            <v>FIX</v>
          </cell>
          <cell r="D54">
            <v>3060</v>
          </cell>
          <cell r="G54">
            <v>47118</v>
          </cell>
          <cell r="J54">
            <v>6051</v>
          </cell>
          <cell r="M54">
            <v>20781</v>
          </cell>
          <cell r="P54">
            <v>77010</v>
          </cell>
          <cell r="AC54">
            <v>109990.97</v>
          </cell>
          <cell r="AD54">
            <v>187000.97</v>
          </cell>
          <cell r="AE54">
            <v>13000</v>
          </cell>
          <cell r="AF54">
            <v>365</v>
          </cell>
          <cell r="AH54">
            <v>4745000</v>
          </cell>
          <cell r="AI54">
            <v>0.06989247311827956</v>
          </cell>
          <cell r="AJ54">
            <v>11762.964241935484</v>
          </cell>
        </row>
        <row r="55">
          <cell r="A55">
            <v>13527</v>
          </cell>
          <cell r="B55" t="str">
            <v>FC LCGO</v>
          </cell>
          <cell r="C55" t="str">
            <v>FIX</v>
          </cell>
          <cell r="D55">
            <v>3060</v>
          </cell>
          <cell r="E55">
            <v>0</v>
          </cell>
          <cell r="F55">
            <v>0</v>
          </cell>
          <cell r="G55">
            <v>47118</v>
          </cell>
          <cell r="J55">
            <v>6051</v>
          </cell>
          <cell r="M55">
            <v>20781</v>
          </cell>
          <cell r="P55">
            <v>77010</v>
          </cell>
          <cell r="AC55">
            <v>109990.97</v>
          </cell>
          <cell r="AD55">
            <v>187000.97</v>
          </cell>
          <cell r="AE55">
            <v>13000</v>
          </cell>
          <cell r="AF55">
            <v>365</v>
          </cell>
          <cell r="AH55">
            <v>4745000</v>
          </cell>
          <cell r="AI55">
            <v>0.06989247311827956</v>
          </cell>
          <cell r="AJ55">
            <v>11762.964241935484</v>
          </cell>
        </row>
        <row r="56">
          <cell r="A56">
            <v>80036</v>
          </cell>
          <cell r="B56" t="str">
            <v>FC LCGO</v>
          </cell>
          <cell r="C56" t="str">
            <v>FIX</v>
          </cell>
          <cell r="D56">
            <v>3060</v>
          </cell>
          <cell r="E56" t="e">
            <v>#REF!</v>
          </cell>
          <cell r="F56" t="e">
            <v>#REF!</v>
          </cell>
          <cell r="G56">
            <v>47118</v>
          </cell>
          <cell r="J56">
            <v>6051</v>
          </cell>
          <cell r="M56">
            <v>20781</v>
          </cell>
          <cell r="P56">
            <v>77010</v>
          </cell>
          <cell r="AC56">
            <v>109990.97</v>
          </cell>
          <cell r="AD56">
            <v>187000.97</v>
          </cell>
          <cell r="AE56">
            <v>80000</v>
          </cell>
          <cell r="AF56">
            <v>365</v>
          </cell>
          <cell r="AH56">
            <v>29200000</v>
          </cell>
          <cell r="AI56">
            <v>0.43010752688172044</v>
          </cell>
          <cell r="AJ56">
            <v>72387.47225806452</v>
          </cell>
        </row>
        <row r="57">
          <cell r="A57">
            <v>80091</v>
          </cell>
          <cell r="B57" t="str">
            <v>FC LCGO</v>
          </cell>
          <cell r="C57" t="str">
            <v>FIX</v>
          </cell>
          <cell r="D57">
            <v>3060</v>
          </cell>
          <cell r="E57" t="e">
            <v>#REF!</v>
          </cell>
          <cell r="F57" t="e">
            <v>#REF!</v>
          </cell>
          <cell r="G57">
            <v>47118</v>
          </cell>
          <cell r="J57">
            <v>6051</v>
          </cell>
          <cell r="M57">
            <v>20781</v>
          </cell>
          <cell r="P57">
            <v>77010</v>
          </cell>
          <cell r="AC57">
            <v>109990.97</v>
          </cell>
          <cell r="AD57">
            <v>187000.97</v>
          </cell>
          <cell r="AE57">
            <v>80000</v>
          </cell>
          <cell r="AF57">
            <v>365</v>
          </cell>
          <cell r="AH57">
            <v>29200000</v>
          </cell>
          <cell r="AI57">
            <v>0.43010752688172044</v>
          </cell>
          <cell r="AJ57">
            <v>72387.47225806452</v>
          </cell>
        </row>
        <row r="58">
          <cell r="A58">
            <v>80215</v>
          </cell>
          <cell r="B58" t="str">
            <v>FC LT GAS</v>
          </cell>
          <cell r="C58" t="str">
            <v>EXT</v>
          </cell>
          <cell r="D58">
            <v>41017</v>
          </cell>
          <cell r="G58">
            <v>16994</v>
          </cell>
          <cell r="J58">
            <v>18079</v>
          </cell>
          <cell r="M58">
            <v>18544</v>
          </cell>
          <cell r="P58">
            <v>94634</v>
          </cell>
          <cell r="AC58">
            <v>0</v>
          </cell>
          <cell r="AD58">
            <v>94634</v>
          </cell>
          <cell r="AE58">
            <v>80000</v>
          </cell>
          <cell r="AF58">
            <v>365</v>
          </cell>
          <cell r="AH58">
            <v>29200000</v>
          </cell>
          <cell r="AI58">
            <v>1</v>
          </cell>
          <cell r="AJ58">
            <v>85170.6</v>
          </cell>
        </row>
        <row r="59">
          <cell r="A59">
            <v>80082</v>
          </cell>
          <cell r="B59" t="str">
            <v>HARV BLEND</v>
          </cell>
          <cell r="C59" t="str">
            <v>FIX</v>
          </cell>
          <cell r="D59">
            <v>0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AC59">
            <v>6485892.66</v>
          </cell>
          <cell r="AD59">
            <v>6485892.66</v>
          </cell>
          <cell r="AE59">
            <v>80000</v>
          </cell>
          <cell r="AF59">
            <v>365</v>
          </cell>
          <cell r="AH59">
            <v>29200000</v>
          </cell>
          <cell r="AI59">
            <v>0.2807017543859649</v>
          </cell>
          <cell r="AJ59">
            <v>3836459</v>
          </cell>
        </row>
        <row r="60">
          <cell r="A60">
            <v>80079</v>
          </cell>
          <cell r="B60" t="str">
            <v>HARV BLEND</v>
          </cell>
          <cell r="C60" t="str">
            <v>FIX</v>
          </cell>
          <cell r="D60">
            <v>0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AC60">
            <v>6485892.66</v>
          </cell>
          <cell r="AD60">
            <v>6485892.66</v>
          </cell>
          <cell r="AE60">
            <v>80000</v>
          </cell>
          <cell r="AF60">
            <v>365</v>
          </cell>
          <cell r="AH60">
            <v>29200000</v>
          </cell>
          <cell r="AI60">
            <v>0.2807017543859649</v>
          </cell>
          <cell r="AJ60">
            <v>1638541.3035789474</v>
          </cell>
        </row>
        <row r="61">
          <cell r="A61">
            <v>125000</v>
          </cell>
          <cell r="B61" t="str">
            <v>HARV BLEND</v>
          </cell>
          <cell r="C61" t="str">
            <v>FIX</v>
          </cell>
          <cell r="D61">
            <v>0</v>
          </cell>
          <cell r="G61">
            <v>0</v>
          </cell>
          <cell r="J61">
            <v>0</v>
          </cell>
          <cell r="M61">
            <v>0</v>
          </cell>
          <cell r="P61">
            <v>0</v>
          </cell>
          <cell r="AC61">
            <v>6485892.66</v>
          </cell>
          <cell r="AD61">
            <v>6485892.66</v>
          </cell>
          <cell r="AE61">
            <v>125000</v>
          </cell>
          <cell r="AF61">
            <v>365</v>
          </cell>
          <cell r="AH61">
            <v>45625000</v>
          </cell>
          <cell r="AI61">
            <v>0.43859649122807015</v>
          </cell>
          <cell r="AJ61">
            <v>2560220.7868421054</v>
          </cell>
        </row>
        <row r="62">
          <cell r="A62">
            <v>80035</v>
          </cell>
          <cell r="B62" t="str">
            <v>HC CHG</v>
          </cell>
          <cell r="C62" t="str">
            <v>FIX</v>
          </cell>
          <cell r="D62">
            <v>80995</v>
          </cell>
          <cell r="G62">
            <v>47479</v>
          </cell>
          <cell r="J62">
            <v>342209</v>
          </cell>
          <cell r="M62">
            <v>16034</v>
          </cell>
          <cell r="P62">
            <v>486717</v>
          </cell>
          <cell r="AD62">
            <v>486717</v>
          </cell>
          <cell r="AE62">
            <v>80000</v>
          </cell>
          <cell r="AF62">
            <v>365</v>
          </cell>
          <cell r="AH62">
            <v>29200000</v>
          </cell>
          <cell r="AI62">
            <v>1</v>
          </cell>
          <cell r="AJ62">
            <v>438045.3</v>
          </cell>
        </row>
        <row r="63">
          <cell r="A63">
            <v>80042</v>
          </cell>
          <cell r="B63" t="str">
            <v>HCN</v>
          </cell>
          <cell r="C63" t="str">
            <v>FIX</v>
          </cell>
          <cell r="D63">
            <v>7157</v>
          </cell>
          <cell r="G63">
            <v>5157</v>
          </cell>
          <cell r="J63">
            <v>101558</v>
          </cell>
          <cell r="M63">
            <v>40495</v>
          </cell>
          <cell r="P63">
            <v>154367</v>
          </cell>
          <cell r="AD63">
            <v>154367</v>
          </cell>
          <cell r="AE63">
            <v>80000</v>
          </cell>
          <cell r="AF63">
            <v>365</v>
          </cell>
          <cell r="AH63">
            <v>29200000</v>
          </cell>
          <cell r="AI63">
            <v>0.5</v>
          </cell>
          <cell r="AJ63">
            <v>1755535</v>
          </cell>
        </row>
        <row r="64">
          <cell r="A64">
            <v>80043</v>
          </cell>
          <cell r="B64" t="str">
            <v>HCN</v>
          </cell>
          <cell r="C64" t="str">
            <v>FIX</v>
          </cell>
          <cell r="D64">
            <v>7157</v>
          </cell>
          <cell r="G64">
            <v>5157</v>
          </cell>
          <cell r="J64">
            <v>101558</v>
          </cell>
          <cell r="M64">
            <v>40495</v>
          </cell>
          <cell r="P64">
            <v>154367</v>
          </cell>
          <cell r="AD64">
            <v>154367</v>
          </cell>
          <cell r="AE64">
            <v>80000</v>
          </cell>
          <cell r="AF64">
            <v>365</v>
          </cell>
          <cell r="AH64">
            <v>29200000</v>
          </cell>
          <cell r="AI64">
            <v>0.5</v>
          </cell>
          <cell r="AJ64">
            <v>69465.15000000001</v>
          </cell>
        </row>
        <row r="65">
          <cell r="A65">
            <v>80038</v>
          </cell>
          <cell r="B65" t="str">
            <v>HTU4 CHG</v>
          </cell>
          <cell r="C65" t="str">
            <v>FIX</v>
          </cell>
          <cell r="D65">
            <v>27786</v>
          </cell>
          <cell r="G65">
            <v>0</v>
          </cell>
          <cell r="J65">
            <v>83562</v>
          </cell>
          <cell r="M65">
            <v>12361</v>
          </cell>
          <cell r="P65">
            <v>123709</v>
          </cell>
          <cell r="AC65">
            <v>357635.11</v>
          </cell>
          <cell r="AD65">
            <v>481344.11</v>
          </cell>
          <cell r="AE65">
            <v>80000</v>
          </cell>
          <cell r="AF65">
            <v>365</v>
          </cell>
          <cell r="AH65">
            <v>29200000</v>
          </cell>
          <cell r="AI65">
            <v>0.3333333333333333</v>
          </cell>
          <cell r="AJ65">
            <v>144403.23299999998</v>
          </cell>
        </row>
        <row r="66">
          <cell r="A66">
            <v>80063</v>
          </cell>
          <cell r="B66" t="str">
            <v>HTU4 CHG</v>
          </cell>
          <cell r="C66" t="str">
            <v>FIX</v>
          </cell>
          <cell r="D66">
            <v>27786</v>
          </cell>
          <cell r="G66">
            <v>0</v>
          </cell>
          <cell r="J66">
            <v>83562</v>
          </cell>
          <cell r="M66">
            <v>12361</v>
          </cell>
          <cell r="P66">
            <v>137727</v>
          </cell>
          <cell r="AC66">
            <v>357635.11</v>
          </cell>
          <cell r="AD66">
            <v>495362.11</v>
          </cell>
          <cell r="AE66">
            <v>80000</v>
          </cell>
          <cell r="AF66">
            <v>365</v>
          </cell>
          <cell r="AH66">
            <v>29200000</v>
          </cell>
          <cell r="AI66">
            <v>0.3333333333333333</v>
          </cell>
          <cell r="AJ66">
            <v>148608.63299999997</v>
          </cell>
        </row>
        <row r="67">
          <cell r="A67">
            <v>80039</v>
          </cell>
          <cell r="B67" t="str">
            <v>HTU4 CHG</v>
          </cell>
          <cell r="C67" t="str">
            <v>FIX</v>
          </cell>
          <cell r="D67">
            <v>27786</v>
          </cell>
          <cell r="G67">
            <v>0</v>
          </cell>
          <cell r="J67">
            <v>83562</v>
          </cell>
          <cell r="M67">
            <v>12361</v>
          </cell>
          <cell r="P67">
            <v>123709</v>
          </cell>
          <cell r="AC67">
            <v>357635.11</v>
          </cell>
          <cell r="AD67">
            <v>481344.11</v>
          </cell>
          <cell r="AE67">
            <v>80000</v>
          </cell>
          <cell r="AF67">
            <v>365</v>
          </cell>
          <cell r="AH67">
            <v>29200000</v>
          </cell>
          <cell r="AI67">
            <v>0.3333333333333333</v>
          </cell>
          <cell r="AJ67">
            <v>144403.23299999998</v>
          </cell>
        </row>
        <row r="68">
          <cell r="A68">
            <v>11001</v>
          </cell>
          <cell r="B68" t="str">
            <v>LSD</v>
          </cell>
          <cell r="C68" t="str">
            <v>FIX</v>
          </cell>
          <cell r="D68">
            <v>765791</v>
          </cell>
          <cell r="G68">
            <v>690288</v>
          </cell>
          <cell r="J68">
            <v>372462</v>
          </cell>
          <cell r="M68">
            <v>673491</v>
          </cell>
          <cell r="P68">
            <v>2502032</v>
          </cell>
          <cell r="AD68">
            <v>2502032</v>
          </cell>
          <cell r="AE68">
            <v>11000</v>
          </cell>
          <cell r="AF68">
            <v>365</v>
          </cell>
          <cell r="AH68">
            <v>4015000</v>
          </cell>
          <cell r="AI68">
            <v>0.10476190476190476</v>
          </cell>
          <cell r="AJ68">
            <v>235905.8742857143</v>
          </cell>
        </row>
        <row r="69">
          <cell r="A69">
            <v>14000</v>
          </cell>
          <cell r="B69" t="str">
            <v>LSD</v>
          </cell>
          <cell r="C69" t="str">
            <v>FIX</v>
          </cell>
          <cell r="D69">
            <v>765791</v>
          </cell>
          <cell r="G69">
            <v>690288</v>
          </cell>
          <cell r="J69">
            <v>372462</v>
          </cell>
          <cell r="M69">
            <v>673491</v>
          </cell>
          <cell r="P69">
            <v>2502032</v>
          </cell>
          <cell r="AD69">
            <v>2502032</v>
          </cell>
          <cell r="AE69">
            <v>14000</v>
          </cell>
          <cell r="AF69">
            <v>365</v>
          </cell>
          <cell r="AH69">
            <v>5110000</v>
          </cell>
          <cell r="AI69">
            <v>0.13333333333333333</v>
          </cell>
          <cell r="AJ69">
            <v>300243.84</v>
          </cell>
        </row>
        <row r="70">
          <cell r="A70">
            <v>80070</v>
          </cell>
          <cell r="B70" t="str">
            <v>LSD</v>
          </cell>
          <cell r="C70" t="str">
            <v>FIX</v>
          </cell>
          <cell r="D70">
            <v>765791</v>
          </cell>
          <cell r="G70">
            <v>690288</v>
          </cell>
          <cell r="J70">
            <v>372462</v>
          </cell>
          <cell r="M70">
            <v>673491</v>
          </cell>
          <cell r="P70">
            <v>2502032</v>
          </cell>
          <cell r="AD70">
            <v>2502032</v>
          </cell>
          <cell r="AE70">
            <v>80000</v>
          </cell>
          <cell r="AF70">
            <v>365</v>
          </cell>
          <cell r="AH70">
            <v>29200000</v>
          </cell>
          <cell r="AI70">
            <v>0.7619047619047619</v>
          </cell>
          <cell r="AJ70">
            <v>1715679.0857142857</v>
          </cell>
        </row>
        <row r="71">
          <cell r="A71">
            <v>280</v>
          </cell>
          <cell r="B71" t="str">
            <v>METHANOL</v>
          </cell>
          <cell r="C71" t="str">
            <v>FIX</v>
          </cell>
          <cell r="D71">
            <v>0</v>
          </cell>
          <cell r="G71">
            <v>0</v>
          </cell>
          <cell r="J71">
            <v>0</v>
          </cell>
          <cell r="M71">
            <v>0</v>
          </cell>
          <cell r="P71">
            <v>0</v>
          </cell>
          <cell r="AD71">
            <v>0</v>
          </cell>
          <cell r="AF71">
            <v>365</v>
          </cell>
          <cell r="AH71">
            <v>0</v>
          </cell>
          <cell r="AI71">
            <v>1</v>
          </cell>
          <cell r="AJ71">
            <v>2800</v>
          </cell>
        </row>
        <row r="72">
          <cell r="A72">
            <v>1713</v>
          </cell>
          <cell r="B72" t="str">
            <v>METHANOL</v>
          </cell>
          <cell r="C72" t="str">
            <v>FIX</v>
          </cell>
          <cell r="D72">
            <v>0</v>
          </cell>
          <cell r="G72">
            <v>0</v>
          </cell>
          <cell r="J72">
            <v>0</v>
          </cell>
          <cell r="M72">
            <v>0</v>
          </cell>
          <cell r="P72">
            <v>0</v>
          </cell>
          <cell r="AD72">
            <v>0</v>
          </cell>
          <cell r="AF72">
            <v>365</v>
          </cell>
          <cell r="AH72">
            <v>0</v>
          </cell>
          <cell r="AI72">
            <v>1</v>
          </cell>
          <cell r="AJ72">
            <v>17000</v>
          </cell>
        </row>
        <row r="73">
          <cell r="A73">
            <v>80212</v>
          </cell>
          <cell r="B73" t="str">
            <v>MTBE</v>
          </cell>
          <cell r="C73" t="str">
            <v>EXT</v>
          </cell>
          <cell r="D73">
            <v>0</v>
          </cell>
          <cell r="G73">
            <v>0</v>
          </cell>
          <cell r="J73">
            <v>0</v>
          </cell>
          <cell r="M73">
            <v>0</v>
          </cell>
          <cell r="P73">
            <v>0</v>
          </cell>
          <cell r="AC73">
            <v>1202861.64</v>
          </cell>
          <cell r="AD73">
            <v>1202861.64</v>
          </cell>
          <cell r="AE73">
            <v>80000</v>
          </cell>
          <cell r="AF73">
            <v>365</v>
          </cell>
          <cell r="AH73">
            <v>29200000</v>
          </cell>
          <cell r="AI73">
            <v>0.6042421107087429</v>
          </cell>
          <cell r="AJ73">
            <v>654137.6906197619</v>
          </cell>
        </row>
        <row r="74">
          <cell r="A74">
            <v>125004</v>
          </cell>
          <cell r="B74" t="str">
            <v>MTBE</v>
          </cell>
          <cell r="C74" t="str">
            <v>EXT</v>
          </cell>
          <cell r="D74">
            <v>0</v>
          </cell>
          <cell r="G74">
            <v>0</v>
          </cell>
          <cell r="J74">
            <v>0</v>
          </cell>
          <cell r="M74">
            <v>0</v>
          </cell>
          <cell r="P74">
            <v>0</v>
          </cell>
          <cell r="AC74">
            <v>1202861.64</v>
          </cell>
          <cell r="AD74">
            <v>1202861.64</v>
          </cell>
          <cell r="AE74">
            <v>125000</v>
          </cell>
          <cell r="AF74">
            <v>153</v>
          </cell>
          <cell r="AH74">
            <v>19125000</v>
          </cell>
          <cell r="AI74">
            <v>0.3957578892912571</v>
          </cell>
          <cell r="AJ74">
            <v>3221562</v>
          </cell>
        </row>
        <row r="75">
          <cell r="A75">
            <v>1711</v>
          </cell>
          <cell r="B75" t="str">
            <v>ENIC</v>
          </cell>
          <cell r="C75" t="str">
            <v>FIX</v>
          </cell>
          <cell r="D75">
            <v>0</v>
          </cell>
          <cell r="G75">
            <v>0</v>
          </cell>
          <cell r="J75">
            <v>0</v>
          </cell>
          <cell r="M75">
            <v>0</v>
          </cell>
          <cell r="P75">
            <v>0</v>
          </cell>
          <cell r="AD75">
            <v>0</v>
          </cell>
          <cell r="AE75">
            <v>1700</v>
          </cell>
          <cell r="AF75">
            <v>0</v>
          </cell>
          <cell r="AH75">
            <v>0</v>
          </cell>
          <cell r="AI75">
            <v>1</v>
          </cell>
          <cell r="AJ75">
            <v>0</v>
          </cell>
        </row>
        <row r="76">
          <cell r="A76">
            <v>20426</v>
          </cell>
          <cell r="B76" t="str">
            <v>SOUR WATER</v>
          </cell>
          <cell r="C76" t="str">
            <v>FIX</v>
          </cell>
          <cell r="AE76">
            <v>20000</v>
          </cell>
          <cell r="AF76">
            <v>365</v>
          </cell>
          <cell r="AH76">
            <v>7300000</v>
          </cell>
          <cell r="AI76">
            <v>0.13793103448275862</v>
          </cell>
          <cell r="AJ76">
            <v>200000</v>
          </cell>
        </row>
        <row r="77">
          <cell r="A77">
            <v>25013</v>
          </cell>
          <cell r="B77" t="str">
            <v>SOUR WATER</v>
          </cell>
          <cell r="C77" t="str">
            <v>FIX</v>
          </cell>
          <cell r="AE77">
            <v>25000</v>
          </cell>
          <cell r="AF77">
            <v>365</v>
          </cell>
          <cell r="AH77">
            <v>9125000</v>
          </cell>
          <cell r="AI77">
            <v>0.1724137931034483</v>
          </cell>
          <cell r="AJ77">
            <v>250000</v>
          </cell>
        </row>
        <row r="78">
          <cell r="A78">
            <v>25014</v>
          </cell>
          <cell r="B78" t="str">
            <v>SOUR WATER</v>
          </cell>
          <cell r="C78" t="str">
            <v>FIX</v>
          </cell>
          <cell r="AE78">
            <v>25000</v>
          </cell>
          <cell r="AF78">
            <v>365</v>
          </cell>
          <cell r="AH78">
            <v>9125000</v>
          </cell>
          <cell r="AI78">
            <v>0.1724137931034483</v>
          </cell>
          <cell r="AJ78">
            <v>250000</v>
          </cell>
        </row>
        <row r="79">
          <cell r="A79">
            <v>25015</v>
          </cell>
          <cell r="B79" t="str">
            <v>SOUR WATER</v>
          </cell>
          <cell r="C79" t="str">
            <v>FIX</v>
          </cell>
          <cell r="AE79">
            <v>25000</v>
          </cell>
          <cell r="AF79">
            <v>365</v>
          </cell>
          <cell r="AH79">
            <v>9125000</v>
          </cell>
          <cell r="AI79">
            <v>0.1724137931034483</v>
          </cell>
          <cell r="AJ79">
            <v>250000</v>
          </cell>
        </row>
        <row r="80">
          <cell r="A80">
            <v>25017</v>
          </cell>
          <cell r="B80" t="str">
            <v>SOUR WATER</v>
          </cell>
          <cell r="C80" t="str">
            <v>FIX</v>
          </cell>
          <cell r="AE80">
            <v>25000</v>
          </cell>
          <cell r="AF80">
            <v>365</v>
          </cell>
          <cell r="AH80">
            <v>9125000</v>
          </cell>
          <cell r="AI80">
            <v>0.1724137931034483</v>
          </cell>
          <cell r="AJ80">
            <v>250000</v>
          </cell>
        </row>
        <row r="81">
          <cell r="A81">
            <v>25018</v>
          </cell>
          <cell r="B81" t="str">
            <v>SOUR WATER</v>
          </cell>
          <cell r="C81" t="str">
            <v>FIX</v>
          </cell>
          <cell r="AE81">
            <v>25000</v>
          </cell>
          <cell r="AF81">
            <v>365</v>
          </cell>
          <cell r="AH81">
            <v>9125000</v>
          </cell>
          <cell r="AI81">
            <v>0.1724137931034483</v>
          </cell>
          <cell r="AJ81">
            <v>250000</v>
          </cell>
        </row>
        <row r="82">
          <cell r="A82">
            <v>13513</v>
          </cell>
          <cell r="B82" t="str">
            <v>SLOP DCU</v>
          </cell>
          <cell r="C82" t="str">
            <v>FIX</v>
          </cell>
          <cell r="D82">
            <v>25451</v>
          </cell>
          <cell r="G82">
            <v>36904</v>
          </cell>
          <cell r="J82">
            <v>126899</v>
          </cell>
          <cell r="M82">
            <v>90277</v>
          </cell>
          <cell r="P82">
            <v>279531</v>
          </cell>
          <cell r="AC82">
            <v>20759.33</v>
          </cell>
          <cell r="AD82">
            <v>300290.33</v>
          </cell>
          <cell r="AE82">
            <v>13000</v>
          </cell>
          <cell r="AF82">
            <v>365</v>
          </cell>
          <cell r="AH82">
            <v>4745000</v>
          </cell>
          <cell r="AI82">
            <v>0.026476578411405296</v>
          </cell>
          <cell r="AJ82">
            <v>7155.594421588596</v>
          </cell>
        </row>
        <row r="83">
          <cell r="A83">
            <v>13515</v>
          </cell>
          <cell r="B83" t="str">
            <v>SLOP DCU</v>
          </cell>
          <cell r="C83" t="str">
            <v>FIX</v>
          </cell>
          <cell r="D83">
            <v>25451</v>
          </cell>
          <cell r="G83">
            <v>36904</v>
          </cell>
          <cell r="J83">
            <v>126899</v>
          </cell>
          <cell r="M83">
            <v>90277</v>
          </cell>
          <cell r="P83">
            <v>279531</v>
          </cell>
          <cell r="AC83">
            <v>20759.33</v>
          </cell>
          <cell r="AD83">
            <v>300290.33</v>
          </cell>
          <cell r="AE83">
            <v>13000</v>
          </cell>
          <cell r="AF83">
            <v>365</v>
          </cell>
          <cell r="AH83">
            <v>4745000</v>
          </cell>
          <cell r="AI83">
            <v>0.026476578411405296</v>
          </cell>
          <cell r="AJ83">
            <v>7155.594421588596</v>
          </cell>
        </row>
        <row r="84">
          <cell r="A84">
            <v>13528</v>
          </cell>
          <cell r="B84" t="str">
            <v>SLOP DCU</v>
          </cell>
          <cell r="C84" t="str">
            <v>FIX</v>
          </cell>
          <cell r="D84">
            <v>25451</v>
          </cell>
          <cell r="G84">
            <v>36904</v>
          </cell>
          <cell r="J84">
            <v>126899</v>
          </cell>
          <cell r="M84">
            <v>90277</v>
          </cell>
          <cell r="P84">
            <v>279531</v>
          </cell>
          <cell r="AC84">
            <v>20759.33</v>
          </cell>
          <cell r="AD84">
            <v>300290.33</v>
          </cell>
          <cell r="AE84">
            <v>13000</v>
          </cell>
          <cell r="AF84">
            <v>365</v>
          </cell>
          <cell r="AH84">
            <v>4745000</v>
          </cell>
          <cell r="AI84">
            <v>0.026476578411405296</v>
          </cell>
          <cell r="AJ84">
            <v>7155.594421588596</v>
          </cell>
        </row>
        <row r="85">
          <cell r="A85">
            <v>36002</v>
          </cell>
          <cell r="B85" t="str">
            <v>SLOP DCU</v>
          </cell>
          <cell r="C85" t="str">
            <v>FIX</v>
          </cell>
          <cell r="D85">
            <v>25451</v>
          </cell>
          <cell r="G85">
            <v>36904</v>
          </cell>
          <cell r="J85">
            <v>126899</v>
          </cell>
          <cell r="M85">
            <v>90277</v>
          </cell>
          <cell r="P85">
            <v>279531</v>
          </cell>
          <cell r="AC85">
            <v>20759.33</v>
          </cell>
          <cell r="AD85">
            <v>300290.33</v>
          </cell>
          <cell r="AE85">
            <v>36000</v>
          </cell>
          <cell r="AF85">
            <v>365</v>
          </cell>
          <cell r="AH85">
            <v>13140000</v>
          </cell>
          <cell r="AI85">
            <v>0.07331975560081466</v>
          </cell>
          <cell r="AJ85">
            <v>19815.492244399185</v>
          </cell>
        </row>
        <row r="86">
          <cell r="A86">
            <v>80069</v>
          </cell>
          <cell r="B86" t="str">
            <v>SLOP DCU</v>
          </cell>
          <cell r="C86" t="str">
            <v>FIX</v>
          </cell>
          <cell r="D86">
            <v>25451</v>
          </cell>
          <cell r="G86">
            <v>36904</v>
          </cell>
          <cell r="J86">
            <v>126899</v>
          </cell>
          <cell r="M86">
            <v>90277</v>
          </cell>
          <cell r="P86">
            <v>279531</v>
          </cell>
          <cell r="AC86">
            <v>20759.33</v>
          </cell>
          <cell r="AD86">
            <v>300290.33</v>
          </cell>
          <cell r="AE86">
            <v>80000</v>
          </cell>
          <cell r="AF86">
            <v>365</v>
          </cell>
          <cell r="AH86">
            <v>29200000</v>
          </cell>
          <cell r="AI86">
            <v>0.1629327902240326</v>
          </cell>
          <cell r="AJ86">
            <v>44034.427209775975</v>
          </cell>
        </row>
        <row r="87">
          <cell r="A87">
            <v>80081</v>
          </cell>
          <cell r="B87" t="str">
            <v>SLOP DCU</v>
          </cell>
          <cell r="C87" t="str">
            <v>FIX</v>
          </cell>
          <cell r="D87">
            <v>25451</v>
          </cell>
          <cell r="G87">
            <v>36904</v>
          </cell>
          <cell r="J87">
            <v>126899</v>
          </cell>
          <cell r="M87">
            <v>90277</v>
          </cell>
          <cell r="P87">
            <v>279531</v>
          </cell>
          <cell r="AC87">
            <v>20759.33</v>
          </cell>
          <cell r="AD87">
            <v>300290.33</v>
          </cell>
          <cell r="AE87">
            <v>80000</v>
          </cell>
          <cell r="AF87">
            <v>365</v>
          </cell>
          <cell r="AH87">
            <v>29200000</v>
          </cell>
          <cell r="AI87">
            <v>0.1629327902240326</v>
          </cell>
          <cell r="AJ87">
            <v>44034.427209775975</v>
          </cell>
        </row>
        <row r="88">
          <cell r="A88">
            <v>80083</v>
          </cell>
          <cell r="B88" t="str">
            <v>SLOP DCU</v>
          </cell>
          <cell r="C88" t="str">
            <v>FIX</v>
          </cell>
          <cell r="D88">
            <v>25451</v>
          </cell>
          <cell r="G88">
            <v>36904</v>
          </cell>
          <cell r="J88">
            <v>126899</v>
          </cell>
          <cell r="M88">
            <v>90277</v>
          </cell>
          <cell r="P88">
            <v>279531</v>
          </cell>
          <cell r="AC88">
            <v>20759.33</v>
          </cell>
          <cell r="AD88">
            <v>300290.33</v>
          </cell>
          <cell r="AE88">
            <v>80000</v>
          </cell>
          <cell r="AF88">
            <v>365</v>
          </cell>
          <cell r="AH88">
            <v>29200000</v>
          </cell>
          <cell r="AI88">
            <v>0.1629327902240326</v>
          </cell>
          <cell r="AJ88">
            <v>44034.427209775975</v>
          </cell>
        </row>
        <row r="89">
          <cell r="A89">
            <v>80219</v>
          </cell>
          <cell r="B89" t="str">
            <v>SLOP DCU</v>
          </cell>
          <cell r="C89" t="str">
            <v>FIX</v>
          </cell>
          <cell r="D89">
            <v>25451</v>
          </cell>
          <cell r="G89">
            <v>36904</v>
          </cell>
          <cell r="J89">
            <v>126899</v>
          </cell>
          <cell r="M89">
            <v>90277</v>
          </cell>
          <cell r="P89">
            <v>279531</v>
          </cell>
          <cell r="AC89">
            <v>20759.33</v>
          </cell>
          <cell r="AD89">
            <v>300290.33</v>
          </cell>
          <cell r="AE89">
            <v>80000</v>
          </cell>
          <cell r="AF89">
            <v>365</v>
          </cell>
          <cell r="AH89">
            <v>29200000</v>
          </cell>
          <cell r="AI89">
            <v>0.1629327902240326</v>
          </cell>
          <cell r="AJ89">
            <v>44034.427209775975</v>
          </cell>
        </row>
        <row r="90">
          <cell r="A90">
            <v>96059</v>
          </cell>
          <cell r="B90" t="str">
            <v>SLOP DCU</v>
          </cell>
          <cell r="C90" t="str">
            <v>FIX</v>
          </cell>
          <cell r="D90">
            <v>25451</v>
          </cell>
          <cell r="G90">
            <v>36904</v>
          </cell>
          <cell r="J90">
            <v>126899</v>
          </cell>
          <cell r="M90">
            <v>90277</v>
          </cell>
          <cell r="P90">
            <v>279531</v>
          </cell>
          <cell r="AC90">
            <v>20759.33</v>
          </cell>
          <cell r="AD90">
            <v>300290.33</v>
          </cell>
          <cell r="AE90">
            <v>96000</v>
          </cell>
          <cell r="AF90">
            <v>365</v>
          </cell>
          <cell r="AH90">
            <v>35040000</v>
          </cell>
          <cell r="AI90">
            <v>0.1955193482688391</v>
          </cell>
          <cell r="AJ90">
            <v>52841.31265173116</v>
          </cell>
        </row>
        <row r="91">
          <cell r="A91">
            <v>122</v>
          </cell>
          <cell r="B91" t="str">
            <v>TFA Additive</v>
          </cell>
          <cell r="C91" t="str">
            <v>FIX</v>
          </cell>
          <cell r="D91">
            <v>0</v>
          </cell>
          <cell r="G91">
            <v>0</v>
          </cell>
          <cell r="J91">
            <v>0</v>
          </cell>
          <cell r="M91">
            <v>0</v>
          </cell>
          <cell r="P91">
            <v>0</v>
          </cell>
          <cell r="AD91">
            <v>0</v>
          </cell>
          <cell r="AF91">
            <v>365</v>
          </cell>
          <cell r="AH91">
            <v>0</v>
          </cell>
          <cell r="AJ91">
            <v>0</v>
          </cell>
        </row>
        <row r="92">
          <cell r="A92">
            <v>11003</v>
          </cell>
          <cell r="B92" t="str">
            <v>TOLUENE</v>
          </cell>
          <cell r="C92" t="str">
            <v>FIX</v>
          </cell>
          <cell r="D92">
            <v>0</v>
          </cell>
          <cell r="G92">
            <v>0</v>
          </cell>
          <cell r="J92">
            <v>0</v>
          </cell>
          <cell r="M92">
            <v>0</v>
          </cell>
          <cell r="P92">
            <v>0</v>
          </cell>
          <cell r="AC92">
            <v>53888.43</v>
          </cell>
          <cell r="AD92">
            <v>53888.43</v>
          </cell>
          <cell r="AE92">
            <v>11000</v>
          </cell>
          <cell r="AF92">
            <v>30</v>
          </cell>
          <cell r="AH92">
            <v>330000</v>
          </cell>
          <cell r="AI92">
            <v>0.06502463054187192</v>
          </cell>
          <cell r="AJ92">
            <v>3153.6677261083746</v>
          </cell>
        </row>
        <row r="93">
          <cell r="A93">
            <v>13511</v>
          </cell>
          <cell r="B93" t="str">
            <v>TOLUENE</v>
          </cell>
          <cell r="C93" t="str">
            <v>FIX</v>
          </cell>
          <cell r="D93">
            <v>0</v>
          </cell>
          <cell r="G93">
            <v>0</v>
          </cell>
          <cell r="J93">
            <v>0</v>
          </cell>
          <cell r="M93">
            <v>0</v>
          </cell>
          <cell r="P93">
            <v>0</v>
          </cell>
          <cell r="AC93">
            <v>53888.43</v>
          </cell>
          <cell r="AD93">
            <v>53888.43</v>
          </cell>
          <cell r="AE93">
            <v>13000</v>
          </cell>
          <cell r="AF93">
            <v>365</v>
          </cell>
          <cell r="AH93">
            <v>4745000</v>
          </cell>
          <cell r="AI93">
            <v>0.9349753694581281</v>
          </cell>
          <cell r="AJ93">
            <v>45345.91927389163</v>
          </cell>
        </row>
        <row r="94">
          <cell r="A94">
            <v>80210</v>
          </cell>
          <cell r="B94" t="str">
            <v>ULR SUB-HI</v>
          </cell>
          <cell r="C94" t="str">
            <v>EXT</v>
          </cell>
          <cell r="D94">
            <v>181432</v>
          </cell>
          <cell r="G94">
            <v>296559</v>
          </cell>
          <cell r="J94">
            <v>0</v>
          </cell>
          <cell r="M94">
            <v>0</v>
          </cell>
          <cell r="P94">
            <v>477991</v>
          </cell>
          <cell r="AC94">
            <v>0</v>
          </cell>
          <cell r="AD94">
            <v>477991</v>
          </cell>
          <cell r="AE94">
            <v>80000</v>
          </cell>
          <cell r="AF94">
            <v>365</v>
          </cell>
          <cell r="AG94">
            <v>8</v>
          </cell>
          <cell r="AH94">
            <v>640000</v>
          </cell>
          <cell r="AI94">
            <v>1</v>
          </cell>
          <cell r="AJ94">
            <v>430191.9</v>
          </cell>
        </row>
        <row r="95">
          <cell r="A95">
            <v>80050</v>
          </cell>
          <cell r="B95" t="str">
            <v>ULP RFG</v>
          </cell>
          <cell r="C95" t="str">
            <v>FIX</v>
          </cell>
          <cell r="D95">
            <v>995580</v>
          </cell>
          <cell r="G95">
            <v>546621</v>
          </cell>
          <cell r="J95">
            <v>824278</v>
          </cell>
          <cell r="M95">
            <v>1520484</v>
          </cell>
          <cell r="P95">
            <v>3886963</v>
          </cell>
          <cell r="AC95">
            <v>0</v>
          </cell>
          <cell r="AD95">
            <v>3886963</v>
          </cell>
          <cell r="AE95">
            <v>80000</v>
          </cell>
          <cell r="AF95">
            <v>365</v>
          </cell>
          <cell r="AG95">
            <v>11</v>
          </cell>
          <cell r="AH95">
            <v>880000</v>
          </cell>
          <cell r="AI95">
            <v>0.6470588235294118</v>
          </cell>
          <cell r="AJ95">
            <v>2263584.335294118</v>
          </cell>
        </row>
        <row r="96">
          <cell r="A96">
            <v>80051</v>
          </cell>
          <cell r="B96" t="str">
            <v>ULP RFG</v>
          </cell>
          <cell r="C96" t="str">
            <v>FIX</v>
          </cell>
          <cell r="D96">
            <v>995580</v>
          </cell>
          <cell r="G96">
            <v>546621</v>
          </cell>
          <cell r="J96">
            <v>824278</v>
          </cell>
          <cell r="M96">
            <v>1520484</v>
          </cell>
          <cell r="P96">
            <v>3886963</v>
          </cell>
          <cell r="AC96">
            <v>0</v>
          </cell>
          <cell r="AD96">
            <v>3886963</v>
          </cell>
          <cell r="AE96">
            <v>80000</v>
          </cell>
          <cell r="AF96">
            <v>365</v>
          </cell>
          <cell r="AG96">
            <v>6</v>
          </cell>
          <cell r="AH96">
            <v>480000</v>
          </cell>
          <cell r="AI96">
            <v>0.35294117647058826</v>
          </cell>
          <cell r="AJ96">
            <v>1234682.3647058825</v>
          </cell>
        </row>
        <row r="97">
          <cell r="A97">
            <v>80044</v>
          </cell>
          <cell r="B97" t="str">
            <v>ULR RFG</v>
          </cell>
          <cell r="C97" t="str">
            <v>FIX</v>
          </cell>
          <cell r="D97">
            <v>1623278</v>
          </cell>
          <cell r="G97">
            <v>1599498</v>
          </cell>
          <cell r="J97">
            <v>1466868</v>
          </cell>
          <cell r="M97">
            <v>763607</v>
          </cell>
          <cell r="P97">
            <v>5453251</v>
          </cell>
          <cell r="AC97">
            <v>0</v>
          </cell>
          <cell r="AD97">
            <v>5453251</v>
          </cell>
          <cell r="AE97">
            <v>80000</v>
          </cell>
          <cell r="AF97">
            <v>365</v>
          </cell>
          <cell r="AG97">
            <v>13</v>
          </cell>
          <cell r="AH97">
            <v>1040000</v>
          </cell>
          <cell r="AI97">
            <v>0.4482758620689655</v>
          </cell>
          <cell r="AJ97">
            <v>2200104.7137931036</v>
          </cell>
        </row>
        <row r="98">
          <cell r="A98">
            <v>80045</v>
          </cell>
          <cell r="B98" t="str">
            <v>ULR RFG</v>
          </cell>
          <cell r="C98" t="str">
            <v>FIX</v>
          </cell>
          <cell r="D98">
            <v>1623278</v>
          </cell>
          <cell r="G98">
            <v>1599498</v>
          </cell>
          <cell r="J98">
            <v>1466868</v>
          </cell>
          <cell r="M98">
            <v>763607</v>
          </cell>
          <cell r="P98">
            <v>5453251</v>
          </cell>
          <cell r="AC98">
            <v>0</v>
          </cell>
          <cell r="AD98">
            <v>5453251</v>
          </cell>
          <cell r="AE98">
            <v>80000</v>
          </cell>
          <cell r="AF98">
            <v>365</v>
          </cell>
          <cell r="AG98">
            <v>16</v>
          </cell>
          <cell r="AH98">
            <v>1280000</v>
          </cell>
          <cell r="AI98">
            <v>0.5517241379310345</v>
          </cell>
          <cell r="AJ98">
            <v>2707821.186206897</v>
          </cell>
        </row>
        <row r="99">
          <cell r="A99">
            <v>80057</v>
          </cell>
          <cell r="B99" t="str">
            <v>ULRRBOB</v>
          </cell>
          <cell r="C99" t="str">
            <v>FIX</v>
          </cell>
          <cell r="D99">
            <v>48352</v>
          </cell>
          <cell r="G99">
            <v>1104331</v>
          </cell>
          <cell r="J99">
            <v>178321</v>
          </cell>
          <cell r="M99">
            <v>0</v>
          </cell>
          <cell r="P99">
            <v>1331004</v>
          </cell>
          <cell r="AC99">
            <v>0</v>
          </cell>
          <cell r="AD99">
            <v>1331004</v>
          </cell>
          <cell r="AE99">
            <v>80000</v>
          </cell>
          <cell r="AF99">
            <v>365</v>
          </cell>
          <cell r="AG99">
            <v>16</v>
          </cell>
          <cell r="AH99">
            <v>1280000</v>
          </cell>
          <cell r="AI99">
            <v>0.14678899082568808</v>
          </cell>
          <cell r="AJ99">
            <v>175839.06055045873</v>
          </cell>
        </row>
        <row r="100">
          <cell r="A100">
            <v>80220</v>
          </cell>
          <cell r="B100" t="str">
            <v>ULRRBOB</v>
          </cell>
          <cell r="C100" t="str">
            <v>FIX</v>
          </cell>
          <cell r="D100">
            <v>48352</v>
          </cell>
          <cell r="G100">
            <v>1104331</v>
          </cell>
          <cell r="J100">
            <v>178321</v>
          </cell>
          <cell r="M100">
            <v>0</v>
          </cell>
          <cell r="P100">
            <v>1331004</v>
          </cell>
          <cell r="AC100">
            <v>0</v>
          </cell>
          <cell r="AD100">
            <v>1331004</v>
          </cell>
          <cell r="AE100">
            <v>80000</v>
          </cell>
          <cell r="AF100">
            <v>365</v>
          </cell>
          <cell r="AG100">
            <v>19</v>
          </cell>
          <cell r="AH100">
            <v>1520000</v>
          </cell>
          <cell r="AI100">
            <v>0.1743119266055046</v>
          </cell>
          <cell r="AJ100">
            <v>208808.88440366974</v>
          </cell>
        </row>
        <row r="101">
          <cell r="A101">
            <v>80049</v>
          </cell>
          <cell r="B101" t="str">
            <v>ULR</v>
          </cell>
          <cell r="C101" t="str">
            <v>FIX</v>
          </cell>
          <cell r="D101">
            <v>2218316</v>
          </cell>
          <cell r="G101">
            <v>1407626</v>
          </cell>
          <cell r="J101">
            <v>2534744</v>
          </cell>
          <cell r="M101">
            <v>2340583</v>
          </cell>
          <cell r="P101">
            <v>8501269</v>
          </cell>
          <cell r="AC101">
            <v>0</v>
          </cell>
          <cell r="AD101">
            <v>8501269</v>
          </cell>
          <cell r="AE101">
            <v>80000</v>
          </cell>
          <cell r="AF101">
            <v>365</v>
          </cell>
          <cell r="AG101">
            <v>16</v>
          </cell>
          <cell r="AH101">
            <v>1280000</v>
          </cell>
          <cell r="AI101">
            <v>0.35555555555555557</v>
          </cell>
          <cell r="AJ101">
            <v>2720406.08</v>
          </cell>
        </row>
        <row r="102">
          <cell r="A102">
            <v>80209</v>
          </cell>
          <cell r="B102" t="str">
            <v>ULR</v>
          </cell>
          <cell r="C102" t="str">
            <v>EXT</v>
          </cell>
          <cell r="D102">
            <v>2218316</v>
          </cell>
          <cell r="G102">
            <v>1407626</v>
          </cell>
          <cell r="J102">
            <v>2534744</v>
          </cell>
          <cell r="M102">
            <v>2340583</v>
          </cell>
          <cell r="P102">
            <v>8501269</v>
          </cell>
          <cell r="AC102">
            <v>0</v>
          </cell>
          <cell r="AD102">
            <v>8501269</v>
          </cell>
          <cell r="AE102">
            <v>80000</v>
          </cell>
          <cell r="AF102">
            <v>365</v>
          </cell>
          <cell r="AG102">
            <v>11</v>
          </cell>
          <cell r="AH102">
            <v>880000</v>
          </cell>
          <cell r="AI102">
            <v>0.24444444444444444</v>
          </cell>
          <cell r="AJ102">
            <v>1870279.18</v>
          </cell>
        </row>
        <row r="103">
          <cell r="A103">
            <v>96000</v>
          </cell>
          <cell r="B103" t="str">
            <v>ULR</v>
          </cell>
          <cell r="C103" t="str">
            <v>EXT</v>
          </cell>
          <cell r="D103">
            <v>2218316</v>
          </cell>
          <cell r="G103">
            <v>1407626</v>
          </cell>
          <cell r="J103">
            <v>2534744</v>
          </cell>
          <cell r="M103">
            <v>2340583</v>
          </cell>
          <cell r="P103">
            <v>8501269</v>
          </cell>
          <cell r="AC103">
            <v>0</v>
          </cell>
          <cell r="AD103">
            <v>8501269</v>
          </cell>
          <cell r="AE103">
            <v>96000</v>
          </cell>
          <cell r="AF103">
            <v>365</v>
          </cell>
          <cell r="AG103">
            <v>15</v>
          </cell>
          <cell r="AH103">
            <v>1440000</v>
          </cell>
          <cell r="AI103">
            <v>0.4</v>
          </cell>
          <cell r="AJ103">
            <v>4239543</v>
          </cell>
        </row>
        <row r="104">
          <cell r="A104">
            <v>5402</v>
          </cell>
          <cell r="B104" t="str">
            <v>UNF DSL</v>
          </cell>
          <cell r="C104" t="str">
            <v>FIX</v>
          </cell>
          <cell r="D104">
            <v>24054</v>
          </cell>
          <cell r="G104">
            <v>17190</v>
          </cell>
          <cell r="J104">
            <v>79774</v>
          </cell>
          <cell r="M104">
            <v>52275</v>
          </cell>
          <cell r="P104">
            <v>173293</v>
          </cell>
          <cell r="AC104">
            <v>63767.06</v>
          </cell>
          <cell r="AD104">
            <v>237060.06</v>
          </cell>
          <cell r="AE104">
            <v>5000</v>
          </cell>
          <cell r="AF104">
            <v>365</v>
          </cell>
          <cell r="AH104">
            <v>1825000</v>
          </cell>
          <cell r="AI104">
            <v>0.024154589371980676</v>
          </cell>
          <cell r="AJ104">
            <v>5153.479565217392</v>
          </cell>
        </row>
        <row r="105">
          <cell r="A105">
            <v>5405</v>
          </cell>
          <cell r="B105" t="str">
            <v>UNF DSL</v>
          </cell>
          <cell r="C105" t="str">
            <v>FIX</v>
          </cell>
          <cell r="D105">
            <v>24054</v>
          </cell>
          <cell r="G105">
            <v>17190</v>
          </cell>
          <cell r="J105">
            <v>79774</v>
          </cell>
          <cell r="M105">
            <v>52275</v>
          </cell>
          <cell r="P105">
            <v>173293</v>
          </cell>
          <cell r="AC105">
            <v>63767.06</v>
          </cell>
          <cell r="AD105">
            <v>237060.06</v>
          </cell>
          <cell r="AE105">
            <v>5000</v>
          </cell>
          <cell r="AF105">
            <v>365</v>
          </cell>
          <cell r="AH105">
            <v>1825000</v>
          </cell>
          <cell r="AI105">
            <v>0.024154589371980676</v>
          </cell>
          <cell r="AJ105">
            <v>5153.479565217392</v>
          </cell>
        </row>
        <row r="106">
          <cell r="A106">
            <v>11002</v>
          </cell>
          <cell r="B106" t="str">
            <v>UNF DSL</v>
          </cell>
          <cell r="C106" t="str">
            <v>FIX</v>
          </cell>
          <cell r="D106">
            <v>24054</v>
          </cell>
          <cell r="G106">
            <v>17190</v>
          </cell>
          <cell r="J106">
            <v>79774</v>
          </cell>
          <cell r="M106">
            <v>52275</v>
          </cell>
          <cell r="P106">
            <v>173293</v>
          </cell>
          <cell r="AC106">
            <v>63767.06</v>
          </cell>
          <cell r="AD106">
            <v>237060.06</v>
          </cell>
          <cell r="AE106">
            <v>11000</v>
          </cell>
          <cell r="AF106">
            <v>365</v>
          </cell>
          <cell r="AH106">
            <v>4015000</v>
          </cell>
          <cell r="AI106">
            <v>0.05314009661835749</v>
          </cell>
          <cell r="AJ106">
            <v>11337.65504347826</v>
          </cell>
        </row>
        <row r="107">
          <cell r="A107">
            <v>13506</v>
          </cell>
          <cell r="B107" t="str">
            <v>UNF DSL</v>
          </cell>
          <cell r="C107" t="str">
            <v>FIX</v>
          </cell>
          <cell r="D107">
            <v>24054</v>
          </cell>
          <cell r="G107">
            <v>17190</v>
          </cell>
          <cell r="J107">
            <v>79774</v>
          </cell>
          <cell r="M107">
            <v>52275</v>
          </cell>
          <cell r="P107">
            <v>173293</v>
          </cell>
          <cell r="AC107">
            <v>63767.06</v>
          </cell>
          <cell r="AD107">
            <v>237060.06</v>
          </cell>
          <cell r="AE107">
            <v>13000</v>
          </cell>
          <cell r="AF107">
            <v>365</v>
          </cell>
          <cell r="AH107">
            <v>4745000</v>
          </cell>
          <cell r="AI107">
            <v>0.06280193236714976</v>
          </cell>
          <cell r="AJ107">
            <v>13399.046869565216</v>
          </cell>
        </row>
        <row r="108">
          <cell r="A108">
            <v>13514</v>
          </cell>
          <cell r="B108" t="str">
            <v>UNF DSL</v>
          </cell>
          <cell r="C108" t="str">
            <v>FIX</v>
          </cell>
          <cell r="D108">
            <v>24054</v>
          </cell>
          <cell r="G108">
            <v>17190</v>
          </cell>
          <cell r="J108">
            <v>79774</v>
          </cell>
          <cell r="M108">
            <v>52275</v>
          </cell>
          <cell r="P108">
            <v>173293</v>
          </cell>
          <cell r="AC108">
            <v>63767.06</v>
          </cell>
          <cell r="AD108">
            <v>237060.06</v>
          </cell>
          <cell r="AE108">
            <v>13000</v>
          </cell>
          <cell r="AF108">
            <v>365</v>
          </cell>
          <cell r="AH108">
            <v>4745000</v>
          </cell>
          <cell r="AI108">
            <v>0.06280193236714976</v>
          </cell>
          <cell r="AJ108">
            <v>13399.046869565216</v>
          </cell>
        </row>
        <row r="109">
          <cell r="A109">
            <v>80061</v>
          </cell>
          <cell r="B109" t="str">
            <v>UNF DSL</v>
          </cell>
          <cell r="C109" t="str">
            <v>FIX</v>
          </cell>
          <cell r="D109">
            <v>24054</v>
          </cell>
          <cell r="G109">
            <v>17190</v>
          </cell>
          <cell r="J109">
            <v>79774</v>
          </cell>
          <cell r="M109">
            <v>52275</v>
          </cell>
          <cell r="P109">
            <v>173293</v>
          </cell>
          <cell r="AC109">
            <v>63767.06</v>
          </cell>
          <cell r="AD109">
            <v>237060.06</v>
          </cell>
          <cell r="AE109">
            <v>80000</v>
          </cell>
          <cell r="AF109">
            <v>365</v>
          </cell>
          <cell r="AH109">
            <v>29200000</v>
          </cell>
          <cell r="AI109">
            <v>0.3864734299516908</v>
          </cell>
          <cell r="AJ109">
            <v>82455.67304347827</v>
          </cell>
        </row>
        <row r="110">
          <cell r="A110">
            <v>80062</v>
          </cell>
          <cell r="B110" t="str">
            <v>UNF DSL</v>
          </cell>
          <cell r="C110" t="str">
            <v>FIX</v>
          </cell>
          <cell r="D110">
            <v>24054</v>
          </cell>
          <cell r="G110">
            <v>17190</v>
          </cell>
          <cell r="J110">
            <v>79774</v>
          </cell>
          <cell r="M110">
            <v>52275</v>
          </cell>
          <cell r="P110">
            <v>173293</v>
          </cell>
          <cell r="AC110">
            <v>63767.06</v>
          </cell>
          <cell r="AD110">
            <v>237060.06</v>
          </cell>
          <cell r="AE110">
            <v>80000</v>
          </cell>
          <cell r="AF110">
            <v>365</v>
          </cell>
          <cell r="AH110">
            <v>29200000</v>
          </cell>
          <cell r="AI110">
            <v>0.3864734299516908</v>
          </cell>
          <cell r="AJ110">
            <v>82455.67304347827</v>
          </cell>
        </row>
        <row r="111">
          <cell r="A111">
            <v>80055</v>
          </cell>
          <cell r="B111" t="str">
            <v>UNT HVY SR</v>
          </cell>
          <cell r="C111" t="str">
            <v>FIX</v>
          </cell>
          <cell r="D111">
            <v>29529</v>
          </cell>
          <cell r="G111">
            <v>1558</v>
          </cell>
          <cell r="J111">
            <v>18736</v>
          </cell>
          <cell r="M111">
            <v>16700</v>
          </cell>
          <cell r="P111">
            <v>66523</v>
          </cell>
          <cell r="AC111">
            <v>196514.03</v>
          </cell>
          <cell r="AD111">
            <v>263037.03</v>
          </cell>
          <cell r="AE111">
            <v>80000</v>
          </cell>
          <cell r="AF111">
            <v>365</v>
          </cell>
          <cell r="AH111">
            <v>29200000</v>
          </cell>
          <cell r="AI111">
            <v>1</v>
          </cell>
          <cell r="AJ111">
            <v>236733.32700000002</v>
          </cell>
        </row>
        <row r="112">
          <cell r="A112">
            <v>240</v>
          </cell>
          <cell r="C112" t="str">
            <v>FIX</v>
          </cell>
          <cell r="P112">
            <v>0</v>
          </cell>
          <cell r="AF112">
            <v>365</v>
          </cell>
        </row>
        <row r="113">
          <cell r="A113">
            <v>1015</v>
          </cell>
          <cell r="C113" t="str">
            <v>FIX</v>
          </cell>
          <cell r="P113">
            <v>0</v>
          </cell>
          <cell r="AF113">
            <v>365</v>
          </cell>
        </row>
        <row r="114">
          <cell r="A114">
            <v>1600</v>
          </cell>
          <cell r="C114" t="str">
            <v>FIX</v>
          </cell>
          <cell r="P114">
            <v>0</v>
          </cell>
          <cell r="AF114">
            <v>365</v>
          </cell>
        </row>
        <row r="115">
          <cell r="A115">
            <v>2515</v>
          </cell>
          <cell r="B115" t="str">
            <v>Caustic</v>
          </cell>
          <cell r="C115" t="str">
            <v>FIX</v>
          </cell>
          <cell r="P115">
            <v>0</v>
          </cell>
          <cell r="AF115">
            <v>365</v>
          </cell>
        </row>
        <row r="116">
          <cell r="A116">
            <v>2517</v>
          </cell>
          <cell r="B116" t="str">
            <v>Caustic</v>
          </cell>
          <cell r="C116" t="str">
            <v>FIX</v>
          </cell>
          <cell r="P116">
            <v>0</v>
          </cell>
          <cell r="AF116">
            <v>365</v>
          </cell>
        </row>
        <row r="117">
          <cell r="A117">
            <v>2530</v>
          </cell>
          <cell r="B117" t="str">
            <v>slop</v>
          </cell>
          <cell r="C117" t="str">
            <v>FIX</v>
          </cell>
          <cell r="P117">
            <v>0</v>
          </cell>
          <cell r="AF117">
            <v>365</v>
          </cell>
        </row>
        <row r="118">
          <cell r="A118">
            <v>2531</v>
          </cell>
          <cell r="B118" t="str">
            <v>enic</v>
          </cell>
          <cell r="C118" t="str">
            <v>FIX</v>
          </cell>
          <cell r="P118">
            <v>0</v>
          </cell>
          <cell r="AF118">
            <v>365</v>
          </cell>
        </row>
        <row r="119">
          <cell r="A119">
            <v>4010</v>
          </cell>
          <cell r="B119" t="str">
            <v>acid</v>
          </cell>
          <cell r="C119" t="str">
            <v>FIX</v>
          </cell>
          <cell r="P119">
            <v>0</v>
          </cell>
          <cell r="AF119">
            <v>365</v>
          </cell>
        </row>
        <row r="120">
          <cell r="A120">
            <v>4011</v>
          </cell>
          <cell r="B120" t="str">
            <v>acid</v>
          </cell>
          <cell r="C120" t="str">
            <v>FIX</v>
          </cell>
          <cell r="P120">
            <v>0</v>
          </cell>
          <cell r="AF120">
            <v>365</v>
          </cell>
        </row>
        <row r="121">
          <cell r="A121">
            <v>4400</v>
          </cell>
          <cell r="B121" t="str">
            <v>enic</v>
          </cell>
          <cell r="C121" t="str">
            <v>FIX</v>
          </cell>
          <cell r="P121">
            <v>0</v>
          </cell>
          <cell r="AF121">
            <v>365</v>
          </cell>
        </row>
        <row r="122">
          <cell r="A122">
            <v>4401</v>
          </cell>
          <cell r="B122" t="str">
            <v>enic</v>
          </cell>
          <cell r="C122" t="str">
            <v>FIX</v>
          </cell>
          <cell r="P122">
            <v>0</v>
          </cell>
          <cell r="AF122">
            <v>365</v>
          </cell>
        </row>
        <row r="123">
          <cell r="A123">
            <v>5407</v>
          </cell>
          <cell r="C123" t="str">
            <v>FIX</v>
          </cell>
          <cell r="P123">
            <v>0</v>
          </cell>
          <cell r="AF123">
            <v>365</v>
          </cell>
        </row>
        <row r="124">
          <cell r="A124">
            <v>7201</v>
          </cell>
          <cell r="B124" t="str">
            <v>SLOP</v>
          </cell>
          <cell r="C124" t="str">
            <v>FIX</v>
          </cell>
          <cell r="P124">
            <v>0</v>
          </cell>
          <cell r="AF124">
            <v>365</v>
          </cell>
          <cell r="AJ124">
            <v>36000</v>
          </cell>
        </row>
        <row r="125">
          <cell r="A125">
            <v>7202</v>
          </cell>
          <cell r="B125" t="str">
            <v>ENIC</v>
          </cell>
          <cell r="C125" t="str">
            <v>FIX</v>
          </cell>
          <cell r="P125">
            <v>0</v>
          </cell>
          <cell r="AF125">
            <v>365</v>
          </cell>
          <cell r="AJ125">
            <v>0</v>
          </cell>
        </row>
        <row r="126">
          <cell r="A126">
            <v>7501</v>
          </cell>
          <cell r="B126" t="str">
            <v>SLUDGE</v>
          </cell>
          <cell r="C126" t="str">
            <v>FIX</v>
          </cell>
          <cell r="D126">
            <v>281</v>
          </cell>
          <cell r="G126">
            <v>0</v>
          </cell>
          <cell r="P126">
            <v>281</v>
          </cell>
          <cell r="AF126">
            <v>365</v>
          </cell>
          <cell r="AJ126">
            <v>37500</v>
          </cell>
        </row>
        <row r="127">
          <cell r="A127">
            <v>11000</v>
          </cell>
          <cell r="B127" t="str">
            <v>enic</v>
          </cell>
          <cell r="C127" t="str">
            <v>FIX</v>
          </cell>
          <cell r="P127">
            <v>0</v>
          </cell>
          <cell r="AF127">
            <v>0</v>
          </cell>
        </row>
        <row r="128">
          <cell r="A128">
            <v>11004</v>
          </cell>
          <cell r="B128" t="str">
            <v>enic</v>
          </cell>
          <cell r="C128" t="str">
            <v>FIX</v>
          </cell>
          <cell r="P128">
            <v>0</v>
          </cell>
          <cell r="AF128">
            <v>0</v>
          </cell>
        </row>
        <row r="129">
          <cell r="A129">
            <v>13525</v>
          </cell>
          <cell r="B129" t="str">
            <v>ENIC</v>
          </cell>
          <cell r="C129" t="str">
            <v>FIX</v>
          </cell>
          <cell r="P129">
            <v>0</v>
          </cell>
          <cell r="AF129">
            <v>365</v>
          </cell>
        </row>
        <row r="130">
          <cell r="A130">
            <v>13529</v>
          </cell>
          <cell r="B130" t="str">
            <v>STRIPPED WATER</v>
          </cell>
          <cell r="C130" t="str">
            <v>FIX</v>
          </cell>
          <cell r="P130">
            <v>0</v>
          </cell>
          <cell r="AD130">
            <v>0</v>
          </cell>
          <cell r="AE130">
            <v>13000</v>
          </cell>
          <cell r="AF130">
            <v>215</v>
          </cell>
          <cell r="AH130">
            <v>2795000</v>
          </cell>
          <cell r="AI130">
            <v>0.06523667257959108</v>
          </cell>
          <cell r="AJ130">
            <v>0</v>
          </cell>
        </row>
        <row r="131">
          <cell r="A131">
            <v>13530</v>
          </cell>
          <cell r="B131" t="str">
            <v>STRIPPED WATER</v>
          </cell>
          <cell r="C131" t="str">
            <v>FIX</v>
          </cell>
          <cell r="P131">
            <v>0</v>
          </cell>
          <cell r="AD131">
            <v>0</v>
          </cell>
          <cell r="AE131">
            <v>13000</v>
          </cell>
          <cell r="AF131">
            <v>273</v>
          </cell>
          <cell r="AH131">
            <v>3549000</v>
          </cell>
          <cell r="AI131">
            <v>0.08283540285687611</v>
          </cell>
          <cell r="AJ131">
            <v>0</v>
          </cell>
        </row>
        <row r="132">
          <cell r="A132">
            <v>25012</v>
          </cell>
          <cell r="C132" t="str">
            <v>FIX</v>
          </cell>
          <cell r="P132">
            <v>0</v>
          </cell>
          <cell r="AF132">
            <v>365</v>
          </cell>
        </row>
        <row r="133">
          <cell r="A133">
            <v>25019</v>
          </cell>
          <cell r="B133">
            <v>0</v>
          </cell>
          <cell r="C133" t="str">
            <v>FIX</v>
          </cell>
          <cell r="P133">
            <v>0</v>
          </cell>
          <cell r="AF133">
            <v>365</v>
          </cell>
        </row>
        <row r="134">
          <cell r="A134">
            <v>80040</v>
          </cell>
          <cell r="C134" t="str">
            <v>FIX</v>
          </cell>
          <cell r="P134">
            <v>0</v>
          </cell>
          <cell r="AE134">
            <v>80000</v>
          </cell>
          <cell r="AF134">
            <v>365</v>
          </cell>
        </row>
        <row r="135">
          <cell r="A135">
            <v>125003</v>
          </cell>
          <cell r="B135" t="str">
            <v>BENS NAPH</v>
          </cell>
          <cell r="C135" t="str">
            <v>EXT</v>
          </cell>
          <cell r="D135">
            <v>19296</v>
          </cell>
          <cell r="G135">
            <v>26171</v>
          </cell>
          <cell r="J135">
            <v>11429</v>
          </cell>
          <cell r="M135">
            <v>17489</v>
          </cell>
          <cell r="P135">
            <v>74385</v>
          </cell>
          <cell r="AC135">
            <v>0</v>
          </cell>
          <cell r="AD135">
            <v>74385</v>
          </cell>
          <cell r="AE135">
            <v>125000</v>
          </cell>
          <cell r="AF135">
            <v>365</v>
          </cell>
          <cell r="AI135">
            <v>1</v>
          </cell>
          <cell r="AJ135">
            <v>66946.5</v>
          </cell>
        </row>
      </sheetData>
      <sheetData sheetId="6">
        <row r="9">
          <cell r="E9">
            <v>0</v>
          </cell>
          <cell r="F9" t="str">
            <v>00</v>
          </cell>
          <cell r="G9">
            <v>0</v>
          </cell>
          <cell r="H9">
            <v>1</v>
          </cell>
          <cell r="I9">
            <v>1</v>
          </cell>
          <cell r="J9">
            <v>0</v>
          </cell>
          <cell r="K9">
            <v>1E-11</v>
          </cell>
          <cell r="L9">
            <v>75</v>
          </cell>
          <cell r="M9">
            <v>0</v>
          </cell>
          <cell r="N9">
            <v>0</v>
          </cell>
        </row>
        <row r="10">
          <cell r="E10" t="str">
            <v>ENIC</v>
          </cell>
          <cell r="F10" t="str">
            <v>00</v>
          </cell>
          <cell r="G10">
            <v>0</v>
          </cell>
          <cell r="H10">
            <v>1</v>
          </cell>
          <cell r="I10">
            <v>1</v>
          </cell>
          <cell r="J10">
            <v>0</v>
          </cell>
          <cell r="K10">
            <v>1E-14</v>
          </cell>
          <cell r="L10">
            <v>75</v>
          </cell>
          <cell r="N10">
            <v>2.8326540187109026E-16</v>
          </cell>
        </row>
        <row r="11">
          <cell r="E11" t="str">
            <v>392 GAS NM</v>
          </cell>
          <cell r="F11" t="str">
            <v>01</v>
          </cell>
          <cell r="G11">
            <v>56.03</v>
          </cell>
          <cell r="H11">
            <v>6.294170694073034</v>
          </cell>
          <cell r="I11">
            <v>68</v>
          </cell>
          <cell r="J11">
            <v>3</v>
          </cell>
          <cell r="K11">
            <v>7.7</v>
          </cell>
          <cell r="L11">
            <v>70</v>
          </cell>
          <cell r="N11">
            <v>4.719793088472911</v>
          </cell>
        </row>
        <row r="12">
          <cell r="E12" t="str">
            <v>ACID</v>
          </cell>
          <cell r="F12" t="str">
            <v>09</v>
          </cell>
          <cell r="H12">
            <v>15.29861662682652</v>
          </cell>
          <cell r="I12">
            <v>98</v>
          </cell>
          <cell r="K12">
            <v>0.3</v>
          </cell>
          <cell r="L12">
            <v>75</v>
          </cell>
          <cell r="M12">
            <v>0.1</v>
          </cell>
          <cell r="N12">
            <v>0.13227309022530856</v>
          </cell>
        </row>
        <row r="13">
          <cell r="E13" t="str">
            <v>ALK</v>
          </cell>
          <cell r="I13">
            <v>80</v>
          </cell>
          <cell r="K13">
            <v>6</v>
          </cell>
          <cell r="L13">
            <v>70</v>
          </cell>
          <cell r="M13">
            <v>4.4</v>
          </cell>
          <cell r="N13">
            <v>3.0546292722787234</v>
          </cell>
        </row>
        <row r="14">
          <cell r="E14" t="str">
            <v>AROM SOLV</v>
          </cell>
          <cell r="F14" t="str">
            <v>09</v>
          </cell>
          <cell r="G14">
            <v>22.35</v>
          </cell>
          <cell r="H14">
            <v>7.672056095284473</v>
          </cell>
          <cell r="I14">
            <v>80</v>
          </cell>
          <cell r="K14">
            <v>0.5</v>
          </cell>
          <cell r="L14">
            <v>70</v>
          </cell>
          <cell r="M14">
            <v>0.1</v>
          </cell>
          <cell r="N14">
            <v>0.19512731539692904</v>
          </cell>
        </row>
        <row r="15">
          <cell r="E15" t="str">
            <v>AVGAS</v>
          </cell>
          <cell r="F15" t="str">
            <v>04</v>
          </cell>
          <cell r="G15">
            <v>69.34</v>
          </cell>
          <cell r="H15">
            <v>5.877045559945808</v>
          </cell>
          <cell r="I15">
            <v>70</v>
          </cell>
          <cell r="J15">
            <v>2</v>
          </cell>
          <cell r="K15">
            <v>6.5</v>
          </cell>
          <cell r="L15">
            <v>70.39999999999998</v>
          </cell>
          <cell r="M15">
            <v>5</v>
          </cell>
          <cell r="N15">
            <v>3.8414144818824725</v>
          </cell>
        </row>
        <row r="16">
          <cell r="E16" t="str">
            <v>AVIA ALKY</v>
          </cell>
          <cell r="F16" t="str">
            <v>04</v>
          </cell>
          <cell r="G16">
            <v>72.8</v>
          </cell>
          <cell r="H16">
            <v>5.777512629757788</v>
          </cell>
          <cell r="I16">
            <v>70</v>
          </cell>
          <cell r="J16">
            <v>2</v>
          </cell>
          <cell r="K16">
            <v>6.6</v>
          </cell>
          <cell r="L16">
            <v>75</v>
          </cell>
          <cell r="M16">
            <v>3</v>
          </cell>
          <cell r="N16">
            <v>4.289294565559485</v>
          </cell>
        </row>
        <row r="17">
          <cell r="E17" t="str">
            <v>AVJET A</v>
          </cell>
          <cell r="F17" t="str">
            <v>05</v>
          </cell>
          <cell r="G17">
            <v>38.85</v>
          </cell>
          <cell r="H17">
            <v>6.928945290634084</v>
          </cell>
          <cell r="I17">
            <v>130</v>
          </cell>
          <cell r="J17">
            <v>1</v>
          </cell>
          <cell r="K17">
            <v>0.029</v>
          </cell>
          <cell r="L17">
            <v>88</v>
          </cell>
          <cell r="M17">
            <v>2.7</v>
          </cell>
          <cell r="N17">
            <v>0.01895427937960254</v>
          </cell>
        </row>
        <row r="18">
          <cell r="E18" t="str">
            <v>B</v>
          </cell>
          <cell r="F18" t="str">
            <v>15</v>
          </cell>
          <cell r="G18">
            <v>0.57</v>
          </cell>
          <cell r="H18">
            <v>8.937274401904414</v>
          </cell>
          <cell r="I18">
            <v>52</v>
          </cell>
          <cell r="L18">
            <v>75</v>
          </cell>
          <cell r="M18">
            <v>30.431741999999996</v>
          </cell>
          <cell r="N18" t="e">
            <v>#NUM!</v>
          </cell>
        </row>
        <row r="19">
          <cell r="E19" t="str">
            <v>BOD</v>
          </cell>
          <cell r="F19" t="str">
            <v>03</v>
          </cell>
          <cell r="G19">
            <v>35.9</v>
          </cell>
          <cell r="H19">
            <v>7.051050359973214</v>
          </cell>
          <cell r="I19">
            <v>130</v>
          </cell>
          <cell r="J19">
            <v>1</v>
          </cell>
          <cell r="K19">
            <v>0.022</v>
          </cell>
          <cell r="L19">
            <v>75</v>
          </cell>
          <cell r="M19">
            <v>0.013</v>
          </cell>
          <cell r="N19">
            <v>0.008712067940198055</v>
          </cell>
        </row>
        <row r="20">
          <cell r="E20" t="str">
            <v>C</v>
          </cell>
          <cell r="F20" t="str">
            <v>02</v>
          </cell>
          <cell r="G20">
            <v>22.02</v>
          </cell>
          <cell r="H20">
            <v>7.688547617636242</v>
          </cell>
          <cell r="I20">
            <v>50</v>
          </cell>
          <cell r="J20">
            <v>0</v>
          </cell>
          <cell r="K20">
            <v>5.7</v>
          </cell>
          <cell r="L20">
            <v>75</v>
          </cell>
          <cell r="M20">
            <v>5.7</v>
          </cell>
          <cell r="N20">
            <v>4.536137262497214</v>
          </cell>
        </row>
        <row r="21">
          <cell r="E21" t="str">
            <v>CAL MIXED</v>
          </cell>
          <cell r="F21" t="str">
            <v>02</v>
          </cell>
          <cell r="G21">
            <v>22.02</v>
          </cell>
          <cell r="H21">
            <v>7.688547617636242</v>
          </cell>
          <cell r="I21">
            <v>50</v>
          </cell>
          <cell r="J21">
            <v>0</v>
          </cell>
          <cell r="K21">
            <v>4</v>
          </cell>
          <cell r="L21">
            <v>75</v>
          </cell>
          <cell r="N21">
            <v>2.855635888137455</v>
          </cell>
        </row>
        <row r="22">
          <cell r="E22" t="str">
            <v>CARB DSL</v>
          </cell>
          <cell r="F22" t="str">
            <v>03</v>
          </cell>
          <cell r="G22">
            <v>39.3</v>
          </cell>
          <cell r="H22">
            <v>6.910689872713794</v>
          </cell>
          <cell r="I22">
            <v>130</v>
          </cell>
          <cell r="J22">
            <v>0</v>
          </cell>
          <cell r="K22">
            <v>0.022</v>
          </cell>
          <cell r="L22">
            <v>75</v>
          </cell>
          <cell r="N22">
            <v>0.007698391057086921</v>
          </cell>
        </row>
        <row r="23">
          <cell r="E23" t="str">
            <v>CAUSTIC</v>
          </cell>
          <cell r="F23" t="str">
            <v>38</v>
          </cell>
          <cell r="H23">
            <v>15.29861662682652</v>
          </cell>
          <cell r="I23">
            <v>98</v>
          </cell>
          <cell r="K23">
            <v>0</v>
          </cell>
          <cell r="L23">
            <v>75</v>
          </cell>
          <cell r="M23">
            <v>0.1</v>
          </cell>
          <cell r="N23">
            <v>0</v>
          </cell>
        </row>
        <row r="24">
          <cell r="E24" t="str">
            <v>CR GAS</v>
          </cell>
          <cell r="F24" t="str">
            <v>08</v>
          </cell>
          <cell r="G24">
            <v>54.89</v>
          </cell>
          <cell r="H24">
            <v>6.332667150917517</v>
          </cell>
          <cell r="I24">
            <v>70</v>
          </cell>
          <cell r="J24">
            <v>2.5</v>
          </cell>
          <cell r="K24">
            <v>4.85</v>
          </cell>
          <cell r="L24">
            <v>70</v>
          </cell>
          <cell r="M24">
            <v>2.9</v>
          </cell>
          <cell r="N24">
            <v>2.8123114652734076</v>
          </cell>
        </row>
        <row r="25">
          <cell r="E25" t="str">
            <v>CRU CHG</v>
          </cell>
          <cell r="F25" t="str">
            <v>09</v>
          </cell>
          <cell r="G25">
            <v>53.8</v>
          </cell>
          <cell r="H25">
            <v>6.369918134158208</v>
          </cell>
          <cell r="I25">
            <v>80</v>
          </cell>
          <cell r="K25">
            <v>2.2</v>
          </cell>
          <cell r="L25">
            <v>75</v>
          </cell>
          <cell r="M25">
            <v>1.2</v>
          </cell>
          <cell r="N25">
            <v>1.1569526902942755</v>
          </cell>
        </row>
        <row r="26">
          <cell r="E26" t="str">
            <v>D</v>
          </cell>
          <cell r="F26" t="str">
            <v>03</v>
          </cell>
          <cell r="G26">
            <v>39.3</v>
          </cell>
          <cell r="H26">
            <v>6.910689872713794</v>
          </cell>
          <cell r="I26">
            <v>130</v>
          </cell>
          <cell r="J26">
            <v>0</v>
          </cell>
          <cell r="K26">
            <v>0.022</v>
          </cell>
          <cell r="L26">
            <v>70</v>
          </cell>
          <cell r="M26">
            <v>0.022</v>
          </cell>
          <cell r="N26">
            <v>0.006146625798588335</v>
          </cell>
        </row>
        <row r="27">
          <cell r="E27" t="str">
            <v>DB LT SR</v>
          </cell>
          <cell r="F27" t="str">
            <v>08</v>
          </cell>
          <cell r="G27">
            <v>45.9</v>
          </cell>
          <cell r="H27">
            <v>6.653584161553078</v>
          </cell>
          <cell r="I27">
            <v>70</v>
          </cell>
          <cell r="K27">
            <v>4</v>
          </cell>
          <cell r="L27">
            <v>75</v>
          </cell>
          <cell r="N27">
            <v>2.2177871368632704</v>
          </cell>
        </row>
        <row r="28">
          <cell r="E28" t="str">
            <v>DC CHG</v>
          </cell>
          <cell r="F28" t="str">
            <v>02</v>
          </cell>
          <cell r="G28">
            <v>22.02</v>
          </cell>
          <cell r="H28">
            <v>7.688547617636242</v>
          </cell>
          <cell r="I28">
            <v>50</v>
          </cell>
          <cell r="J28">
            <v>0</v>
          </cell>
          <cell r="K28">
            <v>1</v>
          </cell>
          <cell r="L28">
            <v>120</v>
          </cell>
          <cell r="M28">
            <v>5.7</v>
          </cell>
          <cell r="N28">
            <v>1.339631739606599</v>
          </cell>
        </row>
        <row r="29">
          <cell r="E29" t="str">
            <v>DC LT GAS</v>
          </cell>
          <cell r="F29" t="str">
            <v>08</v>
          </cell>
          <cell r="G29">
            <v>79.74</v>
          </cell>
          <cell r="H29">
            <v>5.587700389412592</v>
          </cell>
          <cell r="I29">
            <v>62</v>
          </cell>
          <cell r="J29">
            <v>3.5</v>
          </cell>
          <cell r="K29">
            <v>11.4</v>
          </cell>
          <cell r="L29">
            <v>70</v>
          </cell>
          <cell r="M29">
            <v>7.4</v>
          </cell>
          <cell r="N29">
            <v>7.323245641122401</v>
          </cell>
        </row>
        <row r="30">
          <cell r="E30" t="str">
            <v>DCU HVGO</v>
          </cell>
          <cell r="F30" t="str">
            <v>06</v>
          </cell>
          <cell r="G30">
            <v>16.8</v>
          </cell>
          <cell r="H30">
            <v>7.9591761986481195</v>
          </cell>
          <cell r="I30">
            <v>190</v>
          </cell>
          <cell r="J30">
            <v>0</v>
          </cell>
          <cell r="K30">
            <v>0.00019</v>
          </cell>
          <cell r="L30">
            <v>160</v>
          </cell>
          <cell r="N30">
            <v>0.004134238973972763</v>
          </cell>
        </row>
        <row r="31">
          <cell r="E31" t="str">
            <v>DGO/FCCU</v>
          </cell>
          <cell r="F31" t="str">
            <v>06</v>
          </cell>
          <cell r="G31">
            <v>25.833333333333332</v>
          </cell>
          <cell r="H31">
            <v>7.502198073683364</v>
          </cell>
          <cell r="I31">
            <v>190</v>
          </cell>
          <cell r="J31">
            <v>0</v>
          </cell>
          <cell r="K31">
            <v>0.002</v>
          </cell>
          <cell r="L31">
            <v>175</v>
          </cell>
          <cell r="N31">
            <v>0.05090013238527714</v>
          </cell>
        </row>
        <row r="32">
          <cell r="E32" t="str">
            <v>FC HCGO</v>
          </cell>
          <cell r="F32" t="str">
            <v>06</v>
          </cell>
          <cell r="G32">
            <v>5.533333333333334</v>
          </cell>
          <cell r="H32">
            <v>8.61356723614339</v>
          </cell>
          <cell r="I32">
            <v>190</v>
          </cell>
          <cell r="J32">
            <v>0</v>
          </cell>
          <cell r="K32">
            <v>0.00019</v>
          </cell>
          <cell r="L32">
            <v>120</v>
          </cell>
          <cell r="M32">
            <v>0.009</v>
          </cell>
          <cell r="N32">
            <v>0.0005736102306483663</v>
          </cell>
        </row>
        <row r="33">
          <cell r="E33" t="str">
            <v>FC HVY GAS</v>
          </cell>
          <cell r="F33" t="str">
            <v>09</v>
          </cell>
          <cell r="G33">
            <v>49.9</v>
          </cell>
          <cell r="H33">
            <v>6.506867862511114</v>
          </cell>
          <cell r="I33">
            <v>68</v>
          </cell>
          <cell r="J33">
            <v>2.5</v>
          </cell>
          <cell r="K33">
            <v>1.89</v>
          </cell>
          <cell r="L33">
            <v>70</v>
          </cell>
          <cell r="N33">
            <v>1.006678123144834</v>
          </cell>
        </row>
        <row r="34">
          <cell r="E34" t="str">
            <v>FC LCGO</v>
          </cell>
          <cell r="F34" t="str">
            <v>06</v>
          </cell>
          <cell r="G34">
            <v>24.275000000000002</v>
          </cell>
          <cell r="H34">
            <v>7.577248148030916</v>
          </cell>
          <cell r="I34">
            <v>130</v>
          </cell>
          <cell r="J34">
            <v>0</v>
          </cell>
          <cell r="K34">
            <v>0.029</v>
          </cell>
          <cell r="L34">
            <v>88</v>
          </cell>
          <cell r="M34">
            <v>0.016</v>
          </cell>
          <cell r="N34">
            <v>0.018081188232799854</v>
          </cell>
        </row>
        <row r="35">
          <cell r="E35" t="str">
            <v>FC LT GAS</v>
          </cell>
          <cell r="F35" t="str">
            <v>08</v>
          </cell>
          <cell r="G35">
            <v>74.72</v>
          </cell>
          <cell r="H35">
            <v>5.723721415282301</v>
          </cell>
          <cell r="I35">
            <v>62</v>
          </cell>
          <cell r="J35">
            <v>3.5</v>
          </cell>
          <cell r="K35">
            <v>12.65</v>
          </cell>
          <cell r="L35">
            <v>70</v>
          </cell>
          <cell r="N35">
            <v>8.200170477893913</v>
          </cell>
        </row>
        <row r="36">
          <cell r="E36" t="str">
            <v>Gas Oil</v>
          </cell>
          <cell r="F36" t="str">
            <v>06</v>
          </cell>
          <cell r="G36">
            <v>5.533333333333334</v>
          </cell>
          <cell r="H36">
            <v>8.61356723614339</v>
          </cell>
          <cell r="I36">
            <v>190</v>
          </cell>
          <cell r="J36">
            <v>0</v>
          </cell>
          <cell r="K36">
            <v>0.00019</v>
          </cell>
          <cell r="L36">
            <v>120</v>
          </cell>
          <cell r="M36">
            <v>0.009</v>
          </cell>
          <cell r="N36">
            <v>0.0005736102306483663</v>
          </cell>
        </row>
        <row r="37">
          <cell r="E37" t="str">
            <v>HARV BLEND</v>
          </cell>
          <cell r="F37" t="str">
            <v>02</v>
          </cell>
          <cell r="G37">
            <v>19.466666666666665</v>
          </cell>
          <cell r="H37">
            <v>7.818585760164601</v>
          </cell>
          <cell r="I37">
            <v>50</v>
          </cell>
          <cell r="K37">
            <v>4</v>
          </cell>
          <cell r="L37">
            <v>75</v>
          </cell>
          <cell r="N37">
            <v>2.855635888137455</v>
          </cell>
        </row>
        <row r="38">
          <cell r="E38" t="str">
            <v>HC CHG</v>
          </cell>
          <cell r="F38" t="str">
            <v>09</v>
          </cell>
          <cell r="G38">
            <v>27.8</v>
          </cell>
          <cell r="H38">
            <v>7.409578344378632</v>
          </cell>
          <cell r="I38">
            <v>130</v>
          </cell>
          <cell r="J38">
            <v>1</v>
          </cell>
          <cell r="K38">
            <v>1.9E-05</v>
          </cell>
          <cell r="L38">
            <v>120</v>
          </cell>
          <cell r="M38">
            <v>0.00019</v>
          </cell>
          <cell r="N38">
            <v>5.134489237056011E-05</v>
          </cell>
        </row>
        <row r="39">
          <cell r="E39" t="str">
            <v>HC LT GAS</v>
          </cell>
          <cell r="F39" t="str">
            <v>08</v>
          </cell>
          <cell r="G39">
            <v>74.93</v>
          </cell>
          <cell r="H39">
            <v>5.717898707840508</v>
          </cell>
          <cell r="I39">
            <v>66</v>
          </cell>
          <cell r="J39">
            <v>3.5</v>
          </cell>
          <cell r="K39">
            <v>11.17</v>
          </cell>
          <cell r="L39">
            <v>70</v>
          </cell>
          <cell r="N39">
            <v>7.1627756289982605</v>
          </cell>
        </row>
        <row r="40">
          <cell r="E40" t="str">
            <v>HCN</v>
          </cell>
          <cell r="F40" t="str">
            <v>08</v>
          </cell>
          <cell r="G40">
            <v>44.7</v>
          </cell>
          <cell r="H40">
            <v>6.698898015093736</v>
          </cell>
          <cell r="I40">
            <v>80</v>
          </cell>
          <cell r="K40">
            <v>3</v>
          </cell>
          <cell r="L40">
            <v>75</v>
          </cell>
          <cell r="M40">
            <v>1.2</v>
          </cell>
          <cell r="N40">
            <v>1.6215461591134226</v>
          </cell>
        </row>
        <row r="41">
          <cell r="E41" t="str">
            <v>HTU4 CHG</v>
          </cell>
          <cell r="F41" t="str">
            <v>09</v>
          </cell>
          <cell r="G41">
            <v>19.4</v>
          </cell>
          <cell r="H41">
            <v>7.822039961958357</v>
          </cell>
          <cell r="I41">
            <v>190</v>
          </cell>
          <cell r="J41">
            <v>0</v>
          </cell>
          <cell r="K41">
            <v>0.00019</v>
          </cell>
          <cell r="L41">
            <v>120</v>
          </cell>
          <cell r="M41">
            <v>0.00019</v>
          </cell>
          <cell r="N41">
            <v>0.0005736102306483663</v>
          </cell>
        </row>
        <row r="42">
          <cell r="E42" t="str">
            <v>LSD</v>
          </cell>
          <cell r="F42" t="str">
            <v>03</v>
          </cell>
          <cell r="G42">
            <v>34.87</v>
          </cell>
          <cell r="H42">
            <v>7.094703553883008</v>
          </cell>
          <cell r="I42">
            <v>130</v>
          </cell>
          <cell r="J42">
            <v>0</v>
          </cell>
          <cell r="K42">
            <v>0.022</v>
          </cell>
          <cell r="L42">
            <v>75</v>
          </cell>
          <cell r="M42">
            <v>0.013</v>
          </cell>
          <cell r="N42">
            <v>0.00769839105708692</v>
          </cell>
        </row>
        <row r="43">
          <cell r="E43" t="str">
            <v>METHANOL</v>
          </cell>
          <cell r="F43" t="str">
            <v>09</v>
          </cell>
          <cell r="H43">
            <v>6.63</v>
          </cell>
          <cell r="I43">
            <v>32</v>
          </cell>
          <cell r="K43">
            <v>4.525</v>
          </cell>
          <cell r="L43">
            <v>75</v>
          </cell>
          <cell r="M43">
            <v>1.933421052631579</v>
          </cell>
          <cell r="N43">
            <v>2.5363905623472065</v>
          </cell>
        </row>
        <row r="44">
          <cell r="E44" t="str">
            <v>MTBE</v>
          </cell>
          <cell r="F44" t="str">
            <v>09</v>
          </cell>
          <cell r="G44">
            <v>58.27</v>
          </cell>
          <cell r="H44">
            <v>6.2198757983849715</v>
          </cell>
          <cell r="I44">
            <v>88</v>
          </cell>
          <cell r="J44">
            <v>2.5</v>
          </cell>
          <cell r="K44">
            <v>8.26</v>
          </cell>
          <cell r="L44">
            <v>70</v>
          </cell>
          <cell r="M44">
            <v>4.4</v>
          </cell>
          <cell r="N44">
            <v>5.025112049512687</v>
          </cell>
        </row>
        <row r="45">
          <cell r="E45" t="str">
            <v>NAT GAS</v>
          </cell>
          <cell r="F45" t="str">
            <v>09</v>
          </cell>
          <cell r="H45">
            <v>6</v>
          </cell>
          <cell r="I45">
            <v>66</v>
          </cell>
          <cell r="K45">
            <v>9</v>
          </cell>
          <cell r="L45">
            <v>60</v>
          </cell>
          <cell r="M45">
            <v>4.8</v>
          </cell>
          <cell r="N45">
            <v>3.787097969956158</v>
          </cell>
        </row>
        <row r="46">
          <cell r="E46" t="str">
            <v>NUU</v>
          </cell>
          <cell r="F46" t="str">
            <v>06</v>
          </cell>
          <cell r="H46">
            <v>5.840834984789493</v>
          </cell>
          <cell r="I46">
            <v>80</v>
          </cell>
          <cell r="K46">
            <v>2.7</v>
          </cell>
          <cell r="L46">
            <v>70</v>
          </cell>
          <cell r="N46">
            <v>1.2620280380863433</v>
          </cell>
        </row>
        <row r="47">
          <cell r="E47" t="str">
            <v>ORIENTE CR</v>
          </cell>
          <cell r="F47" t="str">
            <v>02</v>
          </cell>
          <cell r="G47">
            <v>22.1</v>
          </cell>
          <cell r="H47">
            <v>7.684543165752058</v>
          </cell>
          <cell r="I47">
            <v>50</v>
          </cell>
          <cell r="K47">
            <v>4</v>
          </cell>
          <cell r="L47">
            <v>75</v>
          </cell>
          <cell r="N47">
            <v>2.855635888137455</v>
          </cell>
        </row>
        <row r="48">
          <cell r="E48" t="str">
            <v>OS</v>
          </cell>
          <cell r="F48" t="str">
            <v>09</v>
          </cell>
          <cell r="G48">
            <v>1</v>
          </cell>
          <cell r="H48">
            <v>8.90827041705295</v>
          </cell>
          <cell r="I48">
            <v>90</v>
          </cell>
          <cell r="K48">
            <v>0.5</v>
          </cell>
          <cell r="L48">
            <v>75</v>
          </cell>
          <cell r="M48">
            <v>1.1</v>
          </cell>
          <cell r="N48">
            <v>0.23064524487068788</v>
          </cell>
        </row>
        <row r="49">
          <cell r="E49" t="str">
            <v>RECOV OIL</v>
          </cell>
          <cell r="F49" t="str">
            <v>06</v>
          </cell>
          <cell r="H49">
            <v>7</v>
          </cell>
          <cell r="I49">
            <v>130</v>
          </cell>
          <cell r="K49">
            <v>0.025</v>
          </cell>
          <cell r="L49">
            <v>75</v>
          </cell>
          <cell r="M49">
            <v>0.009</v>
          </cell>
          <cell r="N49">
            <v>0.008847656182134149</v>
          </cell>
        </row>
        <row r="50">
          <cell r="E50" t="str">
            <v>REF FUEL</v>
          </cell>
          <cell r="F50" t="str">
            <v>03</v>
          </cell>
          <cell r="G50">
            <v>34.4</v>
          </cell>
          <cell r="H50">
            <v>7.114803075705341</v>
          </cell>
          <cell r="I50">
            <v>130</v>
          </cell>
          <cell r="J50">
            <v>0</v>
          </cell>
          <cell r="K50">
            <v>0.022</v>
          </cell>
          <cell r="L50">
            <v>75</v>
          </cell>
          <cell r="N50">
            <v>0.00769839105708692</v>
          </cell>
        </row>
        <row r="51">
          <cell r="E51" t="str">
            <v>RR DIST</v>
          </cell>
          <cell r="F51" t="str">
            <v>03</v>
          </cell>
          <cell r="G51">
            <v>43.1</v>
          </cell>
          <cell r="H51">
            <v>6.76028539667535</v>
          </cell>
          <cell r="I51">
            <v>130</v>
          </cell>
          <cell r="J51">
            <v>2</v>
          </cell>
          <cell r="K51">
            <v>0.022</v>
          </cell>
          <cell r="L51">
            <v>75</v>
          </cell>
          <cell r="N51">
            <v>0.00917008451926664</v>
          </cell>
        </row>
        <row r="52">
          <cell r="E52" t="str">
            <v>SLOP</v>
          </cell>
          <cell r="F52" t="str">
            <v>07</v>
          </cell>
          <cell r="G52">
            <v>34.05</v>
          </cell>
          <cell r="H52">
            <v>7.129844942673006</v>
          </cell>
          <cell r="I52">
            <v>80</v>
          </cell>
          <cell r="J52">
            <v>1</v>
          </cell>
          <cell r="K52">
            <v>2</v>
          </cell>
          <cell r="L52">
            <v>70</v>
          </cell>
          <cell r="M52">
            <v>0.1</v>
          </cell>
          <cell r="N52">
            <v>1.0066672333381845</v>
          </cell>
        </row>
        <row r="53">
          <cell r="E53" t="str">
            <v>SLOP DCU</v>
          </cell>
          <cell r="F53" t="str">
            <v>07</v>
          </cell>
          <cell r="G53">
            <v>34.05</v>
          </cell>
          <cell r="H53">
            <v>7.129844942673006</v>
          </cell>
          <cell r="I53">
            <v>80</v>
          </cell>
          <cell r="J53">
            <v>2</v>
          </cell>
          <cell r="K53">
            <v>2</v>
          </cell>
          <cell r="L53">
            <v>75</v>
          </cell>
          <cell r="M53">
            <v>1.1</v>
          </cell>
          <cell r="N53">
            <v>1.1843926471362285</v>
          </cell>
        </row>
        <row r="54">
          <cell r="E54" t="str">
            <v>SOUR WATER</v>
          </cell>
          <cell r="H54">
            <v>8.341666644943576</v>
          </cell>
          <cell r="I54">
            <v>18</v>
          </cell>
          <cell r="J54">
            <v>2</v>
          </cell>
          <cell r="K54">
            <v>2</v>
          </cell>
          <cell r="L54">
            <v>75</v>
          </cell>
          <cell r="M54">
            <v>1.1</v>
          </cell>
          <cell r="N54">
            <v>1.1843926471362285</v>
          </cell>
        </row>
        <row r="55">
          <cell r="E55" t="str">
            <v>TOLUENE</v>
          </cell>
          <cell r="F55" t="str">
            <v>34</v>
          </cell>
          <cell r="G55">
            <v>31.2</v>
          </cell>
          <cell r="H55">
            <v>7.254737739763468</v>
          </cell>
          <cell r="I55">
            <v>92</v>
          </cell>
          <cell r="J55">
            <v>1</v>
          </cell>
          <cell r="K55">
            <v>1.3</v>
          </cell>
          <cell r="L55">
            <v>75</v>
          </cell>
          <cell r="M55">
            <v>0.7734736842105263</v>
          </cell>
          <cell r="N55">
            <v>0.71627998003461</v>
          </cell>
        </row>
        <row r="56">
          <cell r="E56" t="str">
            <v>UNF DSL</v>
          </cell>
          <cell r="F56" t="str">
            <v>03</v>
          </cell>
          <cell r="G56">
            <v>34.4</v>
          </cell>
          <cell r="H56">
            <v>7.114803075705341</v>
          </cell>
          <cell r="I56">
            <v>130</v>
          </cell>
          <cell r="J56">
            <v>0</v>
          </cell>
          <cell r="K56">
            <v>0.022</v>
          </cell>
          <cell r="L56">
            <v>75</v>
          </cell>
          <cell r="M56">
            <v>0.011</v>
          </cell>
          <cell r="N56">
            <v>0.00769839105708692</v>
          </cell>
        </row>
        <row r="57">
          <cell r="E57" t="str">
            <v>ULI</v>
          </cell>
          <cell r="F57" t="str">
            <v>01</v>
          </cell>
          <cell r="G57">
            <v>56.12</v>
          </cell>
          <cell r="H57">
            <v>6.291151424472423</v>
          </cell>
          <cell r="I57">
            <v>68</v>
          </cell>
          <cell r="J57">
            <v>3</v>
          </cell>
          <cell r="K57">
            <v>7.65</v>
          </cell>
          <cell r="L57">
            <v>70</v>
          </cell>
          <cell r="N57">
            <v>4.686441332261408</v>
          </cell>
        </row>
        <row r="58">
          <cell r="E58" t="str">
            <v>VENEZ</v>
          </cell>
          <cell r="F58" t="str">
            <v>02</v>
          </cell>
          <cell r="G58">
            <v>22.02</v>
          </cell>
          <cell r="H58">
            <v>7.688547617636242</v>
          </cell>
          <cell r="I58">
            <v>50</v>
          </cell>
          <cell r="J58">
            <v>0</v>
          </cell>
          <cell r="K58">
            <v>0.53</v>
          </cell>
          <cell r="L58">
            <v>75</v>
          </cell>
          <cell r="M58">
            <v>0.1</v>
          </cell>
          <cell r="N58">
            <v>0.20358208896042626</v>
          </cell>
        </row>
        <row r="59">
          <cell r="E59" t="str">
            <v>UNT HVY SR</v>
          </cell>
          <cell r="F59" t="str">
            <v>08</v>
          </cell>
          <cell r="G59">
            <v>57.6</v>
          </cell>
          <cell r="H59">
            <v>6.241913433418911</v>
          </cell>
          <cell r="I59">
            <v>80</v>
          </cell>
          <cell r="J59">
            <v>2.5</v>
          </cell>
          <cell r="K59">
            <v>2.01</v>
          </cell>
          <cell r="L59">
            <v>75</v>
          </cell>
          <cell r="M59">
            <v>1.2</v>
          </cell>
          <cell r="N59">
            <v>1.2087799576424898</v>
          </cell>
        </row>
        <row r="60">
          <cell r="E60" t="str">
            <v>ULP</v>
          </cell>
          <cell r="F60" t="str">
            <v>01</v>
          </cell>
          <cell r="G60">
            <v>51.7</v>
          </cell>
          <cell r="H60">
            <v>6.442935754691683</v>
          </cell>
          <cell r="I60">
            <v>68</v>
          </cell>
          <cell r="J60">
            <v>3</v>
          </cell>
          <cell r="K60">
            <v>6.7</v>
          </cell>
          <cell r="L60">
            <v>70</v>
          </cell>
          <cell r="M60">
            <v>5.7</v>
          </cell>
          <cell r="N60">
            <v>4.056563131961822</v>
          </cell>
        </row>
        <row r="61">
          <cell r="E61" t="str">
            <v>ULR</v>
          </cell>
          <cell r="F61" t="str">
            <v>01</v>
          </cell>
          <cell r="G61">
            <v>56.03</v>
          </cell>
          <cell r="H61">
            <v>6.294170694073034</v>
          </cell>
          <cell r="I61">
            <v>68</v>
          </cell>
          <cell r="J61">
            <v>3</v>
          </cell>
          <cell r="K61">
            <v>7.7</v>
          </cell>
          <cell r="L61">
            <v>70</v>
          </cell>
          <cell r="M61">
            <v>5</v>
          </cell>
          <cell r="N61">
            <v>4.719793088472911</v>
          </cell>
        </row>
        <row r="62">
          <cell r="E62" t="str">
            <v>ULR SUB-HI</v>
          </cell>
          <cell r="F62" t="str">
            <v>01</v>
          </cell>
          <cell r="G62">
            <v>56.03</v>
          </cell>
          <cell r="H62">
            <v>6.294170694073034</v>
          </cell>
          <cell r="I62">
            <v>68</v>
          </cell>
          <cell r="J62">
            <v>3</v>
          </cell>
          <cell r="K62">
            <v>7.7</v>
          </cell>
          <cell r="L62">
            <v>70</v>
          </cell>
          <cell r="M62">
            <v>5</v>
          </cell>
          <cell r="N62">
            <v>4.719793088472911</v>
          </cell>
        </row>
        <row r="63">
          <cell r="E63" t="str">
            <v>ULRRBOB</v>
          </cell>
          <cell r="F63" t="str">
            <v>01</v>
          </cell>
          <cell r="G63">
            <v>56.03</v>
          </cell>
          <cell r="H63">
            <v>6.294170694073034</v>
          </cell>
          <cell r="I63">
            <v>68</v>
          </cell>
          <cell r="J63">
            <v>3</v>
          </cell>
          <cell r="K63">
            <v>7.7</v>
          </cell>
          <cell r="L63">
            <v>70</v>
          </cell>
          <cell r="M63">
            <v>5</v>
          </cell>
          <cell r="N63">
            <v>4.719793088472911</v>
          </cell>
        </row>
        <row r="64">
          <cell r="E64" t="str">
            <v>ULP RFG</v>
          </cell>
          <cell r="F64" t="str">
            <v>01</v>
          </cell>
          <cell r="G64">
            <v>51.7</v>
          </cell>
          <cell r="H64">
            <v>6.442935754691683</v>
          </cell>
          <cell r="I64">
            <v>68</v>
          </cell>
          <cell r="J64">
            <v>3</v>
          </cell>
          <cell r="K64">
            <v>6.7</v>
          </cell>
          <cell r="L64">
            <v>70</v>
          </cell>
          <cell r="M64">
            <v>5.7</v>
          </cell>
          <cell r="N64">
            <v>4.056563131961822</v>
          </cell>
        </row>
        <row r="65">
          <cell r="E65" t="str">
            <v>ULR RFG</v>
          </cell>
          <cell r="F65" t="str">
            <v>01</v>
          </cell>
          <cell r="G65">
            <v>56.03</v>
          </cell>
          <cell r="H65">
            <v>6.294170694073034</v>
          </cell>
          <cell r="I65">
            <v>68</v>
          </cell>
          <cell r="J65">
            <v>3</v>
          </cell>
          <cell r="K65">
            <v>7.7</v>
          </cell>
          <cell r="L65">
            <v>70</v>
          </cell>
          <cell r="M65">
            <v>5</v>
          </cell>
          <cell r="N65">
            <v>4.719793088472911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ip Emission Assumptions "/>
      <sheetName val="Ship Emission Calculations"/>
    </sheetNames>
    <sheetDataSet>
      <sheetData sheetId="0">
        <row r="11">
          <cell r="D11">
            <v>639</v>
          </cell>
          <cell r="E11">
            <v>19</v>
          </cell>
          <cell r="F11">
            <v>58</v>
          </cell>
          <cell r="G11">
            <v>57</v>
          </cell>
          <cell r="H11">
            <v>363</v>
          </cell>
        </row>
        <row r="12">
          <cell r="D12">
            <v>56</v>
          </cell>
          <cell r="E12">
            <v>0.7</v>
          </cell>
          <cell r="F12">
            <v>3.5</v>
          </cell>
          <cell r="G12">
            <v>20</v>
          </cell>
          <cell r="H12">
            <v>363</v>
          </cell>
        </row>
        <row r="18">
          <cell r="D18">
            <v>14.7</v>
          </cell>
          <cell r="E18">
            <v>2.8</v>
          </cell>
          <cell r="F18">
            <v>1.6</v>
          </cell>
          <cell r="G18">
            <v>0.6</v>
          </cell>
          <cell r="H18">
            <v>8</v>
          </cell>
        </row>
        <row r="19">
          <cell r="D19">
            <v>2.7</v>
          </cell>
          <cell r="E19">
            <v>0.1</v>
          </cell>
          <cell r="F19">
            <v>1.1</v>
          </cell>
          <cell r="G19">
            <v>0.3</v>
          </cell>
          <cell r="H19">
            <v>6.8</v>
          </cell>
        </row>
        <row r="20">
          <cell r="D20">
            <v>19.6</v>
          </cell>
          <cell r="E20">
            <v>0.8</v>
          </cell>
          <cell r="F20">
            <v>1</v>
          </cell>
          <cell r="G20">
            <v>2.7</v>
          </cell>
          <cell r="H20">
            <v>20.9</v>
          </cell>
        </row>
        <row r="31">
          <cell r="F31">
            <v>966</v>
          </cell>
        </row>
        <row r="32">
          <cell r="F32">
            <v>2224</v>
          </cell>
        </row>
        <row r="43">
          <cell r="B43">
            <v>2006.1405</v>
          </cell>
          <cell r="C43">
            <v>56.511</v>
          </cell>
          <cell r="D43">
            <v>172.6725</v>
          </cell>
          <cell r="E43">
            <v>178.9515</v>
          </cell>
          <cell r="F43">
            <v>1139.6385</v>
          </cell>
        </row>
        <row r="44">
          <cell r="B44">
            <v>462.592</v>
          </cell>
          <cell r="C44">
            <v>14.456</v>
          </cell>
          <cell r="D44">
            <v>50.596</v>
          </cell>
          <cell r="E44">
            <v>411.996</v>
          </cell>
          <cell r="F44">
            <v>2623.764</v>
          </cell>
        </row>
        <row r="60">
          <cell r="A60" t="str">
            <v>Fuel Consumption per Year, gals</v>
          </cell>
        </row>
        <row r="61">
          <cell r="B61" t="str">
            <v>No. Ships</v>
          </cell>
          <cell r="C61" t="str">
            <v>Cruising &amp; Maneuvering</v>
          </cell>
          <cell r="D61" t="str">
            <v>Tug Boats</v>
          </cell>
          <cell r="E61" t="str">
            <v>Total</v>
          </cell>
        </row>
        <row r="62">
          <cell r="A62" t="str">
            <v>Currently</v>
          </cell>
        </row>
        <row r="63">
          <cell r="A63" t="str">
            <v>Motor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Steam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Total 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Proposed</v>
          </cell>
        </row>
        <row r="67">
          <cell r="A67" t="str">
            <v>Motor</v>
          </cell>
          <cell r="C67">
            <v>41055</v>
          </cell>
          <cell r="D67">
            <v>900</v>
          </cell>
          <cell r="E67">
            <v>41955</v>
          </cell>
        </row>
        <row r="68">
          <cell r="A68" t="str">
            <v>Steam</v>
          </cell>
          <cell r="C68">
            <v>94520</v>
          </cell>
          <cell r="D68">
            <v>900</v>
          </cell>
          <cell r="E68">
            <v>95420</v>
          </cell>
        </row>
        <row r="69">
          <cell r="A69" t="str">
            <v>Total </v>
          </cell>
          <cell r="C69">
            <v>135575</v>
          </cell>
          <cell r="D69">
            <v>1800</v>
          </cell>
          <cell r="E69">
            <v>137375</v>
          </cell>
        </row>
        <row r="71">
          <cell r="C71">
            <v>135575</v>
          </cell>
          <cell r="D71">
            <v>1800</v>
          </cell>
          <cell r="E71">
            <v>137375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ip Emission Assumptions "/>
      <sheetName val="Ship Emission Calculations"/>
    </sheetNames>
    <sheetDataSet>
      <sheetData sheetId="0">
        <row r="11">
          <cell r="D11">
            <v>639</v>
          </cell>
          <cell r="E11">
            <v>19</v>
          </cell>
          <cell r="F11">
            <v>58</v>
          </cell>
          <cell r="G11">
            <v>57</v>
          </cell>
          <cell r="H11">
            <v>363</v>
          </cell>
        </row>
        <row r="12">
          <cell r="D12">
            <v>56</v>
          </cell>
          <cell r="E12">
            <v>0.7</v>
          </cell>
          <cell r="F12">
            <v>3.5</v>
          </cell>
          <cell r="G12">
            <v>20</v>
          </cell>
          <cell r="H12">
            <v>363</v>
          </cell>
        </row>
        <row r="18">
          <cell r="D18">
            <v>14.7</v>
          </cell>
          <cell r="E18">
            <v>2.8</v>
          </cell>
          <cell r="F18">
            <v>1.6</v>
          </cell>
          <cell r="G18">
            <v>0.6</v>
          </cell>
          <cell r="H18">
            <v>8</v>
          </cell>
        </row>
        <row r="19">
          <cell r="D19">
            <v>2.7</v>
          </cell>
          <cell r="E19">
            <v>0.1</v>
          </cell>
          <cell r="F19">
            <v>1.1</v>
          </cell>
          <cell r="G19">
            <v>0.3</v>
          </cell>
          <cell r="H19">
            <v>6.8</v>
          </cell>
        </row>
        <row r="20">
          <cell r="D20">
            <v>19.6</v>
          </cell>
          <cell r="E20">
            <v>0.8</v>
          </cell>
          <cell r="F20">
            <v>1</v>
          </cell>
          <cell r="G20">
            <v>2.7</v>
          </cell>
          <cell r="H20">
            <v>20.9</v>
          </cell>
        </row>
        <row r="31">
          <cell r="F31">
            <v>966</v>
          </cell>
        </row>
        <row r="32">
          <cell r="F32">
            <v>2224</v>
          </cell>
        </row>
        <row r="43">
          <cell r="B43">
            <v>2006.1405</v>
          </cell>
          <cell r="C43">
            <v>56.511</v>
          </cell>
          <cell r="D43">
            <v>172.6725</v>
          </cell>
          <cell r="E43">
            <v>178.9515</v>
          </cell>
          <cell r="F43">
            <v>1139.6385</v>
          </cell>
        </row>
        <row r="44">
          <cell r="B44">
            <v>462.592</v>
          </cell>
          <cell r="C44">
            <v>14.456</v>
          </cell>
          <cell r="D44">
            <v>50.596</v>
          </cell>
          <cell r="E44">
            <v>411.996</v>
          </cell>
          <cell r="F44">
            <v>2623.764</v>
          </cell>
        </row>
        <row r="60">
          <cell r="A60" t="str">
            <v>Fuel Consumption per Year, gals</v>
          </cell>
        </row>
        <row r="61">
          <cell r="B61" t="str">
            <v>No. Ships</v>
          </cell>
          <cell r="C61" t="str">
            <v>Cruising &amp; Maneuvering</v>
          </cell>
          <cell r="D61" t="str">
            <v>Tug Boats</v>
          </cell>
          <cell r="E61" t="str">
            <v>Total</v>
          </cell>
        </row>
        <row r="62">
          <cell r="A62" t="str">
            <v>Currently</v>
          </cell>
        </row>
        <row r="63">
          <cell r="A63" t="str">
            <v>Motor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Steam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Total 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Proposed</v>
          </cell>
        </row>
        <row r="67">
          <cell r="A67" t="str">
            <v>Motor</v>
          </cell>
          <cell r="C67">
            <v>41055</v>
          </cell>
          <cell r="D67">
            <v>900</v>
          </cell>
          <cell r="E67">
            <v>41955</v>
          </cell>
        </row>
        <row r="68">
          <cell r="A68" t="str">
            <v>Steam</v>
          </cell>
          <cell r="C68">
            <v>94520</v>
          </cell>
          <cell r="D68">
            <v>900</v>
          </cell>
          <cell r="E68">
            <v>95420</v>
          </cell>
        </row>
        <row r="69">
          <cell r="A69" t="str">
            <v>Total </v>
          </cell>
          <cell r="C69">
            <v>135575</v>
          </cell>
          <cell r="D69">
            <v>1800</v>
          </cell>
          <cell r="E69">
            <v>137375</v>
          </cell>
        </row>
        <row r="71">
          <cell r="C71">
            <v>135575</v>
          </cell>
          <cell r="D71">
            <v>1800</v>
          </cell>
          <cell r="E71">
            <v>137375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A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6" ht="15">
      <c r="A16" s="167" t="s">
        <v>146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D15">
      <selection activeCell="J32" sqref="J32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F2" s="395" t="s">
        <v>143</v>
      </c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F3" s="395" t="s">
        <v>91</v>
      </c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1</v>
      </c>
      <c r="E10" s="117"/>
      <c r="F10" s="117">
        <v>3</v>
      </c>
      <c r="G10" s="117"/>
      <c r="H10" s="117">
        <v>8</v>
      </c>
      <c r="I10" s="117">
        <v>7.7</v>
      </c>
      <c r="J10" s="117">
        <v>0.5</v>
      </c>
      <c r="K10" s="83">
        <f>+D10*H10*I10*J10</f>
        <v>30.8</v>
      </c>
      <c r="L10" s="83">
        <f>+F10*H10*I10*J10</f>
        <v>92.4</v>
      </c>
      <c r="M10" s="118">
        <f>+D10*H10*I10</f>
        <v>61.6</v>
      </c>
      <c r="N10" s="118">
        <f>+F10*H10*I10</f>
        <v>184.8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0.5</v>
      </c>
      <c r="K15" s="53">
        <f>+F15*I15*J15</f>
        <v>0.00030000000000000003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150</v>
      </c>
      <c r="G22" s="81"/>
      <c r="H22" s="53">
        <v>0</v>
      </c>
      <c r="I22" s="53">
        <v>0.5</v>
      </c>
      <c r="J22" s="127">
        <f>1.7*0.075/1.5*331/235*25/0.15*0.5</f>
        <v>9.976950354609931</v>
      </c>
      <c r="K22" s="128">
        <f>+H22*J22</f>
        <v>0</v>
      </c>
      <c r="L22" s="127">
        <f>I22*J22</f>
        <v>4.988475177304966</v>
      </c>
      <c r="M22" s="127">
        <f>K22*F22/2000</f>
        <v>0</v>
      </c>
      <c r="N22" s="127">
        <f>L22*F22/2000</f>
        <v>0.37413563829787244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30.8003</v>
      </c>
      <c r="J26" s="129">
        <f>+L10+L15+L22</f>
        <v>97.38888317730496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61.6006</v>
      </c>
      <c r="J27" s="130">
        <f>+N10+N15+N22</f>
        <v>185.1753356382979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O13:O14"/>
    <mergeCell ref="A7:A9"/>
    <mergeCell ref="K6:K9"/>
    <mergeCell ref="D5:D9"/>
    <mergeCell ref="O5:O9"/>
    <mergeCell ref="K5:L5"/>
    <mergeCell ref="M5:N5"/>
    <mergeCell ref="M6:M9"/>
    <mergeCell ref="N6:N9"/>
    <mergeCell ref="F2:J2"/>
    <mergeCell ref="F3:J3"/>
    <mergeCell ref="L6:L9"/>
    <mergeCell ref="H5:H9"/>
    <mergeCell ref="I5:I9"/>
    <mergeCell ref="J5:J9"/>
    <mergeCell ref="F5:F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26" t="s">
        <v>19</v>
      </c>
      <c r="B6" s="20">
        <v>1</v>
      </c>
      <c r="C6" s="21">
        <v>8</v>
      </c>
      <c r="D6" s="24">
        <f>0.015*79*0.465</f>
        <v>0.5510250000000001</v>
      </c>
      <c r="E6" s="24">
        <f>0.003*119*0.465</f>
        <v>0.166005</v>
      </c>
      <c r="F6" s="24">
        <f>0.022*119*0.465</f>
        <v>1.21737</v>
      </c>
      <c r="G6" s="24">
        <f>0.002*119*0.465</f>
        <v>0.11067000000000002</v>
      </c>
      <c r="H6" s="24">
        <f>0.001*119*0.465</f>
        <v>0.05533500000000001</v>
      </c>
      <c r="I6" s="23">
        <f>B6*C6*D6</f>
        <v>4.408200000000001</v>
      </c>
      <c r="J6" s="24">
        <f>B6*C6*E6</f>
        <v>1.32804</v>
      </c>
      <c r="K6" s="24">
        <f>B6*C6*F6</f>
        <v>9.73896</v>
      </c>
      <c r="L6" s="24">
        <f>B6*C6*G6</f>
        <v>0.8853600000000001</v>
      </c>
      <c r="M6" s="25">
        <f>B6*C6*H6</f>
        <v>0.4426800000000001</v>
      </c>
    </row>
    <row r="7" spans="1:13" ht="15">
      <c r="A7" s="19" t="s">
        <v>141</v>
      </c>
      <c r="B7" s="20">
        <v>1</v>
      </c>
      <c r="C7" s="21">
        <v>8</v>
      </c>
      <c r="D7" s="22">
        <v>1.8</v>
      </c>
      <c r="E7" s="22">
        <v>0.19</v>
      </c>
      <c r="F7" s="22">
        <v>4.17</v>
      </c>
      <c r="G7" s="22">
        <v>0.45</v>
      </c>
      <c r="H7" s="138">
        <v>0.26</v>
      </c>
      <c r="I7" s="23">
        <f>B7*C7*D7</f>
        <v>14.4</v>
      </c>
      <c r="J7" s="24">
        <f>B7*C7*E7</f>
        <v>1.52</v>
      </c>
      <c r="K7" s="24">
        <f>B7*C7*F7</f>
        <v>33.36</v>
      </c>
      <c r="L7" s="24">
        <f>B7*C7*G7</f>
        <v>3.6</v>
      </c>
      <c r="M7" s="25">
        <f>B7*C7*H7</f>
        <v>2.08</v>
      </c>
    </row>
    <row r="8" spans="1:13" ht="15.75" thickBot="1">
      <c r="A8" s="29" t="s">
        <v>29</v>
      </c>
      <c r="B8" s="30">
        <v>2</v>
      </c>
      <c r="C8" s="30">
        <v>8</v>
      </c>
      <c r="D8" s="31">
        <f>0.011*35*0.45</f>
        <v>0.17325</v>
      </c>
      <c r="E8" s="31">
        <f>0.002*35*0.45</f>
        <v>0.03150000000000001</v>
      </c>
      <c r="F8" s="31">
        <f>0.018*35*0.45</f>
        <v>0.28350000000000003</v>
      </c>
      <c r="G8" s="31">
        <f>0.002*35*0.45</f>
        <v>0.03150000000000001</v>
      </c>
      <c r="H8" s="31">
        <f>0.001*35*0.45</f>
        <v>0.015750000000000004</v>
      </c>
      <c r="I8" s="32">
        <f>B8*C8*D8</f>
        <v>2.772</v>
      </c>
      <c r="J8" s="31">
        <f>B8*C8*E8</f>
        <v>0.5040000000000001</v>
      </c>
      <c r="K8" s="31">
        <f>B8*C8*F8</f>
        <v>4.5360000000000005</v>
      </c>
      <c r="L8" s="31">
        <f>B8*C8*G8</f>
        <v>0.5040000000000001</v>
      </c>
      <c r="M8" s="33">
        <f>B8*C8*H8</f>
        <v>0.25200000000000006</v>
      </c>
    </row>
    <row r="9" spans="1:13" ht="14.25" thickBot="1" thickTop="1">
      <c r="A9" s="26"/>
      <c r="B9" s="34"/>
      <c r="C9" s="35"/>
      <c r="D9" s="34"/>
      <c r="E9" s="34"/>
      <c r="F9" s="34"/>
      <c r="G9" s="34"/>
      <c r="H9" s="34"/>
      <c r="I9" s="36"/>
      <c r="J9" s="37"/>
      <c r="K9" s="37"/>
      <c r="L9" s="37"/>
      <c r="M9" s="38"/>
    </row>
    <row r="10" spans="1:13" ht="13.5" thickBot="1">
      <c r="A10" s="39" t="s">
        <v>13</v>
      </c>
      <c r="B10" s="40"/>
      <c r="C10" s="41"/>
      <c r="D10" s="41"/>
      <c r="E10" s="40"/>
      <c r="F10" s="40"/>
      <c r="G10" s="40"/>
      <c r="H10" s="40"/>
      <c r="I10" s="42">
        <f>SUM(I6:I8)</f>
        <v>21.580199999999998</v>
      </c>
      <c r="J10" s="42">
        <f>SUM(J6:J8)</f>
        <v>3.35204</v>
      </c>
      <c r="K10" s="42">
        <f>SUM(K6:K8)</f>
        <v>47.63496</v>
      </c>
      <c r="L10" s="42">
        <f>SUM(L6:L8)</f>
        <v>4.9893600000000005</v>
      </c>
      <c r="M10" s="42">
        <f>SUM(M6:M8)</f>
        <v>2.7746800000000005</v>
      </c>
    </row>
    <row r="11" spans="1:13" ht="14.25" thickBot="1" thickTop="1">
      <c r="A11" s="43" t="s">
        <v>5</v>
      </c>
      <c r="B11" s="44"/>
      <c r="C11" s="45"/>
      <c r="D11" s="45"/>
      <c r="E11" s="46"/>
      <c r="F11" s="46"/>
      <c r="G11" s="46"/>
      <c r="H11" s="46"/>
      <c r="I11" s="46" t="s">
        <v>5</v>
      </c>
      <c r="J11" s="46" t="s">
        <v>5</v>
      </c>
      <c r="K11" s="46" t="s">
        <v>5</v>
      </c>
      <c r="L11" s="46" t="s">
        <v>5</v>
      </c>
      <c r="M11" s="47" t="s">
        <v>5</v>
      </c>
    </row>
    <row r="12" ht="13.5" thickTop="1"/>
    <row r="13" ht="12.75">
      <c r="A13" s="48" t="s">
        <v>14</v>
      </c>
    </row>
    <row r="14" ht="12.75">
      <c r="A14" s="48" t="s">
        <v>15</v>
      </c>
    </row>
    <row r="15" spans="1:5" ht="12.75">
      <c r="A15" s="48" t="s">
        <v>16</v>
      </c>
      <c r="B15" s="48"/>
      <c r="C15" s="48"/>
      <c r="D15" s="48"/>
      <c r="E15" s="49"/>
    </row>
    <row r="18" ht="12.75">
      <c r="A18" s="48" t="s">
        <v>17</v>
      </c>
    </row>
    <row r="20" ht="12.75">
      <c r="C20" t="s">
        <v>5</v>
      </c>
    </row>
  </sheetData>
  <sheetProtection/>
  <printOptions/>
  <pageMargins left="0.75" right="0.75" top="1" bottom="1" header="0.5" footer="0.5"/>
  <pageSetup horizontalDpi="300" verticalDpi="300" orientation="landscape" scale="75" r:id="rId1"/>
  <headerFooter alignWithMargins="0">
    <oddHeader>&amp;C&amp;"Arial,Bold"&amp;12Construction Equipment Emissions for the Equilon CARB Phase 3 Project 
Mormon Island Construction Equipment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J17">
      <selection activeCell="L36" sqref="L36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27" thickBot="1">
      <c r="A4" s="61" t="s">
        <v>39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56</v>
      </c>
      <c r="B12" s="354">
        <v>6</v>
      </c>
      <c r="C12" s="354">
        <f>B12*2</f>
        <v>12</v>
      </c>
      <c r="D12" s="354">
        <v>11.5</v>
      </c>
      <c r="E12" s="350">
        <f>C12*D12*B$4/453.6</f>
        <v>2.73505291005291</v>
      </c>
      <c r="F12" s="350">
        <f>C12*C$4/453.6</f>
        <v>0.3111111111111111</v>
      </c>
      <c r="G12" s="350">
        <f>C12*D12*(D$4+H$4)/453.6</f>
        <v>0.28293650793650793</v>
      </c>
      <c r="H12" s="350">
        <f>C12*(E$4+F$4)/453.6</f>
        <v>0.041005291005290996</v>
      </c>
      <c r="I12" s="350">
        <f>B12*8*G$4/453.6</f>
        <v>0.01798941798941799</v>
      </c>
      <c r="J12" s="350">
        <f>C12*D12*I$4/453.6</f>
        <v>0.2677248677248677</v>
      </c>
      <c r="K12" s="352">
        <f>C12*J$4/453.6</f>
        <v>0.01904761904761905</v>
      </c>
      <c r="L12" s="350">
        <f>C12*D12*K$4/453.6</f>
        <v>0.01521164021164021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2.75">
      <c r="A14" s="348" t="s">
        <v>57</v>
      </c>
      <c r="B14" s="354">
        <v>0</v>
      </c>
      <c r="C14" s="354">
        <f>B14</f>
        <v>0</v>
      </c>
      <c r="D14" s="354">
        <v>10</v>
      </c>
      <c r="E14" s="350">
        <f>C14*D14*B$4/453.6</f>
        <v>0</v>
      </c>
      <c r="F14" s="350">
        <f>C14*C$4/453.6</f>
        <v>0</v>
      </c>
      <c r="G14" s="350">
        <f>C14*D14*(D$4+H$4)/453.6</f>
        <v>0</v>
      </c>
      <c r="H14" s="350">
        <f>C14*(E$4+F$4)/453.6</f>
        <v>0</v>
      </c>
      <c r="I14" s="350">
        <f>B14*8*G$4/453.6</f>
        <v>0</v>
      </c>
      <c r="J14" s="350">
        <f>C14*D14*I$4/453.6</f>
        <v>0</v>
      </c>
      <c r="K14" s="352">
        <f>C14*J$4/453.6</f>
        <v>0</v>
      </c>
      <c r="L14" s="350">
        <f>C14*D14*K$4/453.6</f>
        <v>0</v>
      </c>
    </row>
    <row r="15" spans="1:12" ht="13.5" thickBot="1">
      <c r="A15" s="349"/>
      <c r="B15" s="355"/>
      <c r="C15" s="355"/>
      <c r="D15" s="355"/>
      <c r="E15" s="351"/>
      <c r="F15" s="351"/>
      <c r="G15" s="351"/>
      <c r="H15" s="351"/>
      <c r="I15" s="351"/>
      <c r="J15" s="351"/>
      <c r="K15" s="353"/>
      <c r="L15" s="351"/>
    </row>
    <row r="16" spans="1:12" ht="12.75">
      <c r="A16" s="361" t="s">
        <v>40</v>
      </c>
      <c r="B16" s="354">
        <v>1</v>
      </c>
      <c r="C16" s="354">
        <f>B16*2</f>
        <v>2</v>
      </c>
      <c r="D16" s="354">
        <v>11.5</v>
      </c>
      <c r="E16" s="350">
        <f>C16*D16*B6/453.6</f>
        <v>2.4718915343915344</v>
      </c>
      <c r="F16" s="350">
        <f>C16*C5/453.6</f>
        <v>0.061507936507936505</v>
      </c>
      <c r="G16" s="350">
        <f>C16*D16*(D6+H6)/453.6</f>
        <v>0.07605820105820106</v>
      </c>
      <c r="H16" s="350">
        <f>C16*(E5+F5)/453.6</f>
        <v>0.007142857142857143</v>
      </c>
      <c r="I16" s="350">
        <f>B16*8*G5/453.6</f>
        <v>0.002821869488536155</v>
      </c>
      <c r="J16" s="350">
        <f>I5*C16*D16/453.6</f>
        <v>0.0689594356261023</v>
      </c>
      <c r="K16" s="350">
        <f>J5*C16/453.6</f>
        <v>0.004717813051146384</v>
      </c>
      <c r="L16" s="350">
        <f>K5*C16*D16/453.6</f>
        <v>0.0035493827160493828</v>
      </c>
    </row>
    <row r="17" spans="1:12" ht="13.5" thickBot="1">
      <c r="A17" s="369"/>
      <c r="B17" s="360"/>
      <c r="C17" s="355"/>
      <c r="D17" s="360"/>
      <c r="E17" s="351"/>
      <c r="F17" s="351"/>
      <c r="G17" s="351"/>
      <c r="H17" s="351"/>
      <c r="I17" s="351"/>
      <c r="J17" s="351"/>
      <c r="K17" s="351"/>
      <c r="L17" s="351"/>
    </row>
    <row r="18" spans="1:12" ht="13.5" thickBot="1">
      <c r="A18" s="76" t="s">
        <v>58</v>
      </c>
      <c r="B18" s="77">
        <v>0</v>
      </c>
      <c r="C18" s="73">
        <v>0</v>
      </c>
      <c r="D18" s="73">
        <v>0</v>
      </c>
      <c r="E18" s="78">
        <f>C18*D18*B$6/453.6</f>
        <v>0</v>
      </c>
      <c r="F18" s="78" t="s">
        <v>42</v>
      </c>
      <c r="G18" s="78">
        <f>C18*D18*(D$6+H$6)/453.6</f>
        <v>0</v>
      </c>
      <c r="H18" s="78">
        <f>C18*(E5+F5)/453.6</f>
        <v>0</v>
      </c>
      <c r="I18" s="78" t="s">
        <v>42</v>
      </c>
      <c r="J18" s="78">
        <f>C18*D18*I$6/453.6</f>
        <v>0</v>
      </c>
      <c r="K18" s="78">
        <f>J4*C18/453.6</f>
        <v>0</v>
      </c>
      <c r="L18" s="79">
        <f>K$6*C18*D18/453.6</f>
        <v>0</v>
      </c>
    </row>
    <row r="19" spans="1:13" ht="13.5" thickBot="1">
      <c r="A19" s="61" t="s">
        <v>59</v>
      </c>
      <c r="B19" s="62">
        <v>1</v>
      </c>
      <c r="C19" s="65">
        <v>1</v>
      </c>
      <c r="D19" s="65">
        <v>2</v>
      </c>
      <c r="E19" s="78">
        <f>C19*D19*B$6/453.6</f>
        <v>0.21494708994708994</v>
      </c>
      <c r="F19" s="78" t="s">
        <v>42</v>
      </c>
      <c r="G19" s="78">
        <f>C19*D19*(D$6+H$6)/453.6</f>
        <v>0.006613756613756613</v>
      </c>
      <c r="H19" s="78">
        <f>C19*(E6+F6)/453.6</f>
        <v>0.005820105820105819</v>
      </c>
      <c r="I19" s="78" t="s">
        <v>42</v>
      </c>
      <c r="J19" s="78">
        <f>C19*D19*I$6/453.6</f>
        <v>0.08403880070546736</v>
      </c>
      <c r="K19" s="78">
        <f>J5*C19/453.6</f>
        <v>0.002358906525573192</v>
      </c>
      <c r="L19" s="79">
        <f>K$6*C19*D19/453.6</f>
        <v>0.002689594356261023</v>
      </c>
      <c r="M19" t="s">
        <v>5</v>
      </c>
    </row>
    <row r="20" spans="1:12" ht="13.5" thickBot="1">
      <c r="A20" s="80" t="s">
        <v>41</v>
      </c>
      <c r="B20" s="62">
        <v>1</v>
      </c>
      <c r="C20" s="65">
        <f>B20*2</f>
        <v>2</v>
      </c>
      <c r="D20" s="65">
        <v>50</v>
      </c>
      <c r="E20" s="78">
        <f>C20*D20*B$6/453.6</f>
        <v>10.747354497354497</v>
      </c>
      <c r="F20" s="78" t="s">
        <v>42</v>
      </c>
      <c r="G20" s="78">
        <f>C20*D20*(D$6+H$6)/453.6</f>
        <v>0.3306878306878307</v>
      </c>
      <c r="H20" s="78">
        <f>C20*(E6+F6)/453.6</f>
        <v>0.011640211640211638</v>
      </c>
      <c r="I20" s="78" t="s">
        <v>42</v>
      </c>
      <c r="J20" s="78">
        <f>C20*D20*I$6/453.6</f>
        <v>4.201940035273368</v>
      </c>
      <c r="K20" s="78">
        <f>J5*C20/453.6</f>
        <v>0.004717813051146384</v>
      </c>
      <c r="L20" s="79">
        <f>K$6*C20*D20/453.6</f>
        <v>0.13447971781305115</v>
      </c>
    </row>
    <row r="21" spans="1:12" ht="13.5" thickBot="1">
      <c r="A21" s="81"/>
      <c r="B21" s="53"/>
      <c r="C21" s="53"/>
      <c r="D21" s="53"/>
      <c r="E21" s="82"/>
      <c r="F21" s="82"/>
      <c r="G21" s="82"/>
      <c r="H21" s="82"/>
      <c r="I21" s="82"/>
      <c r="J21" s="82"/>
      <c r="K21" s="82"/>
      <c r="L21" s="82"/>
    </row>
    <row r="22" spans="1:12" ht="13.5" thickBot="1">
      <c r="A22" s="67" t="s">
        <v>48</v>
      </c>
      <c r="B22" s="370" t="s">
        <v>43</v>
      </c>
      <c r="C22" s="358"/>
      <c r="D22" s="357"/>
      <c r="E22" s="371" t="s">
        <v>8</v>
      </c>
      <c r="F22" s="372"/>
      <c r="G22" s="371" t="s">
        <v>9</v>
      </c>
      <c r="H22" s="373"/>
      <c r="I22" s="372"/>
      <c r="J22" s="371" t="s">
        <v>10</v>
      </c>
      <c r="K22" s="372"/>
      <c r="L22" s="83" t="s">
        <v>12</v>
      </c>
    </row>
    <row r="23" spans="1:12" ht="12.75" customHeight="1">
      <c r="A23" s="367" t="s">
        <v>60</v>
      </c>
      <c r="B23" s="354">
        <f>B12+B14</f>
        <v>6</v>
      </c>
      <c r="C23" s="354">
        <f>C12+C14</f>
        <v>12</v>
      </c>
      <c r="D23" s="354"/>
      <c r="E23" s="374">
        <f>E12+F12+E14+F14</f>
        <v>3.046164021164021</v>
      </c>
      <c r="F23" s="352"/>
      <c r="G23" s="374">
        <f>G12+H12+I12+G14+H14+I14</f>
        <v>0.3419312169312169</v>
      </c>
      <c r="H23" s="376"/>
      <c r="I23" s="377"/>
      <c r="J23" s="374">
        <f>J12+K12+J14+K14</f>
        <v>0.28677248677248673</v>
      </c>
      <c r="K23" s="352"/>
      <c r="L23" s="350">
        <f>L12+L14</f>
        <v>0.01521164021164021</v>
      </c>
    </row>
    <row r="24" spans="1:12" ht="13.5" thickBot="1">
      <c r="A24" s="368"/>
      <c r="B24" s="355"/>
      <c r="C24" s="355"/>
      <c r="D24" s="355"/>
      <c r="E24" s="375"/>
      <c r="F24" s="353"/>
      <c r="G24" s="375"/>
      <c r="H24" s="378"/>
      <c r="I24" s="379"/>
      <c r="J24" s="375"/>
      <c r="K24" s="353"/>
      <c r="L24" s="351"/>
    </row>
    <row r="25" spans="1:12" ht="12.75" customHeight="1">
      <c r="A25" s="361" t="s">
        <v>61</v>
      </c>
      <c r="B25" s="354">
        <f>B16</f>
        <v>1</v>
      </c>
      <c r="C25" s="354">
        <f>C16</f>
        <v>2</v>
      </c>
      <c r="D25" s="354"/>
      <c r="E25" s="374">
        <f>E16+F16</f>
        <v>2.5333994708994707</v>
      </c>
      <c r="F25" s="352"/>
      <c r="G25" s="374">
        <f>G16+H16+I16</f>
        <v>0.08602292768959437</v>
      </c>
      <c r="H25" s="376"/>
      <c r="I25" s="377"/>
      <c r="J25" s="374">
        <f>J16+K16</f>
        <v>0.07367724867724867</v>
      </c>
      <c r="K25" s="352"/>
      <c r="L25" s="350">
        <f>L16</f>
        <v>0.0035493827160493828</v>
      </c>
    </row>
    <row r="26" spans="1:12" ht="15.75" customHeight="1" thickBot="1">
      <c r="A26" s="369"/>
      <c r="B26" s="360"/>
      <c r="C26" s="360"/>
      <c r="D26" s="360"/>
      <c r="E26" s="375"/>
      <c r="F26" s="353"/>
      <c r="G26" s="375"/>
      <c r="H26" s="378"/>
      <c r="I26" s="379"/>
      <c r="J26" s="375"/>
      <c r="K26" s="353"/>
      <c r="L26" s="351"/>
    </row>
    <row r="27" spans="1:12" ht="15.75" customHeight="1" thickBot="1">
      <c r="A27" s="76" t="s">
        <v>58</v>
      </c>
      <c r="B27" s="77">
        <f>+B18</f>
        <v>0</v>
      </c>
      <c r="C27" s="73">
        <f>+C18</f>
        <v>0</v>
      </c>
      <c r="D27" s="55"/>
      <c r="E27" s="371">
        <f>+E18</f>
        <v>0</v>
      </c>
      <c r="F27" s="357"/>
      <c r="G27" s="371">
        <f>+G18+H18</f>
        <v>0</v>
      </c>
      <c r="H27" s="380"/>
      <c r="I27" s="381"/>
      <c r="J27" s="371">
        <f>+J18+K18</f>
        <v>0</v>
      </c>
      <c r="K27" s="357"/>
      <c r="L27" s="75">
        <f>+L18</f>
        <v>0</v>
      </c>
    </row>
    <row r="28" spans="1:12" ht="27.75" customHeight="1" thickBot="1">
      <c r="A28" s="86" t="s">
        <v>62</v>
      </c>
      <c r="B28" s="65">
        <f>B20+B19</f>
        <v>2</v>
      </c>
      <c r="C28" s="65">
        <f>+C19+C20</f>
        <v>3</v>
      </c>
      <c r="D28" s="65"/>
      <c r="E28" s="371">
        <f>+E19+E20</f>
        <v>10.962301587301587</v>
      </c>
      <c r="F28" s="372"/>
      <c r="G28" s="371">
        <f>G19+G20+H19+H20</f>
        <v>0.3547619047619048</v>
      </c>
      <c r="H28" s="373"/>
      <c r="I28" s="372"/>
      <c r="J28" s="371">
        <f>J20+J19+K19+K20</f>
        <v>4.293055555555555</v>
      </c>
      <c r="K28" s="372"/>
      <c r="L28" s="79">
        <f>L20+L19</f>
        <v>0.13716931216931216</v>
      </c>
    </row>
    <row r="29" spans="1:12" ht="13.5" thickBot="1">
      <c r="A29" s="68" t="s">
        <v>63</v>
      </c>
      <c r="B29" s="64"/>
      <c r="C29" s="81"/>
      <c r="D29" s="87"/>
      <c r="E29" s="371">
        <f>SUM(E23:F28)</f>
        <v>16.541865079365078</v>
      </c>
      <c r="F29" s="357"/>
      <c r="G29" s="371">
        <f>SUM(G23:I28)</f>
        <v>0.7827160493827161</v>
      </c>
      <c r="H29" s="358"/>
      <c r="I29" s="357"/>
      <c r="J29" s="371">
        <f>SUM(J23:K28)</f>
        <v>4.653505291005291</v>
      </c>
      <c r="K29" s="357"/>
      <c r="L29" s="78">
        <f>SUM(L23:L28)</f>
        <v>0.15593033509700177</v>
      </c>
    </row>
    <row r="31" ht="12.75">
      <c r="A31" s="48" t="s">
        <v>64</v>
      </c>
    </row>
    <row r="32" ht="12.75">
      <c r="A32" s="48" t="s">
        <v>65</v>
      </c>
    </row>
    <row r="33" ht="12.75">
      <c r="A33" s="48" t="s">
        <v>66</v>
      </c>
    </row>
    <row r="34" ht="12.75">
      <c r="A34" s="48" t="s">
        <v>67</v>
      </c>
    </row>
    <row r="35" ht="12.75">
      <c r="L35" s="88">
        <v>37067</v>
      </c>
    </row>
    <row r="36" ht="12.75">
      <c r="A36" s="48"/>
    </row>
    <row r="38" ht="12.75">
      <c r="A38" s="48" t="s">
        <v>17</v>
      </c>
    </row>
    <row r="39" ht="12.75">
      <c r="L39" s="88"/>
    </row>
  </sheetData>
  <sheetProtection/>
  <mergeCells count="76">
    <mergeCell ref="G27:I27"/>
    <mergeCell ref="J27:K27"/>
    <mergeCell ref="E27:F27"/>
    <mergeCell ref="E29:F29"/>
    <mergeCell ref="G29:I29"/>
    <mergeCell ref="J29:K29"/>
    <mergeCell ref="E28:F28"/>
    <mergeCell ref="G28:I28"/>
    <mergeCell ref="J28:K28"/>
    <mergeCell ref="G25:I26"/>
    <mergeCell ref="J25:K26"/>
    <mergeCell ref="E25:F26"/>
    <mergeCell ref="L25:L26"/>
    <mergeCell ref="A25:A26"/>
    <mergeCell ref="B25:B26"/>
    <mergeCell ref="C25:C26"/>
    <mergeCell ref="D25:D26"/>
    <mergeCell ref="E23:F24"/>
    <mergeCell ref="G23:I24"/>
    <mergeCell ref="J23:K24"/>
    <mergeCell ref="L23:L24"/>
    <mergeCell ref="A23:A24"/>
    <mergeCell ref="B23:B24"/>
    <mergeCell ref="C23:C24"/>
    <mergeCell ref="D23:D24"/>
    <mergeCell ref="B22:D22"/>
    <mergeCell ref="E22:F22"/>
    <mergeCell ref="G22:I22"/>
    <mergeCell ref="J22:K22"/>
    <mergeCell ref="I16:I17"/>
    <mergeCell ref="J16:J17"/>
    <mergeCell ref="K16:K17"/>
    <mergeCell ref="H16:H17"/>
    <mergeCell ref="L16:L17"/>
    <mergeCell ref="K12:K13"/>
    <mergeCell ref="L12:L13"/>
    <mergeCell ref="A16:A17"/>
    <mergeCell ref="B16:B17"/>
    <mergeCell ref="C16:C17"/>
    <mergeCell ref="D16:D17"/>
    <mergeCell ref="E16:E17"/>
    <mergeCell ref="F16:F17"/>
    <mergeCell ref="G16:G17"/>
    <mergeCell ref="G12:G13"/>
    <mergeCell ref="H12:H13"/>
    <mergeCell ref="I12:I13"/>
    <mergeCell ref="J12:J13"/>
    <mergeCell ref="A12:A13"/>
    <mergeCell ref="B12:B13"/>
    <mergeCell ref="C12:C13"/>
    <mergeCell ref="D12:D13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E12:E13"/>
    <mergeCell ref="F12:F13"/>
    <mergeCell ref="C14:C15"/>
    <mergeCell ref="E14:E15"/>
    <mergeCell ref="F14:F15"/>
    <mergeCell ref="A14:A15"/>
    <mergeCell ref="L14:L15"/>
    <mergeCell ref="K14:K15"/>
    <mergeCell ref="J14:J15"/>
    <mergeCell ref="G14:G15"/>
    <mergeCell ref="H14:H15"/>
    <mergeCell ref="I14:I15"/>
    <mergeCell ref="B14:B15"/>
    <mergeCell ref="D14:D15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73" r:id="rId1"/>
  <headerFooter alignWithMargins="0">
    <oddHeader>&amp;C&amp;"Arial,Bold"&amp;12Construction Vehicle Emissions for the Equilon CARB 
Phase 3 Project 
Mormon Island Terminal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8">
      <selection activeCell="G28" sqref="G28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68</v>
      </c>
      <c r="D1" s="1"/>
    </row>
    <row r="2" spans="6:9" ht="17.25">
      <c r="F2" s="89" t="s">
        <v>69</v>
      </c>
      <c r="G2" s="90"/>
      <c r="H2" s="90"/>
      <c r="I2" s="90"/>
    </row>
    <row r="3" spans="6:9" ht="17.25">
      <c r="F3" s="89"/>
      <c r="G3" s="90"/>
      <c r="H3" s="90"/>
      <c r="I3" s="90"/>
    </row>
    <row r="4" spans="3:9" ht="15">
      <c r="C4" s="382" t="s">
        <v>144</v>
      </c>
      <c r="D4" s="382"/>
      <c r="E4" s="382"/>
      <c r="F4" s="382"/>
      <c r="G4" s="382"/>
      <c r="H4" s="382"/>
      <c r="I4" s="382"/>
    </row>
    <row r="5" ht="13.5" thickBot="1"/>
    <row r="6" spans="1:10" ht="39.75" thickBot="1">
      <c r="A6" s="356" t="s">
        <v>71</v>
      </c>
      <c r="B6" s="358"/>
      <c r="C6" s="81"/>
      <c r="D6" s="52" t="s">
        <v>72</v>
      </c>
      <c r="E6" s="53"/>
      <c r="F6" s="53" t="s">
        <v>73</v>
      </c>
      <c r="G6" s="92" t="s">
        <v>74</v>
      </c>
      <c r="H6" s="92" t="s">
        <v>75</v>
      </c>
      <c r="I6" s="93" t="s">
        <v>76</v>
      </c>
      <c r="J6" s="94" t="s">
        <v>77</v>
      </c>
    </row>
    <row r="7" spans="1:10" ht="12.75">
      <c r="A7" s="80"/>
      <c r="B7" s="50"/>
      <c r="C7" s="50"/>
      <c r="D7" s="95"/>
      <c r="E7" s="50"/>
      <c r="F7" s="50"/>
      <c r="G7" s="50"/>
      <c r="H7" s="50"/>
      <c r="I7" s="50"/>
      <c r="J7" s="96"/>
    </row>
    <row r="8" spans="1:10" ht="12.75">
      <c r="A8" s="67" t="s">
        <v>78</v>
      </c>
      <c r="B8" s="50"/>
      <c r="C8" s="50"/>
      <c r="D8" s="95"/>
      <c r="E8" s="50"/>
      <c r="F8" s="50"/>
      <c r="G8" s="50"/>
      <c r="H8" s="50"/>
      <c r="I8" s="50"/>
      <c r="J8" s="97"/>
    </row>
    <row r="9" spans="1:10" ht="12.75">
      <c r="A9" s="67" t="s">
        <v>79</v>
      </c>
      <c r="B9" s="50"/>
      <c r="D9" s="98">
        <v>6</v>
      </c>
      <c r="E9" s="99"/>
      <c r="F9" s="99" t="s">
        <v>80</v>
      </c>
      <c r="G9" s="99">
        <v>2</v>
      </c>
      <c r="H9" s="99">
        <v>11.5</v>
      </c>
      <c r="I9" s="50">
        <v>0.0012</v>
      </c>
      <c r="J9" s="77">
        <f>D9*G9*H9*I9</f>
        <v>0.1656</v>
      </c>
    </row>
    <row r="10" spans="1:10" ht="12.75">
      <c r="A10" s="67" t="s">
        <v>81</v>
      </c>
      <c r="B10" s="50"/>
      <c r="C10" s="50"/>
      <c r="D10" s="95"/>
      <c r="E10" s="50"/>
      <c r="F10" s="50"/>
      <c r="G10" s="50"/>
      <c r="H10" s="50"/>
      <c r="I10" s="50"/>
      <c r="J10" s="97"/>
    </row>
    <row r="11" spans="1:10" ht="12.75">
      <c r="A11" s="67"/>
      <c r="B11" s="50"/>
      <c r="C11" s="50"/>
      <c r="D11" s="95"/>
      <c r="E11" s="50"/>
      <c r="F11" s="50"/>
      <c r="G11" s="50"/>
      <c r="H11" s="50"/>
      <c r="I11" s="50"/>
      <c r="J11" s="97"/>
    </row>
    <row r="12" spans="1:10" ht="12.75">
      <c r="A12" s="67" t="s">
        <v>82</v>
      </c>
      <c r="B12" s="50"/>
      <c r="C12" s="50"/>
      <c r="D12" s="98">
        <v>0</v>
      </c>
      <c r="E12" s="99"/>
      <c r="F12" s="99" t="s">
        <v>83</v>
      </c>
      <c r="G12" s="99"/>
      <c r="H12" s="99">
        <v>6</v>
      </c>
      <c r="I12" s="50">
        <v>0.0288</v>
      </c>
      <c r="J12" s="77">
        <f>D12*H12*I12</f>
        <v>0</v>
      </c>
    </row>
    <row r="13" spans="1:10" ht="12.75">
      <c r="A13" s="67" t="s">
        <v>81</v>
      </c>
      <c r="B13" s="50"/>
      <c r="C13" s="50"/>
      <c r="D13" s="98"/>
      <c r="E13" s="99"/>
      <c r="F13" s="99"/>
      <c r="G13" s="99"/>
      <c r="H13" s="99"/>
      <c r="I13" s="50"/>
      <c r="J13" s="77"/>
    </row>
    <row r="14" spans="1:10" ht="12.75">
      <c r="A14" s="67"/>
      <c r="B14" s="50"/>
      <c r="C14" s="50"/>
      <c r="D14" s="95"/>
      <c r="E14" s="50"/>
      <c r="F14" s="50"/>
      <c r="G14" s="50"/>
      <c r="H14" s="50"/>
      <c r="I14" s="50"/>
      <c r="J14" s="97"/>
    </row>
    <row r="15" spans="1:10" ht="12.75">
      <c r="A15" s="67" t="s">
        <v>84</v>
      </c>
      <c r="B15" s="50"/>
      <c r="C15" s="50"/>
      <c r="D15" s="98">
        <v>1</v>
      </c>
      <c r="E15" s="99"/>
      <c r="F15" s="99" t="s">
        <v>80</v>
      </c>
      <c r="G15" s="99">
        <v>2</v>
      </c>
      <c r="H15" s="99">
        <v>11.5</v>
      </c>
      <c r="I15" s="50">
        <v>0.0288</v>
      </c>
      <c r="J15" s="77">
        <f>D15*G15*H15*I15</f>
        <v>0.6624</v>
      </c>
    </row>
    <row r="16" spans="1:10" ht="12.75">
      <c r="A16" s="67" t="s">
        <v>81</v>
      </c>
      <c r="B16" s="50"/>
      <c r="C16" s="50"/>
      <c r="D16" s="95"/>
      <c r="E16" s="50"/>
      <c r="F16" s="50"/>
      <c r="G16" s="50"/>
      <c r="H16" s="50"/>
      <c r="I16" s="50"/>
      <c r="J16" s="97"/>
    </row>
    <row r="17" spans="1:10" ht="12.75">
      <c r="A17" s="67"/>
      <c r="B17" s="50"/>
      <c r="C17" s="50"/>
      <c r="D17" s="95"/>
      <c r="E17" s="50"/>
      <c r="F17" s="50"/>
      <c r="G17" s="50"/>
      <c r="H17" s="50"/>
      <c r="I17" s="50"/>
      <c r="J17" s="97"/>
    </row>
    <row r="18" spans="1:10" ht="12.75">
      <c r="A18" s="67" t="s">
        <v>85</v>
      </c>
      <c r="B18" s="50"/>
      <c r="C18" s="50"/>
      <c r="D18" s="98">
        <v>1</v>
      </c>
      <c r="E18" s="99"/>
      <c r="F18" s="99" t="s">
        <v>83</v>
      </c>
      <c r="G18" s="99">
        <v>2</v>
      </c>
      <c r="H18" s="99">
        <v>50</v>
      </c>
      <c r="I18" s="50">
        <v>0.0288</v>
      </c>
      <c r="J18" s="77">
        <f>D18*G18*H18*I18</f>
        <v>2.88</v>
      </c>
    </row>
    <row r="19" spans="1:10" ht="12.75">
      <c r="A19" s="67" t="s">
        <v>81</v>
      </c>
      <c r="B19" s="50"/>
      <c r="C19" s="50"/>
      <c r="D19" s="95"/>
      <c r="E19" s="50"/>
      <c r="F19" s="50"/>
      <c r="G19" s="50"/>
      <c r="H19" s="50"/>
      <c r="I19" s="50"/>
      <c r="J19" s="97"/>
    </row>
    <row r="20" spans="1:10" ht="12.75">
      <c r="A20" s="67"/>
      <c r="B20" s="50"/>
      <c r="C20" s="50"/>
      <c r="D20" s="95"/>
      <c r="E20" s="50"/>
      <c r="F20" s="50"/>
      <c r="G20" s="50"/>
      <c r="H20" s="50"/>
      <c r="I20" s="50"/>
      <c r="J20" s="97"/>
    </row>
    <row r="21" spans="1:10" ht="12.75">
      <c r="A21" s="67" t="s">
        <v>86</v>
      </c>
      <c r="B21" s="50"/>
      <c r="C21" s="50"/>
      <c r="D21" s="98">
        <v>0</v>
      </c>
      <c r="E21" s="99"/>
      <c r="F21" s="99" t="s">
        <v>80</v>
      </c>
      <c r="G21" s="99">
        <v>1</v>
      </c>
      <c r="H21" s="99">
        <v>0</v>
      </c>
      <c r="I21" s="50">
        <v>17.82</v>
      </c>
      <c r="J21" s="77">
        <f>D21*G21*H21*I21</f>
        <v>0</v>
      </c>
    </row>
    <row r="22" spans="1:10" ht="12.75">
      <c r="A22" s="67"/>
      <c r="B22" s="50"/>
      <c r="C22" s="50"/>
      <c r="D22" s="98"/>
      <c r="E22" s="99"/>
      <c r="F22" s="99"/>
      <c r="G22" s="99"/>
      <c r="H22" s="99"/>
      <c r="I22" s="50"/>
      <c r="J22" s="77"/>
    </row>
    <row r="23" spans="1:10" ht="13.5" thickBot="1">
      <c r="A23" s="67" t="s">
        <v>86</v>
      </c>
      <c r="B23" s="50"/>
      <c r="C23" s="50"/>
      <c r="D23" s="98">
        <v>1</v>
      </c>
      <c r="E23" s="99"/>
      <c r="F23" s="99" t="s">
        <v>83</v>
      </c>
      <c r="G23" s="99">
        <v>1</v>
      </c>
      <c r="H23" s="99">
        <v>0.25</v>
      </c>
      <c r="I23" s="50">
        <v>17.82</v>
      </c>
      <c r="J23" s="77">
        <f>D23*G23*H23*I23</f>
        <v>4.455</v>
      </c>
    </row>
    <row r="24" spans="1:10" ht="13.5" thickBot="1">
      <c r="A24" s="64" t="s">
        <v>87</v>
      </c>
      <c r="B24" s="81"/>
      <c r="C24" s="81"/>
      <c r="D24" s="52">
        <f>SUM(D9:D23)</f>
        <v>9</v>
      </c>
      <c r="E24" s="81"/>
      <c r="F24" s="81"/>
      <c r="G24" s="81"/>
      <c r="H24" s="81"/>
      <c r="I24" s="81"/>
      <c r="J24" s="65">
        <f>SUM(J9:J23)</f>
        <v>8.163</v>
      </c>
    </row>
    <row r="26" ht="12.75">
      <c r="A26" s="48" t="s">
        <v>88</v>
      </c>
    </row>
    <row r="27" ht="12.75">
      <c r="A27" s="48"/>
    </row>
    <row r="28" ht="12.75">
      <c r="A28" s="48" t="s">
        <v>89</v>
      </c>
    </row>
  </sheetData>
  <sheetProtection/>
  <mergeCells count="2">
    <mergeCell ref="A6:B6"/>
    <mergeCell ref="C4:I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B16">
      <selection activeCell="F30" sqref="F30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28125" style="0" customWidth="1"/>
    <col min="15" max="15" width="11.00390625" style="0" customWidth="1"/>
    <col min="16" max="16" width="11.28125" style="0" customWidth="1"/>
  </cols>
  <sheetData>
    <row r="2" spans="1:13" ht="17.25">
      <c r="A2" s="100"/>
      <c r="B2" s="101"/>
      <c r="E2" s="395" t="s">
        <v>145</v>
      </c>
      <c r="F2" s="396"/>
      <c r="G2" s="396"/>
      <c r="H2" s="396"/>
      <c r="I2" s="396"/>
      <c r="L2" s="101"/>
      <c r="M2" s="101"/>
    </row>
    <row r="3" spans="1:13" ht="17.25">
      <c r="A3" s="100"/>
      <c r="B3" s="101"/>
      <c r="E3" s="395" t="s">
        <v>146</v>
      </c>
      <c r="F3" s="396"/>
      <c r="G3" s="396"/>
      <c r="H3" s="396"/>
      <c r="I3" s="396"/>
      <c r="L3" s="101"/>
      <c r="M3" s="101"/>
    </row>
    <row r="4" spans="1:13" ht="18" thickBot="1">
      <c r="A4" s="100"/>
      <c r="B4" s="101"/>
      <c r="E4" s="100"/>
      <c r="F4" s="101"/>
      <c r="G4" s="101"/>
      <c r="L4" s="101"/>
      <c r="M4" s="101"/>
    </row>
    <row r="5" spans="1:14" ht="18" thickBot="1">
      <c r="A5" s="102"/>
      <c r="B5" s="103"/>
      <c r="C5" s="389" t="s">
        <v>92</v>
      </c>
      <c r="D5" s="104"/>
      <c r="E5" s="389" t="s">
        <v>93</v>
      </c>
      <c r="F5" s="103"/>
      <c r="G5" s="397" t="s">
        <v>94</v>
      </c>
      <c r="H5" s="397" t="s">
        <v>95</v>
      </c>
      <c r="I5" s="397" t="s">
        <v>96</v>
      </c>
      <c r="J5" s="356" t="s">
        <v>97</v>
      </c>
      <c r="K5" s="357"/>
      <c r="L5" s="393" t="s">
        <v>98</v>
      </c>
      <c r="M5" s="392"/>
      <c r="N5" s="388" t="s">
        <v>99</v>
      </c>
    </row>
    <row r="6" spans="1:14" ht="18" customHeight="1" thickBot="1">
      <c r="A6" s="108"/>
      <c r="B6" s="109"/>
      <c r="C6" s="390"/>
      <c r="D6" s="50"/>
      <c r="E6" s="390"/>
      <c r="F6" s="109"/>
      <c r="G6" s="390"/>
      <c r="H6" s="390"/>
      <c r="I6" s="390"/>
      <c r="J6" s="388" t="s">
        <v>100</v>
      </c>
      <c r="K6" s="383" t="s">
        <v>101</v>
      </c>
      <c r="L6" s="388" t="s">
        <v>100</v>
      </c>
      <c r="M6" s="383" t="s">
        <v>101</v>
      </c>
      <c r="N6" s="392"/>
    </row>
    <row r="7" spans="1:14" ht="12.75" customHeight="1" thickBot="1">
      <c r="A7" s="385" t="s">
        <v>102</v>
      </c>
      <c r="B7" s="111"/>
      <c r="C7" s="390"/>
      <c r="D7" s="112"/>
      <c r="E7" s="390"/>
      <c r="F7" s="111"/>
      <c r="G7" s="390"/>
      <c r="H7" s="390"/>
      <c r="I7" s="390"/>
      <c r="J7" s="388"/>
      <c r="K7" s="394"/>
      <c r="L7" s="388"/>
      <c r="M7" s="394"/>
      <c r="N7" s="392"/>
    </row>
    <row r="8" spans="1:14" ht="13.5" thickBot="1">
      <c r="A8" s="386"/>
      <c r="B8" s="111"/>
      <c r="C8" s="390"/>
      <c r="D8" s="112"/>
      <c r="E8" s="390"/>
      <c r="F8" s="111"/>
      <c r="G8" s="390"/>
      <c r="H8" s="390"/>
      <c r="I8" s="390"/>
      <c r="J8" s="388"/>
      <c r="K8" s="394"/>
      <c r="L8" s="388"/>
      <c r="M8" s="394"/>
      <c r="N8" s="392"/>
    </row>
    <row r="9" spans="1:14" ht="13.5" thickBot="1">
      <c r="A9" s="387"/>
      <c r="B9" s="113"/>
      <c r="C9" s="391"/>
      <c r="D9" s="114"/>
      <c r="E9" s="391"/>
      <c r="F9" s="113"/>
      <c r="G9" s="391"/>
      <c r="H9" s="391"/>
      <c r="I9" s="391"/>
      <c r="J9" s="388"/>
      <c r="K9" s="384"/>
      <c r="L9" s="388"/>
      <c r="M9" s="384"/>
      <c r="N9" s="392"/>
    </row>
    <row r="10" spans="1:14" ht="13.5" thickBot="1">
      <c r="A10" s="115" t="s">
        <v>103</v>
      </c>
      <c r="B10" s="116"/>
      <c r="C10" s="117">
        <v>0</v>
      </c>
      <c r="D10" s="117"/>
      <c r="E10" s="117">
        <v>1</v>
      </c>
      <c r="F10" s="117"/>
      <c r="G10" s="117">
        <v>8</v>
      </c>
      <c r="H10" s="117">
        <v>7.7</v>
      </c>
      <c r="I10" s="117">
        <v>0.5</v>
      </c>
      <c r="J10" s="83">
        <f>+C10*G10*H10*I10</f>
        <v>0</v>
      </c>
      <c r="K10" s="83">
        <f>+E10*G10*H10*I10</f>
        <v>30.8</v>
      </c>
      <c r="L10" s="118">
        <f>+C10*G10*H10</f>
        <v>0</v>
      </c>
      <c r="M10" s="118">
        <f>+E10*G10*H10</f>
        <v>61.6</v>
      </c>
      <c r="N10" s="68" t="s">
        <v>104</v>
      </c>
    </row>
    <row r="12" ht="13.5" thickBot="1">
      <c r="B12" s="90"/>
    </row>
    <row r="13" spans="1:14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19"/>
      <c r="J13" s="84" t="s">
        <v>97</v>
      </c>
      <c r="K13" s="85"/>
      <c r="L13" s="120" t="s">
        <v>98</v>
      </c>
      <c r="M13" s="85"/>
      <c r="N13" s="383" t="s">
        <v>99</v>
      </c>
    </row>
    <row r="14" spans="1:14" ht="66" thickBot="1">
      <c r="A14" s="67" t="s">
        <v>106</v>
      </c>
      <c r="B14" s="50"/>
      <c r="C14" s="121"/>
      <c r="D14" s="121"/>
      <c r="E14" s="110" t="s">
        <v>107</v>
      </c>
      <c r="F14" s="121"/>
      <c r="G14" s="110" t="s">
        <v>108</v>
      </c>
      <c r="H14" s="110" t="s">
        <v>109</v>
      </c>
      <c r="I14" s="122" t="s">
        <v>96</v>
      </c>
      <c r="J14" s="123" t="s">
        <v>110</v>
      </c>
      <c r="K14" s="94" t="s">
        <v>111</v>
      </c>
      <c r="L14" s="124" t="s">
        <v>110</v>
      </c>
      <c r="M14" s="122" t="s">
        <v>112</v>
      </c>
      <c r="N14" s="384"/>
    </row>
    <row r="15" spans="1:14" ht="13.5" thickBot="1">
      <c r="A15" s="64" t="s">
        <v>103</v>
      </c>
      <c r="B15" s="81"/>
      <c r="C15" s="53"/>
      <c r="D15" s="81"/>
      <c r="E15" s="53">
        <v>25</v>
      </c>
      <c r="F15" s="81"/>
      <c r="G15" s="53">
        <v>50</v>
      </c>
      <c r="H15" s="53">
        <v>1.2E-05</v>
      </c>
      <c r="I15" s="52">
        <v>0.5</v>
      </c>
      <c r="J15" s="53">
        <f>+E15*H15*I15</f>
        <v>0.00015000000000000001</v>
      </c>
      <c r="K15" s="52">
        <f>+G15*H15*0.34</f>
        <v>0.00020400000000000003</v>
      </c>
      <c r="L15" s="51">
        <f>+E15*H15</f>
        <v>0.00030000000000000003</v>
      </c>
      <c r="M15" s="51">
        <f>+G15*H15</f>
        <v>0.0006000000000000001</v>
      </c>
      <c r="N15" s="87" t="s">
        <v>113</v>
      </c>
    </row>
    <row r="16" spans="1:14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19"/>
    </row>
    <row r="17" spans="1:14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95"/>
    </row>
    <row r="18" spans="1:14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ht="16.5" customHeight="1"/>
    <row r="20" ht="13.5" thickBot="1"/>
    <row r="21" spans="1:14" ht="53.25" thickBot="1">
      <c r="A21" s="86" t="s">
        <v>116</v>
      </c>
      <c r="B21" s="84"/>
      <c r="C21" s="92"/>
      <c r="D21" s="93"/>
      <c r="E21" s="92" t="s">
        <v>117</v>
      </c>
      <c r="F21" s="93"/>
      <c r="G21" s="92" t="s">
        <v>118</v>
      </c>
      <c r="H21" s="92" t="s">
        <v>119</v>
      </c>
      <c r="I21" s="106" t="s">
        <v>120</v>
      </c>
      <c r="J21" s="105" t="s">
        <v>110</v>
      </c>
      <c r="K21" s="106" t="s">
        <v>121</v>
      </c>
      <c r="L21" s="105" t="s">
        <v>122</v>
      </c>
      <c r="M21" s="106" t="s">
        <v>123</v>
      </c>
      <c r="N21" s="107" t="s">
        <v>99</v>
      </c>
    </row>
    <row r="22" spans="1:14" ht="13.5" thickBot="1">
      <c r="A22" s="64" t="s">
        <v>103</v>
      </c>
      <c r="B22" s="81"/>
      <c r="C22" s="53"/>
      <c r="D22" s="81"/>
      <c r="E22" s="53">
        <v>120</v>
      </c>
      <c r="F22" s="81"/>
      <c r="G22" s="53">
        <v>0</v>
      </c>
      <c r="H22" s="53">
        <v>0.5</v>
      </c>
      <c r="I22" s="127">
        <f>1.7*0.075/1.5*331/235*25/0.15*0.5</f>
        <v>9.976950354609931</v>
      </c>
      <c r="J22" s="128">
        <f>+G22*I22</f>
        <v>0</v>
      </c>
      <c r="K22" s="127">
        <f>H22*I22</f>
        <v>4.988475177304966</v>
      </c>
      <c r="L22" s="127">
        <f>J22*E22/2000</f>
        <v>0</v>
      </c>
      <c r="M22" s="127">
        <f>K22*E22/2000</f>
        <v>0.29930851063829794</v>
      </c>
      <c r="N22" s="87" t="s">
        <v>124</v>
      </c>
    </row>
    <row r="24" ht="13.5" thickBot="1"/>
    <row r="25" spans="2:9" ht="13.5" thickBot="1">
      <c r="B25" s="80" t="s">
        <v>125</v>
      </c>
      <c r="C25" s="104"/>
      <c r="D25" s="104"/>
      <c r="E25" s="104"/>
      <c r="F25" s="104"/>
      <c r="G25" s="104"/>
      <c r="H25" s="80" t="s">
        <v>126</v>
      </c>
      <c r="I25" s="119" t="s">
        <v>127</v>
      </c>
    </row>
    <row r="26" spans="2:9" ht="12.75">
      <c r="B26" s="67" t="s">
        <v>128</v>
      </c>
      <c r="C26" s="50"/>
      <c r="D26" s="50"/>
      <c r="E26" s="50"/>
      <c r="F26" s="50" t="s">
        <v>129</v>
      </c>
      <c r="G26" s="50"/>
      <c r="H26" s="129">
        <f>+J10+J15+J22</f>
        <v>0.00015000000000000001</v>
      </c>
      <c r="I26" s="129">
        <f>+K10+K15+K22</f>
        <v>35.788679177304964</v>
      </c>
    </row>
    <row r="27" spans="2:9" ht="13.5" thickBot="1">
      <c r="B27" s="69" t="s">
        <v>130</v>
      </c>
      <c r="C27" s="125"/>
      <c r="D27" s="125"/>
      <c r="E27" s="125"/>
      <c r="F27" s="125"/>
      <c r="G27" s="125"/>
      <c r="H27" s="130">
        <f>+L10+L15+L22</f>
        <v>0.00030000000000000003</v>
      </c>
      <c r="I27" s="130">
        <f>+M10+M15+M22</f>
        <v>61.8999085106383</v>
      </c>
    </row>
    <row r="29" spans="1:2" ht="12.75">
      <c r="A29" s="48" t="s">
        <v>131</v>
      </c>
      <c r="B29" s="48" t="s">
        <v>5</v>
      </c>
    </row>
  </sheetData>
  <sheetProtection/>
  <mergeCells count="16">
    <mergeCell ref="E2:I2"/>
    <mergeCell ref="E3:I3"/>
    <mergeCell ref="K6:K9"/>
    <mergeCell ref="G5:G9"/>
    <mergeCell ref="H5:H9"/>
    <mergeCell ref="I5:I9"/>
    <mergeCell ref="E5:E9"/>
    <mergeCell ref="N13:N14"/>
    <mergeCell ref="A7:A9"/>
    <mergeCell ref="J6:J9"/>
    <mergeCell ref="C5:C9"/>
    <mergeCell ref="N5:N9"/>
    <mergeCell ref="J5:K5"/>
    <mergeCell ref="L5:M5"/>
    <mergeCell ref="L6:L9"/>
    <mergeCell ref="M6:M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I1">
      <selection activeCell="N17" sqref="N1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spans="2:5" ht="17.25">
      <c r="B2" s="99" t="s">
        <v>5</v>
      </c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22</v>
      </c>
      <c r="B6" s="20">
        <v>3</v>
      </c>
      <c r="C6" s="21">
        <v>8</v>
      </c>
      <c r="D6" s="22">
        <v>1.8</v>
      </c>
      <c r="E6" s="22">
        <v>0.19</v>
      </c>
      <c r="F6" s="22">
        <v>4.17</v>
      </c>
      <c r="G6" s="22">
        <v>0.45</v>
      </c>
      <c r="H6" s="27">
        <v>0.26</v>
      </c>
      <c r="I6" s="23">
        <f>B6*C6*D6</f>
        <v>43.2</v>
      </c>
      <c r="J6" s="24">
        <f>B6*C6*E6</f>
        <v>4.5600000000000005</v>
      </c>
      <c r="K6" s="24">
        <f>B6*C6*F6</f>
        <v>100.08</v>
      </c>
      <c r="L6" s="24">
        <f>B6*C6*G6</f>
        <v>10.8</v>
      </c>
      <c r="M6" s="25">
        <f>B6*C6*H6</f>
        <v>6.24</v>
      </c>
    </row>
    <row r="7" spans="1:13" ht="15">
      <c r="A7" s="19" t="s">
        <v>148</v>
      </c>
      <c r="B7" s="20">
        <v>1</v>
      </c>
      <c r="C7" s="21">
        <v>8</v>
      </c>
      <c r="D7" s="22">
        <f>0.011*56*0.58</f>
        <v>0.35728</v>
      </c>
      <c r="E7" s="22">
        <f>0.001*56*0.58</f>
        <v>0.032479999999999995</v>
      </c>
      <c r="F7" s="22">
        <f>0.024*56*0.58</f>
        <v>0.77952</v>
      </c>
      <c r="G7" s="22">
        <f>0.002*56*0.58</f>
        <v>0.06495999999999999</v>
      </c>
      <c r="H7" s="22">
        <f>0.0015*56*0.58</f>
        <v>0.04872</v>
      </c>
      <c r="I7" s="23">
        <f>B7*C7*D7</f>
        <v>2.85824</v>
      </c>
      <c r="J7" s="24">
        <f>B7*C7*E7</f>
        <v>0.25983999999999996</v>
      </c>
      <c r="K7" s="24">
        <f>B7*C7*F7</f>
        <v>6.23616</v>
      </c>
      <c r="L7" s="24">
        <f>B7*C7*G7</f>
        <v>0.5196799999999999</v>
      </c>
      <c r="M7" s="25">
        <f>B7*C7*H7</f>
        <v>0.38976</v>
      </c>
    </row>
    <row r="8" spans="1:13" ht="12.75">
      <c r="A8" s="19" t="s">
        <v>147</v>
      </c>
      <c r="B8" s="20">
        <v>1</v>
      </c>
      <c r="C8" s="21">
        <v>8</v>
      </c>
      <c r="D8" s="22">
        <v>0.572</v>
      </c>
      <c r="E8" s="22">
        <v>0.23</v>
      </c>
      <c r="F8" s="22">
        <v>1.9</v>
      </c>
      <c r="G8" s="22">
        <v>0.182</v>
      </c>
      <c r="H8" s="27">
        <v>0.17</v>
      </c>
      <c r="I8" s="23">
        <f>B8*C8*D8</f>
        <v>4.576</v>
      </c>
      <c r="J8" s="24">
        <f>B8*C8*E8</f>
        <v>1.84</v>
      </c>
      <c r="K8" s="24">
        <f>B8*C8*F8</f>
        <v>15.2</v>
      </c>
      <c r="L8" s="24">
        <f>B8*C8*G8</f>
        <v>1.456</v>
      </c>
      <c r="M8" s="25">
        <f>B8*C8*H8</f>
        <v>1.36</v>
      </c>
    </row>
    <row r="9" spans="1:13" ht="13.5" thickBot="1">
      <c r="A9" s="26"/>
      <c r="B9" s="34"/>
      <c r="C9" s="35"/>
      <c r="D9" s="34"/>
      <c r="E9" s="34"/>
      <c r="F9" s="34"/>
      <c r="G9" s="34"/>
      <c r="H9" s="34"/>
      <c r="I9" s="36"/>
      <c r="J9" s="37"/>
      <c r="K9" s="37"/>
      <c r="L9" s="37"/>
      <c r="M9" s="38"/>
    </row>
    <row r="10" spans="1:13" ht="13.5" thickBot="1">
      <c r="A10" s="39" t="s">
        <v>13</v>
      </c>
      <c r="B10" s="40"/>
      <c r="C10" s="41"/>
      <c r="D10" s="41"/>
      <c r="E10" s="40"/>
      <c r="F10" s="40"/>
      <c r="G10" s="40"/>
      <c r="H10" s="40"/>
      <c r="I10" s="42">
        <f>SUM(I6:I8)</f>
        <v>50.634240000000005</v>
      </c>
      <c r="J10" s="42">
        <f>SUM(J6:J8)</f>
        <v>6.65984</v>
      </c>
      <c r="K10" s="42">
        <f>SUM(K6:K8)</f>
        <v>121.51616</v>
      </c>
      <c r="L10" s="42">
        <f>SUM(L6:L8)</f>
        <v>12.77568</v>
      </c>
      <c r="M10" s="42">
        <f>SUM(M6:M8)</f>
        <v>7.98976</v>
      </c>
    </row>
    <row r="11" spans="1:13" ht="14.25" thickBot="1" thickTop="1">
      <c r="A11" s="43" t="s">
        <v>5</v>
      </c>
      <c r="B11" s="44"/>
      <c r="C11" s="45"/>
      <c r="D11" s="45"/>
      <c r="E11" s="46"/>
      <c r="F11" s="46"/>
      <c r="G11" s="46"/>
      <c r="H11" s="46"/>
      <c r="I11" s="46" t="s">
        <v>5</v>
      </c>
      <c r="J11" s="46" t="s">
        <v>5</v>
      </c>
      <c r="K11" s="46" t="s">
        <v>5</v>
      </c>
      <c r="L11" s="46" t="s">
        <v>5</v>
      </c>
      <c r="M11" s="47" t="s">
        <v>5</v>
      </c>
    </row>
    <row r="12" ht="13.5" thickTop="1"/>
    <row r="13" ht="12.75">
      <c r="A13" s="48" t="s">
        <v>14</v>
      </c>
    </row>
    <row r="14" ht="12.75">
      <c r="A14" s="48" t="s">
        <v>15</v>
      </c>
    </row>
    <row r="15" spans="1:5" ht="12.75">
      <c r="A15" s="48" t="s">
        <v>16</v>
      </c>
      <c r="B15" s="48"/>
      <c r="C15" s="48"/>
      <c r="D15" s="48"/>
      <c r="E15" s="49"/>
    </row>
    <row r="18" ht="12.75">
      <c r="A18" s="48" t="s">
        <v>17</v>
      </c>
    </row>
    <row r="20" ht="12.75">
      <c r="C20" t="s">
        <v>5</v>
      </c>
    </row>
  </sheetData>
  <sheetProtection/>
  <printOptions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&amp;C&amp;"Arial,Bold"&amp;12Construction Equipment Emissions for the Equilon CARB Phase 3 Project 
Wilmington, Signal Hill, Van Nuys, Colton, and Rialto Terminals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J17">
      <selection activeCell="M34" sqref="M34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27" thickBot="1">
      <c r="A4" s="61" t="s">
        <v>39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56</v>
      </c>
      <c r="B12" s="354">
        <v>12</v>
      </c>
      <c r="C12" s="354">
        <f>B12*2</f>
        <v>24</v>
      </c>
      <c r="D12" s="354">
        <v>11.5</v>
      </c>
      <c r="E12" s="350">
        <f>C12*D12*B$4/453.6</f>
        <v>5.47010582010582</v>
      </c>
      <c r="F12" s="350">
        <f>C12*C$4/453.6</f>
        <v>0.6222222222222222</v>
      </c>
      <c r="G12" s="350">
        <f>C12*D12*(D$4+H$4)/453.6</f>
        <v>0.5658730158730159</v>
      </c>
      <c r="H12" s="350">
        <f>C12*(E$4+F$4)/453.6</f>
        <v>0.08201058201058199</v>
      </c>
      <c r="I12" s="350">
        <f>B12*8*G$4/453.6</f>
        <v>0.03597883597883598</v>
      </c>
      <c r="J12" s="350">
        <f>C12*D12*I$4/453.6</f>
        <v>0.5354497354497354</v>
      </c>
      <c r="K12" s="352">
        <f>C12*J$4/453.6</f>
        <v>0.0380952380952381</v>
      </c>
      <c r="L12" s="350">
        <f>C12*D12*K$4/453.6</f>
        <v>0.03042328042328042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2.75">
      <c r="A14" s="348" t="s">
        <v>57</v>
      </c>
      <c r="B14" s="354">
        <v>0</v>
      </c>
      <c r="C14" s="354">
        <f>B14</f>
        <v>0</v>
      </c>
      <c r="D14" s="354">
        <v>0</v>
      </c>
      <c r="E14" s="350">
        <f>C14*D14*B$4/453.6</f>
        <v>0</v>
      </c>
      <c r="F14" s="350">
        <f>C14*C$4/453.6</f>
        <v>0</v>
      </c>
      <c r="G14" s="350">
        <f>C14*D14*(D$4+H$4)/453.6</f>
        <v>0</v>
      </c>
      <c r="H14" s="350">
        <f>C14*(E$4+F$4)/453.6</f>
        <v>0</v>
      </c>
      <c r="I14" s="350">
        <f>B14*8*G$4/453.6</f>
        <v>0</v>
      </c>
      <c r="J14" s="350">
        <f>C14*D14*I$4/453.6</f>
        <v>0</v>
      </c>
      <c r="K14" s="352">
        <f>C14*J$4/453.6</f>
        <v>0</v>
      </c>
      <c r="L14" s="350">
        <f>C14*D14*K$4/453.6</f>
        <v>0</v>
      </c>
    </row>
    <row r="15" spans="1:12" ht="13.5" thickBot="1">
      <c r="A15" s="349"/>
      <c r="B15" s="355"/>
      <c r="C15" s="355"/>
      <c r="D15" s="355"/>
      <c r="E15" s="351"/>
      <c r="F15" s="351"/>
      <c r="G15" s="351"/>
      <c r="H15" s="351"/>
      <c r="I15" s="351"/>
      <c r="J15" s="351"/>
      <c r="K15" s="353"/>
      <c r="L15" s="351"/>
    </row>
    <row r="16" spans="1:12" ht="12.75">
      <c r="A16" s="361" t="s">
        <v>40</v>
      </c>
      <c r="B16" s="354">
        <v>1</v>
      </c>
      <c r="C16" s="354">
        <f>B16*2</f>
        <v>2</v>
      </c>
      <c r="D16" s="354">
        <v>11.5</v>
      </c>
      <c r="E16" s="350">
        <f>C16*D16*B6/453.6</f>
        <v>2.4718915343915344</v>
      </c>
      <c r="F16" s="350">
        <f>C16*C5/453.6</f>
        <v>0.061507936507936505</v>
      </c>
      <c r="G16" s="350">
        <f>C16*D16*(D6+H6)/453.6</f>
        <v>0.07605820105820106</v>
      </c>
      <c r="H16" s="350">
        <f>C16*(E5+F5)/453.6</f>
        <v>0.007142857142857143</v>
      </c>
      <c r="I16" s="350">
        <f>B16*8*G5/453.6</f>
        <v>0.002821869488536155</v>
      </c>
      <c r="J16" s="350">
        <f>I5*C16*D16/453.6</f>
        <v>0.0689594356261023</v>
      </c>
      <c r="K16" s="350">
        <f>J5*C16/453.6</f>
        <v>0.004717813051146384</v>
      </c>
      <c r="L16" s="350">
        <f>K5*C16*D16/453.6</f>
        <v>0.0035493827160493828</v>
      </c>
    </row>
    <row r="17" spans="1:12" ht="13.5" thickBot="1">
      <c r="A17" s="369"/>
      <c r="B17" s="360"/>
      <c r="C17" s="355"/>
      <c r="D17" s="360"/>
      <c r="E17" s="351"/>
      <c r="F17" s="351"/>
      <c r="G17" s="351"/>
      <c r="H17" s="351"/>
      <c r="I17" s="351"/>
      <c r="J17" s="351"/>
      <c r="K17" s="351"/>
      <c r="L17" s="351"/>
    </row>
    <row r="18" spans="1:12" ht="13.5" thickBot="1">
      <c r="A18" s="76" t="s">
        <v>58</v>
      </c>
      <c r="B18" s="77">
        <v>0</v>
      </c>
      <c r="C18" s="73">
        <v>0</v>
      </c>
      <c r="D18" s="73">
        <v>0</v>
      </c>
      <c r="E18" s="78">
        <f>C18*D18*B$6/453.6</f>
        <v>0</v>
      </c>
      <c r="F18" s="78" t="s">
        <v>42</v>
      </c>
      <c r="G18" s="78">
        <f>C18*D18*(D$6+H$6)/453.6</f>
        <v>0</v>
      </c>
      <c r="H18" s="78">
        <f>C18*(E5+F5)/453.6</f>
        <v>0</v>
      </c>
      <c r="I18" s="78" t="s">
        <v>42</v>
      </c>
      <c r="J18" s="78">
        <f>C18*D18*I$6/453.6</f>
        <v>0</v>
      </c>
      <c r="K18" s="78">
        <f>J4*C18/453.6</f>
        <v>0</v>
      </c>
      <c r="L18" s="79">
        <f>K$6*C18*D18/453.6</f>
        <v>0</v>
      </c>
    </row>
    <row r="19" spans="1:13" ht="13.5" thickBot="1">
      <c r="A19" s="61" t="s">
        <v>59</v>
      </c>
      <c r="B19" s="62">
        <v>1</v>
      </c>
      <c r="C19" s="65">
        <v>1</v>
      </c>
      <c r="D19" s="65">
        <v>2</v>
      </c>
      <c r="E19" s="78">
        <f>C19*D19*B$6/453.6</f>
        <v>0.21494708994708994</v>
      </c>
      <c r="F19" s="78" t="s">
        <v>42</v>
      </c>
      <c r="G19" s="78">
        <f>C19*D19*(D$6+H$6)/453.6</f>
        <v>0.006613756613756613</v>
      </c>
      <c r="H19" s="78">
        <f>C19*(E6+F6)/453.6</f>
        <v>0.005820105820105819</v>
      </c>
      <c r="I19" s="78" t="s">
        <v>42</v>
      </c>
      <c r="J19" s="78">
        <f>C19*D19*I$6/453.6</f>
        <v>0.08403880070546736</v>
      </c>
      <c r="K19" s="78">
        <f>J5*C19/453.6</f>
        <v>0.002358906525573192</v>
      </c>
      <c r="L19" s="79">
        <f>K$6*C19*D19/453.6</f>
        <v>0.002689594356261023</v>
      </c>
      <c r="M19" t="s">
        <v>5</v>
      </c>
    </row>
    <row r="20" spans="1:12" ht="13.5" thickBot="1">
      <c r="A20" s="80" t="s">
        <v>41</v>
      </c>
      <c r="B20" s="62">
        <v>6</v>
      </c>
      <c r="C20" s="65">
        <f>B20*2</f>
        <v>12</v>
      </c>
      <c r="D20" s="65">
        <v>50</v>
      </c>
      <c r="E20" s="78">
        <f>C20*D20*B$6/453.6</f>
        <v>64.48412698412699</v>
      </c>
      <c r="F20" s="78" t="s">
        <v>42</v>
      </c>
      <c r="G20" s="78">
        <f>C20*D20*(D$6+H$6)/453.6</f>
        <v>1.984126984126984</v>
      </c>
      <c r="H20" s="78">
        <f>C20*(E6+F6)/453.6</f>
        <v>0.06984126984126983</v>
      </c>
      <c r="I20" s="78" t="s">
        <v>42</v>
      </c>
      <c r="J20" s="78">
        <f>C20*D20*I$6/453.6</f>
        <v>25.211640211640212</v>
      </c>
      <c r="K20" s="78">
        <f>J5*C20/453.6</f>
        <v>0.028306878306878305</v>
      </c>
      <c r="L20" s="79">
        <f>K$6*C20*D20/453.6</f>
        <v>0.8068783068783069</v>
      </c>
    </row>
    <row r="21" spans="1:12" ht="13.5" thickBot="1">
      <c r="A21" s="81"/>
      <c r="B21" s="53"/>
      <c r="C21" s="53"/>
      <c r="D21" s="53"/>
      <c r="E21" s="82"/>
      <c r="F21" s="82"/>
      <c r="G21" s="82"/>
      <c r="H21" s="82"/>
      <c r="I21" s="82"/>
      <c r="J21" s="82"/>
      <c r="K21" s="82"/>
      <c r="L21" s="82"/>
    </row>
    <row r="22" spans="1:12" ht="13.5" thickBot="1">
      <c r="A22" s="67" t="s">
        <v>48</v>
      </c>
      <c r="B22" s="370" t="s">
        <v>43</v>
      </c>
      <c r="C22" s="358"/>
      <c r="D22" s="357"/>
      <c r="E22" s="371" t="s">
        <v>8</v>
      </c>
      <c r="F22" s="372"/>
      <c r="G22" s="371" t="s">
        <v>9</v>
      </c>
      <c r="H22" s="373"/>
      <c r="I22" s="372"/>
      <c r="J22" s="371" t="s">
        <v>10</v>
      </c>
      <c r="K22" s="372"/>
      <c r="L22" s="83" t="s">
        <v>12</v>
      </c>
    </row>
    <row r="23" spans="1:12" ht="12.75" customHeight="1">
      <c r="A23" s="367" t="s">
        <v>60</v>
      </c>
      <c r="B23" s="354">
        <f>B12+B14</f>
        <v>12</v>
      </c>
      <c r="C23" s="354">
        <f>C12+C14</f>
        <v>24</v>
      </c>
      <c r="D23" s="354"/>
      <c r="E23" s="374">
        <f>E12+F12+E14+F14</f>
        <v>6.092328042328042</v>
      </c>
      <c r="F23" s="352"/>
      <c r="G23" s="374">
        <f>G12+H12+I12+G14+H14+I14</f>
        <v>0.6838624338624338</v>
      </c>
      <c r="H23" s="376"/>
      <c r="I23" s="377"/>
      <c r="J23" s="374">
        <f>J12+K12+J14+K14</f>
        <v>0.5735449735449735</v>
      </c>
      <c r="K23" s="352"/>
      <c r="L23" s="350">
        <f>L12+L14</f>
        <v>0.03042328042328042</v>
      </c>
    </row>
    <row r="24" spans="1:12" ht="13.5" thickBot="1">
      <c r="A24" s="368"/>
      <c r="B24" s="355"/>
      <c r="C24" s="355"/>
      <c r="D24" s="355"/>
      <c r="E24" s="375"/>
      <c r="F24" s="353"/>
      <c r="G24" s="375"/>
      <c r="H24" s="378"/>
      <c r="I24" s="379"/>
      <c r="J24" s="375"/>
      <c r="K24" s="353"/>
      <c r="L24" s="351"/>
    </row>
    <row r="25" spans="1:12" ht="12.75" customHeight="1">
      <c r="A25" s="361" t="s">
        <v>61</v>
      </c>
      <c r="B25" s="354">
        <f>B16</f>
        <v>1</v>
      </c>
      <c r="C25" s="354">
        <f>C16</f>
        <v>2</v>
      </c>
      <c r="D25" s="354"/>
      <c r="E25" s="374">
        <f>E16+F16</f>
        <v>2.5333994708994707</v>
      </c>
      <c r="F25" s="352"/>
      <c r="G25" s="374">
        <f>G16+H16+I16</f>
        <v>0.08602292768959437</v>
      </c>
      <c r="H25" s="376"/>
      <c r="I25" s="377"/>
      <c r="J25" s="374">
        <f>J16+K16</f>
        <v>0.07367724867724867</v>
      </c>
      <c r="K25" s="352"/>
      <c r="L25" s="350">
        <f>L16</f>
        <v>0.0035493827160493828</v>
      </c>
    </row>
    <row r="26" spans="1:12" ht="15.75" customHeight="1" thickBot="1">
      <c r="A26" s="369"/>
      <c r="B26" s="360"/>
      <c r="C26" s="360"/>
      <c r="D26" s="360"/>
      <c r="E26" s="375"/>
      <c r="F26" s="353"/>
      <c r="G26" s="375"/>
      <c r="H26" s="378"/>
      <c r="I26" s="379"/>
      <c r="J26" s="375"/>
      <c r="K26" s="353"/>
      <c r="L26" s="351"/>
    </row>
    <row r="27" spans="1:12" ht="15.75" customHeight="1" thickBot="1">
      <c r="A27" s="76" t="s">
        <v>58</v>
      </c>
      <c r="B27" s="77">
        <f>+B18</f>
        <v>0</v>
      </c>
      <c r="C27" s="73">
        <f>+C18</f>
        <v>0</v>
      </c>
      <c r="D27" s="55"/>
      <c r="E27" s="371">
        <f>+E18</f>
        <v>0</v>
      </c>
      <c r="F27" s="357"/>
      <c r="G27" s="371">
        <f>+G18+H18</f>
        <v>0</v>
      </c>
      <c r="H27" s="380"/>
      <c r="I27" s="381"/>
      <c r="J27" s="371">
        <f>+J18+K18</f>
        <v>0</v>
      </c>
      <c r="K27" s="357"/>
      <c r="L27" s="75">
        <f>+L18</f>
        <v>0</v>
      </c>
    </row>
    <row r="28" spans="1:12" ht="27.75" customHeight="1" thickBot="1">
      <c r="A28" s="86" t="s">
        <v>62</v>
      </c>
      <c r="B28" s="65">
        <f>B20+B19</f>
        <v>7</v>
      </c>
      <c r="C28" s="65">
        <f>+C19+C20</f>
        <v>13</v>
      </c>
      <c r="D28" s="65"/>
      <c r="E28" s="371">
        <f>+E19+E20</f>
        <v>64.69907407407408</v>
      </c>
      <c r="F28" s="372"/>
      <c r="G28" s="371">
        <f>G19+G20+H19+H20</f>
        <v>2.066402116402116</v>
      </c>
      <c r="H28" s="373"/>
      <c r="I28" s="372"/>
      <c r="J28" s="371">
        <f>J20+J19+K19+K20</f>
        <v>25.32634479717813</v>
      </c>
      <c r="K28" s="372"/>
      <c r="L28" s="79">
        <f>L20+L19</f>
        <v>0.8095679012345679</v>
      </c>
    </row>
    <row r="29" spans="1:12" ht="13.5" thickBot="1">
      <c r="A29" s="68" t="s">
        <v>63</v>
      </c>
      <c r="B29" s="64"/>
      <c r="C29" s="81"/>
      <c r="D29" s="87"/>
      <c r="E29" s="371">
        <f>SUM(E23:F28)</f>
        <v>73.3248015873016</v>
      </c>
      <c r="F29" s="357"/>
      <c r="G29" s="371">
        <f>SUM(G23:I28)</f>
        <v>2.8362874779541443</v>
      </c>
      <c r="H29" s="358"/>
      <c r="I29" s="357"/>
      <c r="J29" s="371">
        <f>SUM(J23:K28)</f>
        <v>25.973567019400353</v>
      </c>
      <c r="K29" s="357"/>
      <c r="L29" s="78">
        <f>SUM(L23:L28)</f>
        <v>0.8435405643738977</v>
      </c>
    </row>
    <row r="31" ht="12.75">
      <c r="A31" s="48" t="s">
        <v>64</v>
      </c>
    </row>
    <row r="32" ht="12.75">
      <c r="A32" s="48" t="s">
        <v>65</v>
      </c>
    </row>
    <row r="33" ht="12.75">
      <c r="A33" s="48" t="s">
        <v>66</v>
      </c>
    </row>
    <row r="34" ht="12.75">
      <c r="A34" s="48" t="s">
        <v>67</v>
      </c>
    </row>
    <row r="35" ht="12.75">
      <c r="L35" s="88">
        <v>37067</v>
      </c>
    </row>
    <row r="36" ht="12.75">
      <c r="A36" s="48"/>
    </row>
    <row r="38" ht="12.75">
      <c r="A38" s="48" t="s">
        <v>17</v>
      </c>
    </row>
    <row r="39" ht="12.75">
      <c r="L39" s="88"/>
    </row>
  </sheetData>
  <sheetProtection/>
  <mergeCells count="76">
    <mergeCell ref="G14:G15"/>
    <mergeCell ref="H14:H15"/>
    <mergeCell ref="I14:I15"/>
    <mergeCell ref="B14:B15"/>
    <mergeCell ref="D14:D15"/>
    <mergeCell ref="G12:G13"/>
    <mergeCell ref="H12:H13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E12:E13"/>
    <mergeCell ref="F12:F13"/>
    <mergeCell ref="F16:F17"/>
    <mergeCell ref="A12:A13"/>
    <mergeCell ref="B12:B13"/>
    <mergeCell ref="C12:C13"/>
    <mergeCell ref="D12:D13"/>
    <mergeCell ref="C14:C15"/>
    <mergeCell ref="E14:E15"/>
    <mergeCell ref="F14:F15"/>
    <mergeCell ref="A14:A15"/>
    <mergeCell ref="A16:A17"/>
    <mergeCell ref="B16:B17"/>
    <mergeCell ref="C16:C17"/>
    <mergeCell ref="D16:D17"/>
    <mergeCell ref="E16:E17"/>
    <mergeCell ref="L16:L17"/>
    <mergeCell ref="I12:I13"/>
    <mergeCell ref="J12:J13"/>
    <mergeCell ref="K12:K13"/>
    <mergeCell ref="L12:L13"/>
    <mergeCell ref="L14:L15"/>
    <mergeCell ref="K14:K15"/>
    <mergeCell ref="J14:J15"/>
    <mergeCell ref="G16:G17"/>
    <mergeCell ref="H16:H17"/>
    <mergeCell ref="I16:I17"/>
    <mergeCell ref="J16:J17"/>
    <mergeCell ref="K16:K17"/>
    <mergeCell ref="B22:D22"/>
    <mergeCell ref="E22:F22"/>
    <mergeCell ref="G22:I22"/>
    <mergeCell ref="J22:K22"/>
    <mergeCell ref="A23:A24"/>
    <mergeCell ref="B23:B24"/>
    <mergeCell ref="C23:C24"/>
    <mergeCell ref="D23:D24"/>
    <mergeCell ref="E23:F24"/>
    <mergeCell ref="G23:I24"/>
    <mergeCell ref="J23:K24"/>
    <mergeCell ref="L23:L24"/>
    <mergeCell ref="A25:A26"/>
    <mergeCell ref="B25:B26"/>
    <mergeCell ref="C25:C26"/>
    <mergeCell ref="D25:D26"/>
    <mergeCell ref="G25:I26"/>
    <mergeCell ref="J25:K26"/>
    <mergeCell ref="E25:F26"/>
    <mergeCell ref="L25:L26"/>
    <mergeCell ref="G27:I27"/>
    <mergeCell ref="J27:K27"/>
    <mergeCell ref="E27:F27"/>
    <mergeCell ref="E29:F29"/>
    <mergeCell ref="G29:I29"/>
    <mergeCell ref="J29:K29"/>
    <mergeCell ref="E28:F28"/>
    <mergeCell ref="G28:I28"/>
    <mergeCell ref="J28:K28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73" r:id="rId1"/>
  <headerFooter alignWithMargins="0">
    <oddHeader>&amp;C&amp;"Arial,Bold"&amp;12Construction Vehicle Emissions for the Equilon CARB 
Phase 3 Project 
Terminal Construction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7">
      <selection activeCell="G27" sqref="G27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68</v>
      </c>
      <c r="D1" s="1"/>
    </row>
    <row r="2" spans="6:9" ht="17.25">
      <c r="F2" s="89" t="s">
        <v>69</v>
      </c>
      <c r="G2" s="90"/>
      <c r="H2" s="90"/>
      <c r="I2" s="90"/>
    </row>
    <row r="3" spans="6:9" ht="17.25">
      <c r="F3" s="89"/>
      <c r="G3" s="90"/>
      <c r="H3" s="90"/>
      <c r="I3" s="90"/>
    </row>
    <row r="4" spans="3:9" ht="15">
      <c r="C4" s="382" t="s">
        <v>149</v>
      </c>
      <c r="D4" s="382"/>
      <c r="E4" s="382"/>
      <c r="F4" s="382"/>
      <c r="G4" s="382"/>
      <c r="H4" s="382"/>
      <c r="I4" s="382"/>
    </row>
    <row r="5" ht="13.5" thickBot="1"/>
    <row r="6" spans="1:10" ht="39.75" thickBot="1">
      <c r="A6" s="356" t="s">
        <v>71</v>
      </c>
      <c r="B6" s="358"/>
      <c r="C6" s="81"/>
      <c r="D6" s="52" t="s">
        <v>72</v>
      </c>
      <c r="E6" s="53"/>
      <c r="F6" s="53" t="s">
        <v>73</v>
      </c>
      <c r="G6" s="92" t="s">
        <v>74</v>
      </c>
      <c r="H6" s="92" t="s">
        <v>75</v>
      </c>
      <c r="I6" s="93" t="s">
        <v>76</v>
      </c>
      <c r="J6" s="94" t="s">
        <v>77</v>
      </c>
    </row>
    <row r="7" spans="1:10" ht="12.75">
      <c r="A7" s="80"/>
      <c r="B7" s="50"/>
      <c r="C7" s="50"/>
      <c r="D7" s="95"/>
      <c r="E7" s="50"/>
      <c r="F7" s="50"/>
      <c r="G7" s="50"/>
      <c r="H7" s="50"/>
      <c r="I7" s="50"/>
      <c r="J7" s="96"/>
    </row>
    <row r="8" spans="1:10" ht="12.75">
      <c r="A8" s="67" t="s">
        <v>78</v>
      </c>
      <c r="B8" s="50"/>
      <c r="C8" s="50"/>
      <c r="D8" s="95"/>
      <c r="E8" s="50"/>
      <c r="F8" s="50"/>
      <c r="G8" s="50"/>
      <c r="H8" s="50"/>
      <c r="I8" s="50"/>
      <c r="J8" s="97"/>
    </row>
    <row r="9" spans="1:10" ht="12.75">
      <c r="A9" s="67" t="s">
        <v>79</v>
      </c>
      <c r="B9" s="50"/>
      <c r="D9" s="98">
        <v>12</v>
      </c>
      <c r="E9" s="99"/>
      <c r="F9" s="99" t="s">
        <v>80</v>
      </c>
      <c r="G9" s="99">
        <v>2</v>
      </c>
      <c r="H9" s="99">
        <v>11.5</v>
      </c>
      <c r="I9" s="50">
        <v>0.0012</v>
      </c>
      <c r="J9" s="77">
        <f>D9*G9*H9*I9</f>
        <v>0.3312</v>
      </c>
    </row>
    <row r="10" spans="1:10" ht="12.75">
      <c r="A10" s="67" t="s">
        <v>81</v>
      </c>
      <c r="B10" s="50"/>
      <c r="C10" s="50"/>
      <c r="D10" s="95"/>
      <c r="E10" s="50"/>
      <c r="F10" s="50"/>
      <c r="G10" s="50"/>
      <c r="H10" s="50"/>
      <c r="I10" s="50"/>
      <c r="J10" s="97"/>
    </row>
    <row r="11" spans="1:10" ht="12.75">
      <c r="A11" s="67"/>
      <c r="B11" s="50"/>
      <c r="C11" s="50"/>
      <c r="D11" s="95"/>
      <c r="E11" s="50"/>
      <c r="F11" s="50"/>
      <c r="G11" s="50"/>
      <c r="H11" s="50"/>
      <c r="I11" s="50"/>
      <c r="J11" s="97"/>
    </row>
    <row r="12" spans="1:10" ht="12.75">
      <c r="A12" s="67" t="s">
        <v>82</v>
      </c>
      <c r="B12" s="50"/>
      <c r="C12" s="50"/>
      <c r="D12" s="98">
        <v>0</v>
      </c>
      <c r="E12" s="99"/>
      <c r="F12" s="99" t="s">
        <v>83</v>
      </c>
      <c r="G12" s="99"/>
      <c r="H12" s="99">
        <v>6</v>
      </c>
      <c r="I12" s="50">
        <v>0.0288</v>
      </c>
      <c r="J12" s="77">
        <f>D12*H12*I12</f>
        <v>0</v>
      </c>
    </row>
    <row r="13" spans="1:10" ht="12.75">
      <c r="A13" s="67" t="s">
        <v>81</v>
      </c>
      <c r="B13" s="50"/>
      <c r="C13" s="50"/>
      <c r="D13" s="98"/>
      <c r="E13" s="99"/>
      <c r="F13" s="99"/>
      <c r="G13" s="99"/>
      <c r="H13" s="99"/>
      <c r="I13" s="50"/>
      <c r="J13" s="77"/>
    </row>
    <row r="14" spans="1:10" ht="12.75">
      <c r="A14" s="67"/>
      <c r="B14" s="50"/>
      <c r="C14" s="50"/>
      <c r="D14" s="95"/>
      <c r="E14" s="50"/>
      <c r="F14" s="50"/>
      <c r="G14" s="50"/>
      <c r="H14" s="50"/>
      <c r="I14" s="50"/>
      <c r="J14" s="97"/>
    </row>
    <row r="15" spans="1:10" ht="12.75">
      <c r="A15" s="67" t="s">
        <v>84</v>
      </c>
      <c r="B15" s="50"/>
      <c r="C15" s="50"/>
      <c r="D15" s="98">
        <v>1</v>
      </c>
      <c r="E15" s="99"/>
      <c r="F15" s="99" t="s">
        <v>80</v>
      </c>
      <c r="G15" s="99">
        <v>2</v>
      </c>
      <c r="H15" s="99">
        <v>11.5</v>
      </c>
      <c r="I15" s="50">
        <v>0.0288</v>
      </c>
      <c r="J15" s="77">
        <f>D15*G15*H15*I15</f>
        <v>0.6624</v>
      </c>
    </row>
    <row r="16" spans="1:10" ht="12.75">
      <c r="A16" s="67" t="s">
        <v>81</v>
      </c>
      <c r="B16" s="50"/>
      <c r="C16" s="50"/>
      <c r="D16" s="95"/>
      <c r="E16" s="50"/>
      <c r="F16" s="50"/>
      <c r="G16" s="50"/>
      <c r="H16" s="50"/>
      <c r="I16" s="50"/>
      <c r="J16" s="97"/>
    </row>
    <row r="17" spans="1:10" ht="12.75">
      <c r="A17" s="67"/>
      <c r="B17" s="50"/>
      <c r="C17" s="50"/>
      <c r="D17" s="95"/>
      <c r="E17" s="50"/>
      <c r="F17" s="50"/>
      <c r="G17" s="50"/>
      <c r="H17" s="50"/>
      <c r="I17" s="50"/>
      <c r="J17" s="97"/>
    </row>
    <row r="18" spans="1:10" ht="12.75">
      <c r="A18" s="67" t="s">
        <v>85</v>
      </c>
      <c r="B18" s="50"/>
      <c r="C18" s="50"/>
      <c r="D18" s="98">
        <v>1</v>
      </c>
      <c r="E18" s="99"/>
      <c r="F18" s="99" t="s">
        <v>83</v>
      </c>
      <c r="G18" s="99">
        <v>2</v>
      </c>
      <c r="H18" s="99">
        <v>50</v>
      </c>
      <c r="I18" s="50">
        <v>0.0288</v>
      </c>
      <c r="J18" s="77">
        <f>D18*G18*H18*I18</f>
        <v>2.88</v>
      </c>
    </row>
    <row r="19" spans="1:10" ht="12.75">
      <c r="A19" s="67" t="s">
        <v>81</v>
      </c>
      <c r="B19" s="50"/>
      <c r="C19" s="50"/>
      <c r="D19" s="95"/>
      <c r="E19" s="50"/>
      <c r="F19" s="50"/>
      <c r="G19" s="50"/>
      <c r="H19" s="50"/>
      <c r="I19" s="50"/>
      <c r="J19" s="97"/>
    </row>
    <row r="20" spans="1:10" ht="12.75">
      <c r="A20" s="67"/>
      <c r="B20" s="50"/>
      <c r="C20" s="50"/>
      <c r="D20" s="95"/>
      <c r="E20" s="50"/>
      <c r="F20" s="50"/>
      <c r="G20" s="50"/>
      <c r="H20" s="50"/>
      <c r="I20" s="50"/>
      <c r="J20" s="97"/>
    </row>
    <row r="21" spans="1:10" ht="12.75">
      <c r="A21" s="67" t="s">
        <v>86</v>
      </c>
      <c r="B21" s="50"/>
      <c r="C21" s="50"/>
      <c r="D21" s="98">
        <v>0</v>
      </c>
      <c r="E21" s="99"/>
      <c r="F21" s="99" t="s">
        <v>80</v>
      </c>
      <c r="G21" s="99">
        <v>1</v>
      </c>
      <c r="H21" s="99">
        <v>0</v>
      </c>
      <c r="I21" s="50">
        <v>17.82</v>
      </c>
      <c r="J21" s="77">
        <f>D21*G21*H21*I21</f>
        <v>0</v>
      </c>
    </row>
    <row r="22" spans="1:10" ht="12.75">
      <c r="A22" s="67"/>
      <c r="B22" s="50"/>
      <c r="C22" s="50"/>
      <c r="D22" s="98"/>
      <c r="E22" s="99"/>
      <c r="F22" s="99"/>
      <c r="G22" s="99"/>
      <c r="H22" s="99"/>
      <c r="I22" s="50"/>
      <c r="J22" s="77"/>
    </row>
    <row r="23" spans="1:10" ht="13.5" thickBot="1">
      <c r="A23" s="67" t="s">
        <v>86</v>
      </c>
      <c r="B23" s="50"/>
      <c r="C23" s="50"/>
      <c r="D23" s="98">
        <v>1</v>
      </c>
      <c r="E23" s="99"/>
      <c r="F23" s="99" t="s">
        <v>83</v>
      </c>
      <c r="G23" s="99">
        <v>1</v>
      </c>
      <c r="H23" s="99">
        <v>0.5</v>
      </c>
      <c r="I23" s="50">
        <v>17.82</v>
      </c>
      <c r="J23" s="77">
        <f>D23*G23*H23*I23</f>
        <v>8.91</v>
      </c>
    </row>
    <row r="24" spans="1:10" ht="13.5" thickBot="1">
      <c r="A24" s="64" t="s">
        <v>87</v>
      </c>
      <c r="B24" s="81"/>
      <c r="C24" s="81"/>
      <c r="D24" s="52">
        <f>SUM(D9:D23)</f>
        <v>15</v>
      </c>
      <c r="E24" s="81"/>
      <c r="F24" s="81"/>
      <c r="G24" s="81"/>
      <c r="H24" s="81"/>
      <c r="I24" s="81"/>
      <c r="J24" s="65">
        <f>SUM(J9:J23)</f>
        <v>12.7836</v>
      </c>
    </row>
    <row r="26" ht="12.75">
      <c r="A26" s="48" t="s">
        <v>88</v>
      </c>
    </row>
    <row r="27" ht="12.75">
      <c r="A27" s="48"/>
    </row>
    <row r="28" ht="12.75">
      <c r="A28" s="48" t="s">
        <v>89</v>
      </c>
    </row>
  </sheetData>
  <sheetProtection/>
  <mergeCells count="2">
    <mergeCell ref="A6:B6"/>
    <mergeCell ref="C4:I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C16">
      <selection activeCell="F32" sqref="F32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F2" s="395" t="s">
        <v>150</v>
      </c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F3" s="395" t="s">
        <v>91</v>
      </c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1</v>
      </c>
      <c r="E10" s="117"/>
      <c r="F10" s="117">
        <v>1</v>
      </c>
      <c r="G10" s="117"/>
      <c r="H10" s="117">
        <v>8</v>
      </c>
      <c r="I10" s="117">
        <v>7.7</v>
      </c>
      <c r="J10" s="117">
        <v>0.5</v>
      </c>
      <c r="K10" s="83">
        <f>+D10*H10*I10*J10</f>
        <v>30.8</v>
      </c>
      <c r="L10" s="83">
        <f>+F10*H10*I10*J10</f>
        <v>30.8</v>
      </c>
      <c r="M10" s="118">
        <f>+D10*H10*I10</f>
        <v>61.6</v>
      </c>
      <c r="N10" s="118">
        <f>+F10*H10*I10</f>
        <v>61.6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0.5</v>
      </c>
      <c r="K15" s="53">
        <f>+F15*I15*J15</f>
        <v>0.00030000000000000003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136</v>
      </c>
      <c r="G22" s="81"/>
      <c r="H22" s="53">
        <v>0</v>
      </c>
      <c r="I22" s="53">
        <v>0.5</v>
      </c>
      <c r="J22" s="127">
        <f>1.7*0.075/1.5*331/235*25/0.15*0.5</f>
        <v>9.976950354609931</v>
      </c>
      <c r="K22" s="128">
        <f>+H22*J22</f>
        <v>0</v>
      </c>
      <c r="L22" s="127">
        <f>I22*J22</f>
        <v>4.988475177304966</v>
      </c>
      <c r="M22" s="127">
        <f>K22*F22/2000</f>
        <v>0</v>
      </c>
      <c r="N22" s="127">
        <f>L22*F22/2000</f>
        <v>0.33921631205673763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30.8003</v>
      </c>
      <c r="J26" s="129">
        <f>+L10+L15+L22</f>
        <v>35.78888317730497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61.6006</v>
      </c>
      <c r="J27" s="130">
        <f>+N10+N15+N22</f>
        <v>61.94041631205673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F2:J2"/>
    <mergeCell ref="F3:J3"/>
    <mergeCell ref="F5:F9"/>
    <mergeCell ref="O13:O14"/>
    <mergeCell ref="I5:I9"/>
    <mergeCell ref="J5:J9"/>
    <mergeCell ref="A7:A9"/>
    <mergeCell ref="K6:K9"/>
    <mergeCell ref="D5:D9"/>
    <mergeCell ref="O5:O9"/>
    <mergeCell ref="K5:L5"/>
    <mergeCell ref="M5:N5"/>
    <mergeCell ref="M6:M9"/>
    <mergeCell ref="N6:N9"/>
    <mergeCell ref="L6:L9"/>
    <mergeCell ref="H5:H9"/>
  </mergeCells>
  <printOptions horizontalCentered="1"/>
  <pageMargins left="0.75" right="0.75" top="1" bottom="1" header="0.5" footer="0.5"/>
  <pageSetup horizontalDpi="300" verticalDpi="300" orientation="landscape" scale="63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3" width="20.7109375" style="0" customWidth="1"/>
    <col min="5" max="5" width="25.7109375" style="0" customWidth="1"/>
    <col min="11" max="11" width="8.421875" style="0" customWidth="1"/>
  </cols>
  <sheetData>
    <row r="1" spans="1:4" ht="17.25">
      <c r="A1" s="1"/>
      <c r="C1" s="1" t="s">
        <v>5</v>
      </c>
      <c r="D1" s="1"/>
    </row>
    <row r="2" spans="1:5" ht="17.25">
      <c r="A2" s="1"/>
      <c r="B2" s="395" t="s">
        <v>132</v>
      </c>
      <c r="C2" s="396"/>
      <c r="D2" s="396"/>
      <c r="E2" s="396"/>
    </row>
    <row r="3" spans="3:9" ht="17.25">
      <c r="C3" s="399" t="s">
        <v>5</v>
      </c>
      <c r="D3" s="399"/>
      <c r="F3" s="89" t="s">
        <v>5</v>
      </c>
      <c r="G3" s="90"/>
      <c r="H3" s="90"/>
      <c r="I3" s="90"/>
    </row>
    <row r="4" spans="2:9" ht="15">
      <c r="B4" s="382" t="s">
        <v>149</v>
      </c>
      <c r="C4" s="396"/>
      <c r="D4" s="396"/>
      <c r="E4" s="396"/>
      <c r="F4" s="91"/>
      <c r="G4" s="91"/>
      <c r="H4" s="91"/>
      <c r="I4" s="91"/>
    </row>
    <row r="5" spans="3:9" ht="15">
      <c r="C5" s="91"/>
      <c r="D5" s="91"/>
      <c r="E5" s="91"/>
      <c r="F5" s="91"/>
      <c r="G5" s="91"/>
      <c r="H5" s="91"/>
      <c r="I5" s="91"/>
    </row>
    <row r="6" spans="3:9" ht="15.75" thickBot="1">
      <c r="C6" s="91"/>
      <c r="D6" s="91"/>
      <c r="E6" s="91"/>
      <c r="F6" s="91"/>
      <c r="G6" s="91"/>
      <c r="H6" s="91"/>
      <c r="I6" s="91"/>
    </row>
    <row r="7" spans="2:9" ht="15.75" thickBot="1">
      <c r="B7" s="400" t="s">
        <v>134</v>
      </c>
      <c r="C7" s="400"/>
      <c r="D7" s="132" t="s">
        <v>135</v>
      </c>
      <c r="E7" s="132" t="s">
        <v>136</v>
      </c>
      <c r="F7" s="91"/>
      <c r="G7" s="91"/>
      <c r="H7" s="91"/>
      <c r="I7" s="91"/>
    </row>
    <row r="8" spans="2:9" ht="15.75" thickBot="1">
      <c r="B8" s="401" t="s">
        <v>137</v>
      </c>
      <c r="C8" s="401"/>
      <c r="D8" s="134">
        <v>50</v>
      </c>
      <c r="E8" s="135"/>
      <c r="F8" s="91"/>
      <c r="G8" s="91"/>
      <c r="H8" s="91"/>
      <c r="I8" s="91"/>
    </row>
    <row r="9" spans="2:9" ht="15">
      <c r="B9" s="398" t="s">
        <v>138</v>
      </c>
      <c r="C9" s="398"/>
      <c r="D9" s="136">
        <v>3.5</v>
      </c>
      <c r="E9" s="135" t="s">
        <v>139</v>
      </c>
      <c r="F9" s="91"/>
      <c r="G9" s="91"/>
      <c r="H9" s="91"/>
      <c r="I9" s="91"/>
    </row>
    <row r="10" spans="2:5" ht="12.75">
      <c r="B10" s="398" t="s">
        <v>140</v>
      </c>
      <c r="C10" s="398"/>
      <c r="D10" s="136">
        <f>+D8*D9</f>
        <v>175</v>
      </c>
      <c r="E10" s="137"/>
    </row>
    <row r="12" spans="1:2" ht="12.75">
      <c r="A12" s="48" t="s">
        <v>5</v>
      </c>
      <c r="B12" s="48" t="s">
        <v>88</v>
      </c>
    </row>
    <row r="13" ht="12.75">
      <c r="A13" s="48"/>
    </row>
    <row r="14" spans="1:2" ht="12.75">
      <c r="A14" s="48" t="s">
        <v>5</v>
      </c>
      <c r="B14" s="48" t="s">
        <v>89</v>
      </c>
    </row>
  </sheetData>
  <sheetProtection/>
  <mergeCells count="7">
    <mergeCell ref="B2:E2"/>
    <mergeCell ref="B10:C10"/>
    <mergeCell ref="B9:C9"/>
    <mergeCell ref="C3:D3"/>
    <mergeCell ref="B7:C7"/>
    <mergeCell ref="B8:C8"/>
    <mergeCell ref="B4:E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I10">
      <selection activeCell="A27" sqref="A2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18</v>
      </c>
      <c r="B6" s="20">
        <v>6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 aca="true" t="shared" si="0" ref="I6:I17">B6*C6*D6</f>
        <v>9.377279999999999</v>
      </c>
      <c r="J6" s="24">
        <f aca="true" t="shared" si="1" ref="J6:J17">B6*C6*E6</f>
        <v>1.7049599999999998</v>
      </c>
      <c r="K6" s="24">
        <f aca="true" t="shared" si="2" ref="K6:K17">B6*C6*F6</f>
        <v>15.344639999999998</v>
      </c>
      <c r="L6" s="24">
        <f aca="true" t="shared" si="3" ref="L6:L17">B6*C6*G6</f>
        <v>1.7049599999999998</v>
      </c>
      <c r="M6" s="25">
        <f aca="true" t="shared" si="4" ref="M6:M17">B6*C6*H6</f>
        <v>0.8524799999999999</v>
      </c>
    </row>
    <row r="7" spans="1:13" ht="15">
      <c r="A7" s="26" t="s">
        <v>19</v>
      </c>
      <c r="B7" s="21">
        <v>1</v>
      </c>
      <c r="C7" s="21">
        <v>8</v>
      </c>
      <c r="D7" s="24">
        <f>0.015*79*0.465</f>
        <v>0.5510250000000001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 t="shared" si="0"/>
        <v>4.408200000000001</v>
      </c>
      <c r="J7" s="24">
        <f t="shared" si="1"/>
        <v>1.32804</v>
      </c>
      <c r="K7" s="24">
        <f t="shared" si="2"/>
        <v>9.73896</v>
      </c>
      <c r="L7" s="24">
        <f t="shared" si="3"/>
        <v>0.8853600000000001</v>
      </c>
      <c r="M7" s="25">
        <f t="shared" si="4"/>
        <v>0.4426800000000001</v>
      </c>
    </row>
    <row r="8" spans="1:13" ht="15">
      <c r="A8" s="19" t="s">
        <v>20</v>
      </c>
      <c r="B8" s="20">
        <v>9</v>
      </c>
      <c r="C8" s="21">
        <v>8</v>
      </c>
      <c r="D8" s="22">
        <f>0.009*194*0.43</f>
        <v>0.7507799999999999</v>
      </c>
      <c r="E8" s="22">
        <f>0.003*194*0.43</f>
        <v>0.25026</v>
      </c>
      <c r="F8" s="22">
        <f>0.023*194*0.43</f>
        <v>1.9186599999999998</v>
      </c>
      <c r="G8" s="22">
        <f>0.002*194*0.43</f>
        <v>0.16684000000000002</v>
      </c>
      <c r="H8" s="27">
        <f>0.0015*194*0.43</f>
        <v>0.12513</v>
      </c>
      <c r="I8" s="23">
        <f t="shared" si="0"/>
        <v>54.05615999999999</v>
      </c>
      <c r="J8" s="24">
        <f t="shared" si="1"/>
        <v>18.01872</v>
      </c>
      <c r="K8" s="24">
        <f t="shared" si="2"/>
        <v>138.14352</v>
      </c>
      <c r="L8" s="24">
        <f t="shared" si="3"/>
        <v>12.012480000000002</v>
      </c>
      <c r="M8" s="25">
        <f t="shared" si="4"/>
        <v>9.00936</v>
      </c>
    </row>
    <row r="9" spans="1:13" ht="15">
      <c r="A9" s="19" t="s">
        <v>21</v>
      </c>
      <c r="B9" s="20">
        <v>2</v>
      </c>
      <c r="C9" s="21">
        <v>8</v>
      </c>
      <c r="D9" s="22">
        <f>0.009*300*0.43</f>
        <v>1.1609999999999998</v>
      </c>
      <c r="E9" s="22">
        <f>0.003*300*0.43</f>
        <v>0.387</v>
      </c>
      <c r="F9" s="22">
        <f>0.023*300*0.43</f>
        <v>2.9669999999999996</v>
      </c>
      <c r="G9" s="22">
        <f>0.002*300*0.43</f>
        <v>0.258</v>
      </c>
      <c r="H9" s="27">
        <f>0.0015*300*0.43</f>
        <v>0.1935</v>
      </c>
      <c r="I9" s="23">
        <f t="shared" si="0"/>
        <v>18.575999999999997</v>
      </c>
      <c r="J9" s="24">
        <f t="shared" si="1"/>
        <v>6.192</v>
      </c>
      <c r="K9" s="24">
        <f t="shared" si="2"/>
        <v>47.471999999999994</v>
      </c>
      <c r="L9" s="24">
        <f t="shared" si="3"/>
        <v>4.128</v>
      </c>
      <c r="M9" s="25">
        <f t="shared" si="4"/>
        <v>3.096</v>
      </c>
    </row>
    <row r="10" spans="1:13" ht="15">
      <c r="A10" s="19" t="s">
        <v>22</v>
      </c>
      <c r="B10" s="20">
        <v>1</v>
      </c>
      <c r="C10" s="21">
        <v>8</v>
      </c>
      <c r="D10" s="22">
        <v>1.8</v>
      </c>
      <c r="E10" s="22">
        <v>0.19</v>
      </c>
      <c r="F10" s="22">
        <v>4.17</v>
      </c>
      <c r="G10" s="22">
        <v>0.45</v>
      </c>
      <c r="H10" s="27">
        <v>0.26</v>
      </c>
      <c r="I10" s="23">
        <f t="shared" si="0"/>
        <v>14.4</v>
      </c>
      <c r="J10" s="24">
        <f t="shared" si="1"/>
        <v>1.52</v>
      </c>
      <c r="K10" s="24">
        <f t="shared" si="2"/>
        <v>33.36</v>
      </c>
      <c r="L10" s="24">
        <f t="shared" si="3"/>
        <v>3.6</v>
      </c>
      <c r="M10" s="25">
        <f t="shared" si="4"/>
        <v>2.08</v>
      </c>
    </row>
    <row r="11" spans="1:13" ht="15">
      <c r="A11" s="19" t="s">
        <v>23</v>
      </c>
      <c r="B11" s="20">
        <v>4</v>
      </c>
      <c r="C11" s="21">
        <v>8</v>
      </c>
      <c r="D11" s="22">
        <v>0.52</v>
      </c>
      <c r="E11" s="22">
        <v>0.17</v>
      </c>
      <c r="F11" s="22">
        <v>1.54</v>
      </c>
      <c r="G11" s="28">
        <v>0</v>
      </c>
      <c r="H11" s="27">
        <v>0.093</v>
      </c>
      <c r="I11" s="23">
        <f t="shared" si="0"/>
        <v>16.64</v>
      </c>
      <c r="J11" s="24">
        <f t="shared" si="1"/>
        <v>5.44</v>
      </c>
      <c r="K11" s="24">
        <f t="shared" si="2"/>
        <v>49.28</v>
      </c>
      <c r="L11" s="24">
        <f t="shared" si="3"/>
        <v>0</v>
      </c>
      <c r="M11" s="25">
        <f t="shared" si="4"/>
        <v>2.976</v>
      </c>
    </row>
    <row r="12" spans="1:13" ht="15">
      <c r="A12" s="19" t="s">
        <v>24</v>
      </c>
      <c r="B12" s="20">
        <v>1</v>
      </c>
      <c r="C12" s="21">
        <v>8</v>
      </c>
      <c r="D12" s="22">
        <v>0.572</v>
      </c>
      <c r="E12" s="22">
        <v>0.23</v>
      </c>
      <c r="F12" s="22">
        <v>1.9</v>
      </c>
      <c r="G12" s="22">
        <v>0.182</v>
      </c>
      <c r="H12" s="27">
        <v>0.17</v>
      </c>
      <c r="I12" s="23">
        <f t="shared" si="0"/>
        <v>4.576</v>
      </c>
      <c r="J12" s="24">
        <f t="shared" si="1"/>
        <v>1.84</v>
      </c>
      <c r="K12" s="24">
        <f t="shared" si="2"/>
        <v>15.2</v>
      </c>
      <c r="L12" s="24">
        <f t="shared" si="3"/>
        <v>1.456</v>
      </c>
      <c r="M12" s="25">
        <f t="shared" si="4"/>
        <v>1.36</v>
      </c>
    </row>
    <row r="13" spans="1:13" ht="15">
      <c r="A13" s="19" t="s">
        <v>25</v>
      </c>
      <c r="B13" s="20">
        <v>8</v>
      </c>
      <c r="C13" s="21">
        <v>8</v>
      </c>
      <c r="D13" s="22">
        <f>0.013*43*0.505</f>
        <v>0.28229499999999996</v>
      </c>
      <c r="E13" s="22">
        <f>0.003*43*0.505</f>
        <v>0.06514500000000001</v>
      </c>
      <c r="F13" s="22">
        <f>0.031*43*0.505</f>
        <v>0.673165</v>
      </c>
      <c r="G13" s="22">
        <f>0.002*43*0.505</f>
        <v>0.04343</v>
      </c>
      <c r="H13" s="22">
        <f>0.0015*43*0.505</f>
        <v>0.032572500000000004</v>
      </c>
      <c r="I13" s="23">
        <f t="shared" si="0"/>
        <v>18.066879999999998</v>
      </c>
      <c r="J13" s="24">
        <f t="shared" si="1"/>
        <v>4.1692800000000005</v>
      </c>
      <c r="K13" s="24">
        <f t="shared" si="2"/>
        <v>43.08256</v>
      </c>
      <c r="L13" s="24">
        <f t="shared" si="3"/>
        <v>2.77952</v>
      </c>
      <c r="M13" s="25">
        <f t="shared" si="4"/>
        <v>2.0846400000000003</v>
      </c>
    </row>
    <row r="14" spans="1:13" ht="15">
      <c r="A14" s="19" t="s">
        <v>26</v>
      </c>
      <c r="B14" s="20">
        <v>4</v>
      </c>
      <c r="C14" s="21">
        <v>8</v>
      </c>
      <c r="D14" s="22">
        <v>0.35</v>
      </c>
      <c r="E14" s="22">
        <v>0.12</v>
      </c>
      <c r="F14" s="22">
        <v>1.26</v>
      </c>
      <c r="G14" s="22">
        <v>0.14</v>
      </c>
      <c r="H14" s="22">
        <v>0.112</v>
      </c>
      <c r="I14" s="23">
        <f t="shared" si="0"/>
        <v>11.2</v>
      </c>
      <c r="J14" s="24">
        <f t="shared" si="1"/>
        <v>3.84</v>
      </c>
      <c r="K14" s="24">
        <f t="shared" si="2"/>
        <v>40.32</v>
      </c>
      <c r="L14" s="24">
        <f t="shared" si="3"/>
        <v>4.48</v>
      </c>
      <c r="M14" s="25">
        <f t="shared" si="4"/>
        <v>3.584</v>
      </c>
    </row>
    <row r="15" spans="1:13" ht="15">
      <c r="A15" s="19" t="s">
        <v>27</v>
      </c>
      <c r="B15" s="20">
        <v>1</v>
      </c>
      <c r="C15" s="21">
        <v>4</v>
      </c>
      <c r="D15" s="22">
        <f>0.011*11.22*0.82</f>
        <v>0.1012044</v>
      </c>
      <c r="E15" s="22">
        <f>0.002*11.22*0.82</f>
        <v>0.018400800000000002</v>
      </c>
      <c r="F15" s="22">
        <f>0.018*11.22*0.82</f>
        <v>0.16560719999999998</v>
      </c>
      <c r="G15" s="22">
        <f>0.002*11.22*0.82</f>
        <v>0.018400800000000002</v>
      </c>
      <c r="H15" s="22">
        <f>0.001*11.22*0.82</f>
        <v>0.009200400000000001</v>
      </c>
      <c r="I15" s="23">
        <f t="shared" si="0"/>
        <v>0.4048176</v>
      </c>
      <c r="J15" s="24">
        <f t="shared" si="1"/>
        <v>0.07360320000000001</v>
      </c>
      <c r="K15" s="24">
        <f t="shared" si="2"/>
        <v>0.6624287999999999</v>
      </c>
      <c r="L15" s="24">
        <f t="shared" si="3"/>
        <v>0.07360320000000001</v>
      </c>
      <c r="M15" s="25">
        <f t="shared" si="4"/>
        <v>0.036801600000000004</v>
      </c>
    </row>
    <row r="16" spans="1:13" ht="15">
      <c r="A16" s="19" t="s">
        <v>28</v>
      </c>
      <c r="B16" s="20">
        <v>2</v>
      </c>
      <c r="C16" s="21">
        <v>8</v>
      </c>
      <c r="D16" s="22">
        <f>1.479*22*0.74</f>
        <v>24.078120000000002</v>
      </c>
      <c r="E16" s="22">
        <f>0.054*22*0.74</f>
        <v>0.8791199999999999</v>
      </c>
      <c r="F16" s="22">
        <f>0.002*22*0.74</f>
        <v>0.03256</v>
      </c>
      <c r="G16" s="22">
        <f>0.0006*22*0.74</f>
        <v>0.009767999999999999</v>
      </c>
      <c r="H16" s="22">
        <f>0.00025*22*0.74</f>
        <v>0.00407</v>
      </c>
      <c r="I16" s="23">
        <f t="shared" si="0"/>
        <v>385.24992000000003</v>
      </c>
      <c r="J16" s="24">
        <f t="shared" si="1"/>
        <v>14.065919999999998</v>
      </c>
      <c r="K16" s="24">
        <f t="shared" si="2"/>
        <v>0.52096</v>
      </c>
      <c r="L16" s="24">
        <f t="shared" si="3"/>
        <v>0.15628799999999998</v>
      </c>
      <c r="M16" s="25">
        <f t="shared" si="4"/>
        <v>0.06512</v>
      </c>
    </row>
    <row r="17" spans="1:13" ht="15.75" thickBot="1">
      <c r="A17" s="29" t="s">
        <v>29</v>
      </c>
      <c r="B17" s="30">
        <v>30</v>
      </c>
      <c r="C17" s="30">
        <v>8</v>
      </c>
      <c r="D17" s="31">
        <f>0.011*35*0.45</f>
        <v>0.17325</v>
      </c>
      <c r="E17" s="31">
        <f>0.002*35*0.45</f>
        <v>0.03150000000000001</v>
      </c>
      <c r="F17" s="31">
        <f>0.018*35*0.45</f>
        <v>0.28350000000000003</v>
      </c>
      <c r="G17" s="31">
        <f>0.002*35*0.45</f>
        <v>0.03150000000000001</v>
      </c>
      <c r="H17" s="31">
        <f>0.001*35*0.45</f>
        <v>0.015750000000000004</v>
      </c>
      <c r="I17" s="32">
        <f t="shared" si="0"/>
        <v>41.58</v>
      </c>
      <c r="J17" s="31">
        <f t="shared" si="1"/>
        <v>7.560000000000001</v>
      </c>
      <c r="K17" s="31">
        <f t="shared" si="2"/>
        <v>68.04</v>
      </c>
      <c r="L17" s="31">
        <f t="shared" si="3"/>
        <v>7.560000000000001</v>
      </c>
      <c r="M17" s="33">
        <f t="shared" si="4"/>
        <v>3.7800000000000007</v>
      </c>
    </row>
    <row r="18" spans="1:13" ht="14.25" thickBot="1" thickTop="1">
      <c r="A18" s="26"/>
      <c r="B18" s="34"/>
      <c r="C18" s="35"/>
      <c r="D18" s="34"/>
      <c r="E18" s="34"/>
      <c r="F18" s="34"/>
      <c r="G18" s="34"/>
      <c r="H18" s="34"/>
      <c r="I18" s="36"/>
      <c r="J18" s="37"/>
      <c r="K18" s="37"/>
      <c r="L18" s="37"/>
      <c r="M18" s="38"/>
    </row>
    <row r="19" spans="1:13" ht="13.5" thickBot="1">
      <c r="A19" s="39" t="s">
        <v>13</v>
      </c>
      <c r="B19" s="40"/>
      <c r="C19" s="41"/>
      <c r="D19" s="41"/>
      <c r="E19" s="40"/>
      <c r="F19" s="40"/>
      <c r="G19" s="40"/>
      <c r="H19" s="40"/>
      <c r="I19" s="42">
        <f>SUM(I6:I17)</f>
        <v>578.5352576</v>
      </c>
      <c r="J19" s="42">
        <f>SUM(J6:J17)</f>
        <v>65.7525232</v>
      </c>
      <c r="K19" s="42">
        <f>SUM(K6:K17)</f>
        <v>461.1650688</v>
      </c>
      <c r="L19" s="42">
        <f>SUM(L6:L17)</f>
        <v>38.83621120000001</v>
      </c>
      <c r="M19" s="42">
        <f>SUM(M6:M17)</f>
        <v>29.367081600000002</v>
      </c>
    </row>
    <row r="20" spans="1:13" ht="14.25" thickBot="1" thickTop="1">
      <c r="A20" s="43" t="s">
        <v>5</v>
      </c>
      <c r="B20" s="44"/>
      <c r="C20" s="45"/>
      <c r="D20" s="45"/>
      <c r="E20" s="46"/>
      <c r="F20" s="46"/>
      <c r="G20" s="46"/>
      <c r="H20" s="46"/>
      <c r="I20" s="46" t="s">
        <v>5</v>
      </c>
      <c r="J20" s="46" t="s">
        <v>5</v>
      </c>
      <c r="K20" s="46" t="s">
        <v>5</v>
      </c>
      <c r="L20" s="46" t="s">
        <v>5</v>
      </c>
      <c r="M20" s="47" t="s">
        <v>5</v>
      </c>
    </row>
    <row r="21" ht="13.5" thickTop="1"/>
    <row r="22" ht="12.75">
      <c r="A22" s="48" t="s">
        <v>14</v>
      </c>
    </row>
    <row r="23" ht="12.75">
      <c r="A23" s="48" t="s">
        <v>15</v>
      </c>
    </row>
    <row r="24" spans="1:5" ht="12.75">
      <c r="A24" s="48" t="s">
        <v>16</v>
      </c>
      <c r="B24" s="48"/>
      <c r="C24" s="48"/>
      <c r="D24" s="48"/>
      <c r="E24" s="49"/>
    </row>
    <row r="27" ht="12.75">
      <c r="A27" s="48" t="s">
        <v>17</v>
      </c>
    </row>
    <row r="29" ht="12.75">
      <c r="C29" t="s">
        <v>5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&amp;C&amp;"Arial,Bold"&amp;12Construction Equipment Emissions for the Equilon CARB Phase 3 Project 
Refinery Construction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5">
      <selection activeCell="A17" sqref="A17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18</v>
      </c>
      <c r="B6" s="20">
        <v>6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 aca="true" t="shared" si="0" ref="I6:I17">B6*C6*D6</f>
        <v>9.377279999999999</v>
      </c>
      <c r="J6" s="24">
        <f aca="true" t="shared" si="1" ref="J6:J17">B6*C6*E6</f>
        <v>1.7049599999999998</v>
      </c>
      <c r="K6" s="24">
        <f aca="true" t="shared" si="2" ref="K6:K17">B6*C6*F6</f>
        <v>15.344639999999998</v>
      </c>
      <c r="L6" s="24">
        <f aca="true" t="shared" si="3" ref="L6:L17">B6*C6*G6</f>
        <v>1.7049599999999998</v>
      </c>
      <c r="M6" s="25">
        <f aca="true" t="shared" si="4" ref="M6:M17">B6*C6*H6</f>
        <v>0.8524799999999999</v>
      </c>
    </row>
    <row r="7" spans="1:13" ht="15">
      <c r="A7" s="26" t="s">
        <v>19</v>
      </c>
      <c r="B7" s="21">
        <v>1</v>
      </c>
      <c r="C7" s="21">
        <v>8</v>
      </c>
      <c r="D7" s="24">
        <f>0.015*79*0.465</f>
        <v>0.5510250000000001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 t="shared" si="0"/>
        <v>4.408200000000001</v>
      </c>
      <c r="J7" s="24">
        <f t="shared" si="1"/>
        <v>1.32804</v>
      </c>
      <c r="K7" s="24">
        <f t="shared" si="2"/>
        <v>9.73896</v>
      </c>
      <c r="L7" s="24">
        <f t="shared" si="3"/>
        <v>0.8853600000000001</v>
      </c>
      <c r="M7" s="25">
        <f t="shared" si="4"/>
        <v>0.4426800000000001</v>
      </c>
    </row>
    <row r="8" spans="1:13" ht="15">
      <c r="A8" s="19" t="s">
        <v>20</v>
      </c>
      <c r="B8" s="20">
        <v>9</v>
      </c>
      <c r="C8" s="21">
        <v>8</v>
      </c>
      <c r="D8" s="22">
        <f>0.009*194*0.43</f>
        <v>0.7507799999999999</v>
      </c>
      <c r="E8" s="22">
        <f>0.003*194*0.43</f>
        <v>0.25026</v>
      </c>
      <c r="F8" s="22">
        <f>0.023*194*0.43</f>
        <v>1.9186599999999998</v>
      </c>
      <c r="G8" s="22">
        <f>0.002*194*0.43</f>
        <v>0.16684000000000002</v>
      </c>
      <c r="H8" s="27">
        <f>0.0015*194*0.43</f>
        <v>0.12513</v>
      </c>
      <c r="I8" s="23">
        <f t="shared" si="0"/>
        <v>54.05615999999999</v>
      </c>
      <c r="J8" s="24">
        <f t="shared" si="1"/>
        <v>18.01872</v>
      </c>
      <c r="K8" s="24">
        <f t="shared" si="2"/>
        <v>138.14352</v>
      </c>
      <c r="L8" s="24">
        <f t="shared" si="3"/>
        <v>12.012480000000002</v>
      </c>
      <c r="M8" s="25">
        <f t="shared" si="4"/>
        <v>9.00936</v>
      </c>
    </row>
    <row r="9" spans="1:13" ht="15">
      <c r="A9" s="19" t="s">
        <v>21</v>
      </c>
      <c r="B9" s="20">
        <v>2</v>
      </c>
      <c r="C9" s="21">
        <v>8</v>
      </c>
      <c r="D9" s="22">
        <f>0.009*300*0.43</f>
        <v>1.1609999999999998</v>
      </c>
      <c r="E9" s="22">
        <f>0.003*300*0.43</f>
        <v>0.387</v>
      </c>
      <c r="F9" s="22">
        <f>0.023*300*0.43</f>
        <v>2.9669999999999996</v>
      </c>
      <c r="G9" s="22">
        <f>0.002*300*0.43</f>
        <v>0.258</v>
      </c>
      <c r="H9" s="27">
        <f>0.0015*300*0.43</f>
        <v>0.1935</v>
      </c>
      <c r="I9" s="23">
        <f t="shared" si="0"/>
        <v>18.575999999999997</v>
      </c>
      <c r="J9" s="24">
        <f t="shared" si="1"/>
        <v>6.192</v>
      </c>
      <c r="K9" s="24">
        <f t="shared" si="2"/>
        <v>47.471999999999994</v>
      </c>
      <c r="L9" s="24">
        <f t="shared" si="3"/>
        <v>4.128</v>
      </c>
      <c r="M9" s="25">
        <f t="shared" si="4"/>
        <v>3.096</v>
      </c>
    </row>
    <row r="10" spans="1:13" ht="15">
      <c r="A10" s="19" t="s">
        <v>22</v>
      </c>
      <c r="B10" s="20">
        <v>1</v>
      </c>
      <c r="C10" s="21">
        <v>8</v>
      </c>
      <c r="D10" s="22">
        <v>1.8</v>
      </c>
      <c r="E10" s="22">
        <v>0.19</v>
      </c>
      <c r="F10" s="22">
        <v>4.17</v>
      </c>
      <c r="G10" s="22">
        <v>0.45</v>
      </c>
      <c r="H10" s="27">
        <v>0.26</v>
      </c>
      <c r="I10" s="23">
        <f t="shared" si="0"/>
        <v>14.4</v>
      </c>
      <c r="J10" s="24">
        <f t="shared" si="1"/>
        <v>1.52</v>
      </c>
      <c r="K10" s="24">
        <f t="shared" si="2"/>
        <v>33.36</v>
      </c>
      <c r="L10" s="24">
        <f t="shared" si="3"/>
        <v>3.6</v>
      </c>
      <c r="M10" s="25">
        <f t="shared" si="4"/>
        <v>2.08</v>
      </c>
    </row>
    <row r="11" spans="1:13" ht="15">
      <c r="A11" s="19" t="s">
        <v>23</v>
      </c>
      <c r="B11" s="20">
        <v>4</v>
      </c>
      <c r="C11" s="21">
        <v>8</v>
      </c>
      <c r="D11" s="22">
        <v>0.52</v>
      </c>
      <c r="E11" s="22">
        <v>0.17</v>
      </c>
      <c r="F11" s="22">
        <v>1.54</v>
      </c>
      <c r="G11" s="28">
        <v>0</v>
      </c>
      <c r="H11" s="27">
        <v>0.093</v>
      </c>
      <c r="I11" s="23">
        <f t="shared" si="0"/>
        <v>16.64</v>
      </c>
      <c r="J11" s="24">
        <f t="shared" si="1"/>
        <v>5.44</v>
      </c>
      <c r="K11" s="24">
        <f t="shared" si="2"/>
        <v>49.28</v>
      </c>
      <c r="L11" s="24">
        <f t="shared" si="3"/>
        <v>0</v>
      </c>
      <c r="M11" s="25">
        <f t="shared" si="4"/>
        <v>2.976</v>
      </c>
    </row>
    <row r="12" spans="1:13" ht="15">
      <c r="A12" s="19" t="s">
        <v>24</v>
      </c>
      <c r="B12" s="20">
        <v>1</v>
      </c>
      <c r="C12" s="21">
        <v>8</v>
      </c>
      <c r="D12" s="22">
        <v>0.572</v>
      </c>
      <c r="E12" s="22">
        <v>0.23</v>
      </c>
      <c r="F12" s="22">
        <v>1.9</v>
      </c>
      <c r="G12" s="22">
        <v>0.182</v>
      </c>
      <c r="H12" s="27">
        <v>0.17</v>
      </c>
      <c r="I12" s="23">
        <f t="shared" si="0"/>
        <v>4.576</v>
      </c>
      <c r="J12" s="24">
        <f t="shared" si="1"/>
        <v>1.84</v>
      </c>
      <c r="K12" s="24">
        <f t="shared" si="2"/>
        <v>15.2</v>
      </c>
      <c r="L12" s="24">
        <f t="shared" si="3"/>
        <v>1.456</v>
      </c>
      <c r="M12" s="25">
        <f t="shared" si="4"/>
        <v>1.36</v>
      </c>
    </row>
    <row r="13" spans="1:13" ht="15">
      <c r="A13" s="19" t="s">
        <v>25</v>
      </c>
      <c r="B13" s="20">
        <v>8</v>
      </c>
      <c r="C13" s="21">
        <v>8</v>
      </c>
      <c r="D13" s="22">
        <f>0.013*43*0.505</f>
        <v>0.28229499999999996</v>
      </c>
      <c r="E13" s="22">
        <f>0.003*43*0.505</f>
        <v>0.06514500000000001</v>
      </c>
      <c r="F13" s="22">
        <f>0.031*43*0.505</f>
        <v>0.673165</v>
      </c>
      <c r="G13" s="22">
        <f>0.002*43*0.505</f>
        <v>0.04343</v>
      </c>
      <c r="H13" s="22">
        <f>0.0015*43*0.505</f>
        <v>0.032572500000000004</v>
      </c>
      <c r="I13" s="23">
        <f t="shared" si="0"/>
        <v>18.066879999999998</v>
      </c>
      <c r="J13" s="24">
        <f t="shared" si="1"/>
        <v>4.1692800000000005</v>
      </c>
      <c r="K13" s="24">
        <f t="shared" si="2"/>
        <v>43.08256</v>
      </c>
      <c r="L13" s="24">
        <f t="shared" si="3"/>
        <v>2.77952</v>
      </c>
      <c r="M13" s="25">
        <f t="shared" si="4"/>
        <v>2.0846400000000003</v>
      </c>
    </row>
    <row r="14" spans="1:13" ht="15">
      <c r="A14" s="19" t="s">
        <v>26</v>
      </c>
      <c r="B14" s="20">
        <v>4</v>
      </c>
      <c r="C14" s="21">
        <v>8</v>
      </c>
      <c r="D14" s="22">
        <v>0.35</v>
      </c>
      <c r="E14" s="22">
        <v>0.12</v>
      </c>
      <c r="F14" s="22">
        <v>1.26</v>
      </c>
      <c r="G14" s="22">
        <v>0.14</v>
      </c>
      <c r="H14" s="22">
        <v>0.112</v>
      </c>
      <c r="I14" s="23">
        <f t="shared" si="0"/>
        <v>11.2</v>
      </c>
      <c r="J14" s="24">
        <f t="shared" si="1"/>
        <v>3.84</v>
      </c>
      <c r="K14" s="24">
        <f t="shared" si="2"/>
        <v>40.32</v>
      </c>
      <c r="L14" s="24">
        <f t="shared" si="3"/>
        <v>4.48</v>
      </c>
      <c r="M14" s="25">
        <f t="shared" si="4"/>
        <v>3.584</v>
      </c>
    </row>
    <row r="15" spans="1:13" ht="15">
      <c r="A15" s="19" t="s">
        <v>27</v>
      </c>
      <c r="B15" s="20">
        <v>1</v>
      </c>
      <c r="C15" s="21">
        <v>4</v>
      </c>
      <c r="D15" s="22">
        <f>0.011*11.22*0.82</f>
        <v>0.1012044</v>
      </c>
      <c r="E15" s="22">
        <f>0.002*11.22*0.82</f>
        <v>0.018400800000000002</v>
      </c>
      <c r="F15" s="22">
        <f>0.018*11.22*0.82</f>
        <v>0.16560719999999998</v>
      </c>
      <c r="G15" s="22">
        <f>0.002*11.22*0.82</f>
        <v>0.018400800000000002</v>
      </c>
      <c r="H15" s="22">
        <f>0.001*11.22*0.82</f>
        <v>0.009200400000000001</v>
      </c>
      <c r="I15" s="23">
        <f t="shared" si="0"/>
        <v>0.4048176</v>
      </c>
      <c r="J15" s="24">
        <f t="shared" si="1"/>
        <v>0.07360320000000001</v>
      </c>
      <c r="K15" s="24">
        <f t="shared" si="2"/>
        <v>0.6624287999999999</v>
      </c>
      <c r="L15" s="24">
        <f t="shared" si="3"/>
        <v>0.07360320000000001</v>
      </c>
      <c r="M15" s="25">
        <f t="shared" si="4"/>
        <v>0.036801600000000004</v>
      </c>
    </row>
    <row r="16" spans="1:13" ht="15">
      <c r="A16" s="19" t="s">
        <v>28</v>
      </c>
      <c r="B16" s="20">
        <v>2</v>
      </c>
      <c r="C16" s="21">
        <v>8</v>
      </c>
      <c r="D16" s="22">
        <f>1.479*22*0.74</f>
        <v>24.078120000000002</v>
      </c>
      <c r="E16" s="22">
        <f>0.054*22*0.74</f>
        <v>0.8791199999999999</v>
      </c>
      <c r="F16" s="22">
        <f>0.002*22*0.74</f>
        <v>0.03256</v>
      </c>
      <c r="G16" s="22">
        <f>0.0006*22*0.74</f>
        <v>0.009767999999999999</v>
      </c>
      <c r="H16" s="22">
        <f>0.00025*22*0.74</f>
        <v>0.00407</v>
      </c>
      <c r="I16" s="23">
        <f t="shared" si="0"/>
        <v>385.24992000000003</v>
      </c>
      <c r="J16" s="24">
        <f t="shared" si="1"/>
        <v>14.065919999999998</v>
      </c>
      <c r="K16" s="24">
        <f t="shared" si="2"/>
        <v>0.52096</v>
      </c>
      <c r="L16" s="24">
        <f t="shared" si="3"/>
        <v>0.15628799999999998</v>
      </c>
      <c r="M16" s="25">
        <f t="shared" si="4"/>
        <v>0.06512</v>
      </c>
    </row>
    <row r="17" spans="1:13" ht="15.75" thickBot="1">
      <c r="A17" s="29" t="s">
        <v>29</v>
      </c>
      <c r="B17" s="30">
        <v>10</v>
      </c>
      <c r="C17" s="30">
        <v>8</v>
      </c>
      <c r="D17" s="31">
        <f>0.011*35*0.45</f>
        <v>0.17325</v>
      </c>
      <c r="E17" s="31">
        <f>0.002*35*0.45</f>
        <v>0.03150000000000001</v>
      </c>
      <c r="F17" s="31">
        <f>0.018*35*0.45</f>
        <v>0.28350000000000003</v>
      </c>
      <c r="G17" s="31">
        <f>0.002*35*0.45</f>
        <v>0.03150000000000001</v>
      </c>
      <c r="H17" s="31">
        <f>0.001*35*0.45</f>
        <v>0.015750000000000004</v>
      </c>
      <c r="I17" s="32">
        <f t="shared" si="0"/>
        <v>13.86</v>
      </c>
      <c r="J17" s="31">
        <f t="shared" si="1"/>
        <v>2.5200000000000005</v>
      </c>
      <c r="K17" s="31">
        <f t="shared" si="2"/>
        <v>22.680000000000003</v>
      </c>
      <c r="L17" s="31">
        <f t="shared" si="3"/>
        <v>2.5200000000000005</v>
      </c>
      <c r="M17" s="33">
        <f t="shared" si="4"/>
        <v>1.2600000000000002</v>
      </c>
    </row>
    <row r="18" spans="1:13" ht="14.25" thickBot="1" thickTop="1">
      <c r="A18" s="26"/>
      <c r="B18" s="34"/>
      <c r="C18" s="35"/>
      <c r="D18" s="34"/>
      <c r="E18" s="34"/>
      <c r="F18" s="34"/>
      <c r="G18" s="34"/>
      <c r="H18" s="34"/>
      <c r="I18" s="36"/>
      <c r="J18" s="37"/>
      <c r="K18" s="37"/>
      <c r="L18" s="37"/>
      <c r="M18" s="38"/>
    </row>
    <row r="19" spans="1:13" ht="13.5" thickBot="1">
      <c r="A19" s="39" t="s">
        <v>13</v>
      </c>
      <c r="B19" s="40"/>
      <c r="C19" s="41"/>
      <c r="D19" s="41"/>
      <c r="E19" s="40"/>
      <c r="F19" s="40"/>
      <c r="G19" s="40"/>
      <c r="H19" s="40"/>
      <c r="I19" s="42">
        <f>SUM(I6:I17)</f>
        <v>550.8152576</v>
      </c>
      <c r="J19" s="42">
        <f>SUM(J6:J17)</f>
        <v>60.7125232</v>
      </c>
      <c r="K19" s="42">
        <f>SUM(K6:K17)</f>
        <v>415.80506879999996</v>
      </c>
      <c r="L19" s="42">
        <f>SUM(L6:L17)</f>
        <v>33.79621120000001</v>
      </c>
      <c r="M19" s="42">
        <f>SUM(M6:M17)</f>
        <v>26.847081600000003</v>
      </c>
    </row>
    <row r="20" spans="1:13" ht="14.25" thickBot="1" thickTop="1">
      <c r="A20" s="43" t="s">
        <v>5</v>
      </c>
      <c r="B20" s="44"/>
      <c r="C20" s="45"/>
      <c r="D20" s="45"/>
      <c r="E20" s="46"/>
      <c r="F20" s="46"/>
      <c r="G20" s="46"/>
      <c r="H20" s="46"/>
      <c r="I20" s="46" t="s">
        <v>5</v>
      </c>
      <c r="J20" s="46" t="s">
        <v>5</v>
      </c>
      <c r="K20" s="46" t="s">
        <v>5</v>
      </c>
      <c r="L20" s="46" t="s">
        <v>5</v>
      </c>
      <c r="M20" s="47" t="s">
        <v>5</v>
      </c>
    </row>
    <row r="21" ht="13.5" thickTop="1"/>
    <row r="22" ht="12.75">
      <c r="A22" s="48" t="s">
        <v>14</v>
      </c>
    </row>
    <row r="23" ht="12.75">
      <c r="A23" s="48" t="s">
        <v>15</v>
      </c>
    </row>
    <row r="24" spans="1:5" ht="12.75">
      <c r="A24" s="48" t="s">
        <v>16</v>
      </c>
      <c r="B24" s="48"/>
      <c r="C24" s="48"/>
      <c r="D24" s="48"/>
      <c r="E24" s="49"/>
    </row>
    <row r="27" ht="12.75">
      <c r="A27" s="48" t="s">
        <v>17</v>
      </c>
    </row>
    <row r="29" ht="12.75">
      <c r="C29" t="s">
        <v>5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&amp;C&amp;"Arial,Bold"&amp;12Mitigated Construction Equipment Emissions for the Equilon CARB Phase 3 Project 
Refinery Construction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28125" style="0" customWidth="1"/>
    <col min="15" max="15" width="11.00390625" style="0" customWidth="1"/>
    <col min="16" max="16" width="11.28125" style="0" customWidth="1"/>
  </cols>
  <sheetData>
    <row r="2" spans="1:13" ht="17.25">
      <c r="A2" s="100"/>
      <c r="B2" s="101"/>
      <c r="D2" s="395" t="s">
        <v>151</v>
      </c>
      <c r="E2" s="396"/>
      <c r="F2" s="396"/>
      <c r="G2" s="396"/>
      <c r="H2" s="396"/>
      <c r="I2" s="396"/>
      <c r="L2" s="101"/>
      <c r="M2" s="101"/>
    </row>
    <row r="3" spans="1:13" ht="17.25">
      <c r="A3" s="100"/>
      <c r="B3" s="101"/>
      <c r="D3" s="395" t="s">
        <v>146</v>
      </c>
      <c r="E3" s="396"/>
      <c r="F3" s="396"/>
      <c r="G3" s="396"/>
      <c r="H3" s="396"/>
      <c r="I3" s="396"/>
      <c r="L3" s="101"/>
      <c r="M3" s="101"/>
    </row>
    <row r="4" spans="1:13" ht="18" thickBot="1">
      <c r="A4" s="100"/>
      <c r="B4" s="101"/>
      <c r="E4" s="100"/>
      <c r="F4" s="101"/>
      <c r="G4" s="101"/>
      <c r="L4" s="101"/>
      <c r="M4" s="101"/>
    </row>
    <row r="5" spans="1:14" ht="18" thickBot="1">
      <c r="A5" s="102"/>
      <c r="B5" s="103"/>
      <c r="C5" s="389" t="s">
        <v>92</v>
      </c>
      <c r="D5" s="104"/>
      <c r="E5" s="389" t="s">
        <v>93</v>
      </c>
      <c r="F5" s="103"/>
      <c r="G5" s="397" t="s">
        <v>94</v>
      </c>
      <c r="H5" s="397" t="s">
        <v>95</v>
      </c>
      <c r="I5" s="397" t="s">
        <v>96</v>
      </c>
      <c r="J5" s="356" t="s">
        <v>97</v>
      </c>
      <c r="K5" s="357"/>
      <c r="L5" s="393" t="s">
        <v>98</v>
      </c>
      <c r="M5" s="392"/>
      <c r="N5" s="388" t="s">
        <v>99</v>
      </c>
    </row>
    <row r="6" spans="1:14" ht="18" customHeight="1" thickBot="1">
      <c r="A6" s="108"/>
      <c r="B6" s="109"/>
      <c r="C6" s="390"/>
      <c r="D6" s="50"/>
      <c r="E6" s="390"/>
      <c r="F6" s="109"/>
      <c r="G6" s="390"/>
      <c r="H6" s="390"/>
      <c r="I6" s="390"/>
      <c r="J6" s="388" t="s">
        <v>100</v>
      </c>
      <c r="K6" s="383" t="s">
        <v>101</v>
      </c>
      <c r="L6" s="388" t="s">
        <v>100</v>
      </c>
      <c r="M6" s="383" t="s">
        <v>101</v>
      </c>
      <c r="N6" s="392"/>
    </row>
    <row r="7" spans="1:14" ht="12.75" customHeight="1" thickBot="1">
      <c r="A7" s="385" t="s">
        <v>102</v>
      </c>
      <c r="B7" s="111"/>
      <c r="C7" s="390"/>
      <c r="D7" s="112"/>
      <c r="E7" s="390"/>
      <c r="F7" s="111"/>
      <c r="G7" s="390"/>
      <c r="H7" s="390"/>
      <c r="I7" s="390"/>
      <c r="J7" s="388"/>
      <c r="K7" s="394"/>
      <c r="L7" s="388"/>
      <c r="M7" s="394"/>
      <c r="N7" s="392"/>
    </row>
    <row r="8" spans="1:14" ht="13.5" thickBot="1">
      <c r="A8" s="386"/>
      <c r="B8" s="111"/>
      <c r="C8" s="390"/>
      <c r="D8" s="112"/>
      <c r="E8" s="390"/>
      <c r="F8" s="111"/>
      <c r="G8" s="390"/>
      <c r="H8" s="390"/>
      <c r="I8" s="390"/>
      <c r="J8" s="388"/>
      <c r="K8" s="394"/>
      <c r="L8" s="388"/>
      <c r="M8" s="394"/>
      <c r="N8" s="392"/>
    </row>
    <row r="9" spans="1:14" ht="13.5" thickBot="1">
      <c r="A9" s="387"/>
      <c r="B9" s="113"/>
      <c r="C9" s="391"/>
      <c r="D9" s="114"/>
      <c r="E9" s="391"/>
      <c r="F9" s="113"/>
      <c r="G9" s="391"/>
      <c r="H9" s="391"/>
      <c r="I9" s="391"/>
      <c r="J9" s="388"/>
      <c r="K9" s="384"/>
      <c r="L9" s="388"/>
      <c r="M9" s="384"/>
      <c r="N9" s="392"/>
    </row>
    <row r="10" spans="1:14" ht="13.5" thickBot="1">
      <c r="A10" s="115" t="s">
        <v>103</v>
      </c>
      <c r="B10" s="116"/>
      <c r="C10" s="117">
        <v>1</v>
      </c>
      <c r="D10" s="117"/>
      <c r="E10" s="117">
        <v>3</v>
      </c>
      <c r="F10" s="117"/>
      <c r="G10" s="117">
        <v>8</v>
      </c>
      <c r="H10" s="117">
        <v>7.7</v>
      </c>
      <c r="I10" s="117">
        <v>0.34</v>
      </c>
      <c r="J10" s="83">
        <f>+C10*G10*H10*I10</f>
        <v>20.944000000000003</v>
      </c>
      <c r="K10" s="83">
        <f>+E10*G10*H10*I10</f>
        <v>62.83200000000001</v>
      </c>
      <c r="L10" s="118">
        <f>+C10*G10*H10</f>
        <v>61.6</v>
      </c>
      <c r="M10" s="118">
        <f>+E10*G10*H10</f>
        <v>184.8</v>
      </c>
      <c r="N10" s="68" t="s">
        <v>104</v>
      </c>
    </row>
    <row r="12" ht="13.5" thickBot="1">
      <c r="B12" s="90"/>
    </row>
    <row r="13" spans="1:14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19"/>
      <c r="J13" s="84" t="s">
        <v>97</v>
      </c>
      <c r="K13" s="85"/>
      <c r="L13" s="120" t="s">
        <v>98</v>
      </c>
      <c r="M13" s="85"/>
      <c r="N13" s="383" t="s">
        <v>99</v>
      </c>
    </row>
    <row r="14" spans="1:14" ht="66" thickBot="1">
      <c r="A14" s="67" t="s">
        <v>106</v>
      </c>
      <c r="B14" s="50"/>
      <c r="C14" s="121"/>
      <c r="D14" s="121"/>
      <c r="E14" s="110" t="s">
        <v>107</v>
      </c>
      <c r="F14" s="121"/>
      <c r="G14" s="110" t="s">
        <v>108</v>
      </c>
      <c r="H14" s="110" t="s">
        <v>109</v>
      </c>
      <c r="I14" s="122" t="s">
        <v>96</v>
      </c>
      <c r="J14" s="123" t="s">
        <v>110</v>
      </c>
      <c r="K14" s="94" t="s">
        <v>111</v>
      </c>
      <c r="L14" s="124" t="s">
        <v>110</v>
      </c>
      <c r="M14" s="122" t="s">
        <v>112</v>
      </c>
      <c r="N14" s="384"/>
    </row>
    <row r="15" spans="1:14" ht="13.5" thickBot="1">
      <c r="A15" s="64" t="s">
        <v>103</v>
      </c>
      <c r="B15" s="81"/>
      <c r="C15" s="53"/>
      <c r="D15" s="81"/>
      <c r="E15" s="53">
        <v>50</v>
      </c>
      <c r="F15" s="81"/>
      <c r="G15" s="53">
        <v>100</v>
      </c>
      <c r="H15" s="53">
        <v>1.2E-05</v>
      </c>
      <c r="I15" s="52">
        <v>0.34</v>
      </c>
      <c r="J15" s="53">
        <f>+E15*H15*I15</f>
        <v>0.00020400000000000003</v>
      </c>
      <c r="K15" s="52">
        <f>+G15*H15*0.34</f>
        <v>0.00040800000000000005</v>
      </c>
      <c r="L15" s="51">
        <f>+E15*H15</f>
        <v>0.0006000000000000001</v>
      </c>
      <c r="M15" s="51">
        <f>+G15*H15</f>
        <v>0.0012000000000000001</v>
      </c>
      <c r="N15" s="87" t="s">
        <v>113</v>
      </c>
    </row>
    <row r="16" spans="1:14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19"/>
    </row>
    <row r="17" spans="1:14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95"/>
    </row>
    <row r="18" spans="1:14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ht="16.5" customHeight="1"/>
    <row r="20" ht="13.5" thickBot="1"/>
    <row r="21" spans="1:14" ht="53.25" thickBot="1">
      <c r="A21" s="86" t="s">
        <v>116</v>
      </c>
      <c r="B21" s="84"/>
      <c r="C21" s="92"/>
      <c r="D21" s="93"/>
      <c r="E21" s="92" t="s">
        <v>117</v>
      </c>
      <c r="F21" s="93"/>
      <c r="G21" s="92" t="s">
        <v>118</v>
      </c>
      <c r="H21" s="92" t="s">
        <v>119</v>
      </c>
      <c r="I21" s="106" t="s">
        <v>120</v>
      </c>
      <c r="J21" s="105" t="s">
        <v>110</v>
      </c>
      <c r="K21" s="106" t="s">
        <v>121</v>
      </c>
      <c r="L21" s="105" t="s">
        <v>122</v>
      </c>
      <c r="M21" s="106" t="s">
        <v>123</v>
      </c>
      <c r="N21" s="107" t="s">
        <v>99</v>
      </c>
    </row>
    <row r="22" spans="1:14" ht="13.5" thickBot="1">
      <c r="A22" s="64" t="s">
        <v>103</v>
      </c>
      <c r="B22" s="81"/>
      <c r="C22" s="53"/>
      <c r="D22" s="81"/>
      <c r="E22" s="53">
        <v>570</v>
      </c>
      <c r="F22" s="81"/>
      <c r="G22" s="53">
        <v>0</v>
      </c>
      <c r="H22" s="53">
        <v>0.5</v>
      </c>
      <c r="I22" s="127">
        <f>1.7*0.075/1.5*331/235*25/0.15*0.5</f>
        <v>9.976950354609931</v>
      </c>
      <c r="J22" s="128">
        <f>+G22*I22</f>
        <v>0</v>
      </c>
      <c r="K22" s="127">
        <f>H22*I22</f>
        <v>4.988475177304966</v>
      </c>
      <c r="L22" s="127">
        <f>J22*E22/2000</f>
        <v>0</v>
      </c>
      <c r="M22" s="127">
        <f>K22*E22/2000</f>
        <v>1.421715425531915</v>
      </c>
      <c r="N22" s="87" t="s">
        <v>124</v>
      </c>
    </row>
    <row r="24" ht="13.5" thickBot="1"/>
    <row r="25" spans="2:9" ht="13.5" thickBot="1">
      <c r="B25" s="80" t="s">
        <v>125</v>
      </c>
      <c r="C25" s="104"/>
      <c r="D25" s="104"/>
      <c r="E25" s="104"/>
      <c r="F25" s="104"/>
      <c r="G25" s="104"/>
      <c r="H25" s="80" t="s">
        <v>126</v>
      </c>
      <c r="I25" s="119" t="s">
        <v>127</v>
      </c>
    </row>
    <row r="26" spans="2:9" ht="12.75">
      <c r="B26" s="67" t="s">
        <v>128</v>
      </c>
      <c r="C26" s="50"/>
      <c r="D26" s="50"/>
      <c r="E26" s="50"/>
      <c r="F26" s="50" t="s">
        <v>129</v>
      </c>
      <c r="G26" s="50"/>
      <c r="H26" s="129">
        <f>+J10+J15+J22</f>
        <v>20.944204000000003</v>
      </c>
      <c r="I26" s="129">
        <f>+K10+K15+K22</f>
        <v>67.82088317730498</v>
      </c>
    </row>
    <row r="27" spans="2:9" ht="13.5" thickBot="1">
      <c r="B27" s="69" t="s">
        <v>130</v>
      </c>
      <c r="C27" s="125"/>
      <c r="D27" s="125"/>
      <c r="E27" s="125"/>
      <c r="F27" s="125"/>
      <c r="G27" s="125"/>
      <c r="H27" s="130">
        <f>+L10+L15+L22</f>
        <v>61.6006</v>
      </c>
      <c r="I27" s="130">
        <f>+M10+M15+M22</f>
        <v>186.22291542553194</v>
      </c>
    </row>
    <row r="29" spans="1:2" ht="12.75">
      <c r="A29" s="48" t="s">
        <v>131</v>
      </c>
      <c r="B29" s="48" t="s">
        <v>5</v>
      </c>
    </row>
  </sheetData>
  <sheetProtection/>
  <mergeCells count="16">
    <mergeCell ref="N13:N14"/>
    <mergeCell ref="A7:A9"/>
    <mergeCell ref="J6:J9"/>
    <mergeCell ref="C5:C9"/>
    <mergeCell ref="N5:N9"/>
    <mergeCell ref="J5:K5"/>
    <mergeCell ref="L5:M5"/>
    <mergeCell ref="L6:L9"/>
    <mergeCell ref="M6:M9"/>
    <mergeCell ref="D2:I2"/>
    <mergeCell ref="D3:I3"/>
    <mergeCell ref="K6:K9"/>
    <mergeCell ref="G5:G9"/>
    <mergeCell ref="H5:H9"/>
    <mergeCell ref="I5:I9"/>
    <mergeCell ref="E5:E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18</v>
      </c>
      <c r="B6" s="20">
        <v>1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 aca="true" t="shared" si="0" ref="I6:I12">B6*C6*D6</f>
        <v>1.5628799999999998</v>
      </c>
      <c r="J6" s="24">
        <f aca="true" t="shared" si="1" ref="J6:J12">B6*C6*E6</f>
        <v>0.28415999999999997</v>
      </c>
      <c r="K6" s="24">
        <f aca="true" t="shared" si="2" ref="K6:K12">B6*C6*F6</f>
        <v>2.5574399999999997</v>
      </c>
      <c r="L6" s="24">
        <f aca="true" t="shared" si="3" ref="L6:L12">B6*C6*G6</f>
        <v>0.28415999999999997</v>
      </c>
      <c r="M6" s="25">
        <f aca="true" t="shared" si="4" ref="M6:M12">B6*C6*H6</f>
        <v>0.14207999999999998</v>
      </c>
    </row>
    <row r="7" spans="1:13" ht="15">
      <c r="A7" s="26" t="s">
        <v>19</v>
      </c>
      <c r="B7" s="21">
        <v>3</v>
      </c>
      <c r="C7" s="21">
        <v>8</v>
      </c>
      <c r="D7" s="24">
        <f>0.015*79*0.465</f>
        <v>0.5510250000000001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 t="shared" si="0"/>
        <v>13.224600000000002</v>
      </c>
      <c r="J7" s="24">
        <f t="shared" si="1"/>
        <v>3.9841200000000003</v>
      </c>
      <c r="K7" s="24">
        <f t="shared" si="2"/>
        <v>29.216880000000003</v>
      </c>
      <c r="L7" s="24">
        <f t="shared" si="3"/>
        <v>2.65608</v>
      </c>
      <c r="M7" s="25">
        <f t="shared" si="4"/>
        <v>1.32804</v>
      </c>
    </row>
    <row r="8" spans="1:13" ht="15">
      <c r="A8" s="19" t="s">
        <v>20</v>
      </c>
      <c r="B8" s="20">
        <v>4</v>
      </c>
      <c r="C8" s="21">
        <v>8</v>
      </c>
      <c r="D8" s="22">
        <f>0.009*194*0.43</f>
        <v>0.7507799999999999</v>
      </c>
      <c r="E8" s="22">
        <f>0.003*194*0.43</f>
        <v>0.25026</v>
      </c>
      <c r="F8" s="22">
        <f>0.023*194*0.43</f>
        <v>1.9186599999999998</v>
      </c>
      <c r="G8" s="22">
        <f>0.002*194*0.43</f>
        <v>0.16684000000000002</v>
      </c>
      <c r="H8" s="27">
        <f>0.0015*194*0.43</f>
        <v>0.12513</v>
      </c>
      <c r="I8" s="23">
        <f t="shared" si="0"/>
        <v>24.024959999999997</v>
      </c>
      <c r="J8" s="24">
        <f t="shared" si="1"/>
        <v>8.00832</v>
      </c>
      <c r="K8" s="24">
        <f t="shared" si="2"/>
        <v>61.397119999999994</v>
      </c>
      <c r="L8" s="24">
        <f t="shared" si="3"/>
        <v>5.3388800000000005</v>
      </c>
      <c r="M8" s="25">
        <f t="shared" si="4"/>
        <v>4.00416</v>
      </c>
    </row>
    <row r="9" spans="1:13" ht="15">
      <c r="A9" s="19" t="s">
        <v>21</v>
      </c>
      <c r="B9" s="20">
        <v>0</v>
      </c>
      <c r="C9" s="21">
        <v>8</v>
      </c>
      <c r="D9" s="22">
        <f>0.009*300*0.43</f>
        <v>1.1609999999999998</v>
      </c>
      <c r="E9" s="22">
        <f>0.003*300*0.43</f>
        <v>0.387</v>
      </c>
      <c r="F9" s="22">
        <f>0.023*300*0.43</f>
        <v>2.9669999999999996</v>
      </c>
      <c r="G9" s="22">
        <f>0.002*300*0.43</f>
        <v>0.258</v>
      </c>
      <c r="H9" s="27">
        <f>0.0015*300*0.43</f>
        <v>0.1935</v>
      </c>
      <c r="I9" s="23">
        <f t="shared" si="0"/>
        <v>0</v>
      </c>
      <c r="J9" s="24">
        <f t="shared" si="1"/>
        <v>0</v>
      </c>
      <c r="K9" s="24">
        <f t="shared" si="2"/>
        <v>0</v>
      </c>
      <c r="L9" s="24">
        <f t="shared" si="3"/>
        <v>0</v>
      </c>
      <c r="M9" s="25">
        <f t="shared" si="4"/>
        <v>0</v>
      </c>
    </row>
    <row r="10" spans="1:13" ht="15">
      <c r="A10" s="19" t="s">
        <v>141</v>
      </c>
      <c r="B10" s="20">
        <v>4</v>
      </c>
      <c r="C10" s="21">
        <v>8</v>
      </c>
      <c r="D10" s="22">
        <v>1.8</v>
      </c>
      <c r="E10" s="22">
        <v>0.19</v>
      </c>
      <c r="F10" s="22">
        <v>4.17</v>
      </c>
      <c r="G10" s="22">
        <v>0.45</v>
      </c>
      <c r="H10" s="138">
        <v>0.26</v>
      </c>
      <c r="I10" s="23">
        <f t="shared" si="0"/>
        <v>57.6</v>
      </c>
      <c r="J10" s="24">
        <f t="shared" si="1"/>
        <v>6.08</v>
      </c>
      <c r="K10" s="24">
        <f t="shared" si="2"/>
        <v>133.44</v>
      </c>
      <c r="L10" s="24">
        <f t="shared" si="3"/>
        <v>14.4</v>
      </c>
      <c r="M10" s="25">
        <f t="shared" si="4"/>
        <v>8.32</v>
      </c>
    </row>
    <row r="11" spans="1:13" ht="15">
      <c r="A11" s="19" t="s">
        <v>25</v>
      </c>
      <c r="B11" s="20">
        <v>0</v>
      </c>
      <c r="C11" s="21">
        <v>8</v>
      </c>
      <c r="D11" s="22">
        <f>0.013*43*0.505</f>
        <v>0.28229499999999996</v>
      </c>
      <c r="E11" s="22">
        <f>0.003*43*0.505</f>
        <v>0.06514500000000001</v>
      </c>
      <c r="F11" s="22">
        <f>0.031*43*0.505</f>
        <v>0.673165</v>
      </c>
      <c r="G11" s="22">
        <f>0.002*43*0.505</f>
        <v>0.04343</v>
      </c>
      <c r="H11" s="22">
        <f>0.0015*43*0.505</f>
        <v>0.032572500000000004</v>
      </c>
      <c r="I11" s="23">
        <f t="shared" si="0"/>
        <v>0</v>
      </c>
      <c r="J11" s="24">
        <f t="shared" si="1"/>
        <v>0</v>
      </c>
      <c r="K11" s="24">
        <f t="shared" si="2"/>
        <v>0</v>
      </c>
      <c r="L11" s="24">
        <f t="shared" si="3"/>
        <v>0</v>
      </c>
      <c r="M11" s="25">
        <f t="shared" si="4"/>
        <v>0</v>
      </c>
    </row>
    <row r="12" spans="1:13" ht="15.75" thickBot="1">
      <c r="A12" s="29" t="s">
        <v>29</v>
      </c>
      <c r="B12" s="30">
        <v>3</v>
      </c>
      <c r="C12" s="30">
        <v>8</v>
      </c>
      <c r="D12" s="31">
        <f>0.011*35*0.45</f>
        <v>0.17325</v>
      </c>
      <c r="E12" s="31">
        <f>0.002*35*0.45</f>
        <v>0.03150000000000001</v>
      </c>
      <c r="F12" s="31">
        <f>0.018*35*0.45</f>
        <v>0.28350000000000003</v>
      </c>
      <c r="G12" s="31">
        <f>0.002*35*0.45</f>
        <v>0.03150000000000001</v>
      </c>
      <c r="H12" s="31">
        <f>0.001*35*0.45</f>
        <v>0.015750000000000004</v>
      </c>
      <c r="I12" s="32">
        <f t="shared" si="0"/>
        <v>4.1579999999999995</v>
      </c>
      <c r="J12" s="31">
        <f t="shared" si="1"/>
        <v>0.7560000000000002</v>
      </c>
      <c r="K12" s="31">
        <f t="shared" si="2"/>
        <v>6.804</v>
      </c>
      <c r="L12" s="31">
        <f t="shared" si="3"/>
        <v>0.7560000000000002</v>
      </c>
      <c r="M12" s="33">
        <f t="shared" si="4"/>
        <v>0.3780000000000001</v>
      </c>
    </row>
    <row r="13" spans="1:13" ht="14.25" thickBot="1" thickTop="1">
      <c r="A13" s="26"/>
      <c r="B13" s="34"/>
      <c r="C13" s="35"/>
      <c r="D13" s="34"/>
      <c r="E13" s="34"/>
      <c r="F13" s="34"/>
      <c r="G13" s="34"/>
      <c r="H13" s="34"/>
      <c r="I13" s="36"/>
      <c r="J13" s="37"/>
      <c r="K13" s="37"/>
      <c r="L13" s="37"/>
      <c r="M13" s="38"/>
    </row>
    <row r="14" spans="1:13" ht="13.5" thickBot="1">
      <c r="A14" s="39" t="s">
        <v>13</v>
      </c>
      <c r="B14" s="40"/>
      <c r="C14" s="41"/>
      <c r="D14" s="41"/>
      <c r="E14" s="40"/>
      <c r="F14" s="40"/>
      <c r="G14" s="40"/>
      <c r="H14" s="40"/>
      <c r="I14" s="42">
        <f>SUM(I6:I12)</f>
        <v>100.57044</v>
      </c>
      <c r="J14" s="42">
        <f>SUM(J6:J12)</f>
        <v>19.1126</v>
      </c>
      <c r="K14" s="42">
        <f>SUM(K6:K12)</f>
        <v>233.41544</v>
      </c>
      <c r="L14" s="42">
        <f>SUM(L6:L12)</f>
        <v>23.43512</v>
      </c>
      <c r="M14" s="42">
        <f>SUM(M6:M12)</f>
        <v>14.17228</v>
      </c>
    </row>
    <row r="15" spans="1:13" ht="14.25" thickBot="1" thickTop="1">
      <c r="A15" s="43" t="s">
        <v>5</v>
      </c>
      <c r="B15" s="44"/>
      <c r="C15" s="45"/>
      <c r="D15" s="45"/>
      <c r="E15" s="46"/>
      <c r="F15" s="46"/>
      <c r="G15" s="46"/>
      <c r="H15" s="46"/>
      <c r="I15" s="46" t="s">
        <v>5</v>
      </c>
      <c r="J15" s="46" t="s">
        <v>5</v>
      </c>
      <c r="K15" s="46" t="s">
        <v>5</v>
      </c>
      <c r="L15" s="46" t="s">
        <v>5</v>
      </c>
      <c r="M15" s="47" t="s">
        <v>5</v>
      </c>
    </row>
    <row r="16" ht="13.5" thickTop="1"/>
    <row r="17" ht="12.75">
      <c r="A17" s="48" t="s">
        <v>14</v>
      </c>
    </row>
    <row r="18" ht="12.75">
      <c r="A18" s="48" t="s">
        <v>15</v>
      </c>
    </row>
    <row r="19" spans="1:5" ht="12.75">
      <c r="A19" s="48" t="s">
        <v>16</v>
      </c>
      <c r="B19" s="48"/>
      <c r="C19" s="48"/>
      <c r="D19" s="48"/>
      <c r="E19" s="49"/>
    </row>
    <row r="22" ht="12.75">
      <c r="A22" s="48" t="s">
        <v>17</v>
      </c>
    </row>
    <row r="24" ht="12.75">
      <c r="C24" t="s">
        <v>5</v>
      </c>
    </row>
  </sheetData>
  <sheetProtection/>
  <printOptions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&amp;C&amp;"Arial,Bold"&amp;12Mitigated Construction Equipment Emissions for the Equilon CARB Phase 3 Project 
Carson Terminal Construction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I19">
      <selection activeCell="M33" sqref="M33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F2" s="395" t="s">
        <v>152</v>
      </c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F3" s="395" t="s">
        <v>146</v>
      </c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1</v>
      </c>
      <c r="E10" s="117"/>
      <c r="F10" s="117">
        <v>3</v>
      </c>
      <c r="G10" s="117"/>
      <c r="H10" s="117">
        <v>8</v>
      </c>
      <c r="I10" s="117">
        <v>7.7</v>
      </c>
      <c r="J10" s="117">
        <v>0.34</v>
      </c>
      <c r="K10" s="83">
        <f>+D10*H10*I10*J10</f>
        <v>20.944000000000003</v>
      </c>
      <c r="L10" s="83">
        <f>+F10*H10*I10*J10</f>
        <v>62.83200000000001</v>
      </c>
      <c r="M10" s="118">
        <f>+D10*H10*I10</f>
        <v>61.6</v>
      </c>
      <c r="N10" s="118">
        <f>+F10*H10*I10</f>
        <v>184.8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0.34</v>
      </c>
      <c r="K15" s="53">
        <f>+F15*I15*J15</f>
        <v>0.00020400000000000003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150</v>
      </c>
      <c r="G22" s="81"/>
      <c r="H22" s="53">
        <v>0</v>
      </c>
      <c r="I22" s="53">
        <v>0.5</v>
      </c>
      <c r="J22" s="127">
        <f>1.7*0.075/1.5*331/235*25/0.15*0.5</f>
        <v>9.976950354609931</v>
      </c>
      <c r="K22" s="128">
        <f>+H22*J22</f>
        <v>0</v>
      </c>
      <c r="L22" s="127">
        <f>I22*J22</f>
        <v>4.988475177304966</v>
      </c>
      <c r="M22" s="127">
        <f>K22*F22/2000</f>
        <v>0</v>
      </c>
      <c r="N22" s="127">
        <f>L22*F22/2000</f>
        <v>0.37413563829787244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20.944204000000003</v>
      </c>
      <c r="J26" s="129">
        <f>+L10+L15+L22</f>
        <v>67.82088317730498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61.6006</v>
      </c>
      <c r="J27" s="130">
        <f>+N10+N15+N22</f>
        <v>185.1753356382979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F2:J2"/>
    <mergeCell ref="F3:J3"/>
    <mergeCell ref="L6:L9"/>
    <mergeCell ref="H5:H9"/>
    <mergeCell ref="I5:I9"/>
    <mergeCell ref="J5:J9"/>
    <mergeCell ref="F5:F9"/>
    <mergeCell ref="O13:O14"/>
    <mergeCell ref="A7:A9"/>
    <mergeCell ref="K6:K9"/>
    <mergeCell ref="D5:D9"/>
    <mergeCell ref="O5:O9"/>
    <mergeCell ref="K5:L5"/>
    <mergeCell ref="M5:N5"/>
    <mergeCell ref="M6:M9"/>
    <mergeCell ref="N6:N9"/>
  </mergeCells>
  <printOptions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B16">
      <selection activeCell="G30" sqref="G30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28125" style="0" customWidth="1"/>
    <col min="15" max="15" width="11.00390625" style="0" customWidth="1"/>
    <col min="16" max="16" width="11.28125" style="0" customWidth="1"/>
  </cols>
  <sheetData>
    <row r="2" spans="1:13" ht="17.25">
      <c r="A2" s="100"/>
      <c r="B2" s="101"/>
      <c r="E2" s="395" t="s">
        <v>153</v>
      </c>
      <c r="F2" s="396"/>
      <c r="G2" s="396"/>
      <c r="H2" s="396"/>
      <c r="I2" s="396"/>
      <c r="L2" s="101"/>
      <c r="M2" s="101"/>
    </row>
    <row r="3" spans="1:13" ht="17.25">
      <c r="A3" s="100"/>
      <c r="B3" s="101"/>
      <c r="E3" s="395" t="s">
        <v>146</v>
      </c>
      <c r="F3" s="396"/>
      <c r="G3" s="396"/>
      <c r="H3" s="396"/>
      <c r="I3" s="396"/>
      <c r="L3" s="101"/>
      <c r="M3" s="101"/>
    </row>
    <row r="4" spans="1:13" ht="18" thickBot="1">
      <c r="A4" s="100"/>
      <c r="B4" s="101"/>
      <c r="E4" s="100"/>
      <c r="F4" s="101"/>
      <c r="G4" s="101"/>
      <c r="L4" s="101"/>
      <c r="M4" s="101"/>
    </row>
    <row r="5" spans="1:14" ht="18" thickBot="1">
      <c r="A5" s="102"/>
      <c r="B5" s="103"/>
      <c r="C5" s="389" t="s">
        <v>92</v>
      </c>
      <c r="D5" s="104"/>
      <c r="E5" s="389" t="s">
        <v>93</v>
      </c>
      <c r="F5" s="103"/>
      <c r="G5" s="397" t="s">
        <v>94</v>
      </c>
      <c r="H5" s="397" t="s">
        <v>95</v>
      </c>
      <c r="I5" s="397" t="s">
        <v>96</v>
      </c>
      <c r="J5" s="356" t="s">
        <v>97</v>
      </c>
      <c r="K5" s="357"/>
      <c r="L5" s="393" t="s">
        <v>98</v>
      </c>
      <c r="M5" s="392"/>
      <c r="N5" s="388" t="s">
        <v>99</v>
      </c>
    </row>
    <row r="6" spans="1:14" ht="18" customHeight="1" thickBot="1">
      <c r="A6" s="108"/>
      <c r="B6" s="109"/>
      <c r="C6" s="390"/>
      <c r="D6" s="50"/>
      <c r="E6" s="390"/>
      <c r="F6" s="109"/>
      <c r="G6" s="390"/>
      <c r="H6" s="390"/>
      <c r="I6" s="390"/>
      <c r="J6" s="388" t="s">
        <v>100</v>
      </c>
      <c r="K6" s="383" t="s">
        <v>101</v>
      </c>
      <c r="L6" s="388" t="s">
        <v>100</v>
      </c>
      <c r="M6" s="383" t="s">
        <v>101</v>
      </c>
      <c r="N6" s="392"/>
    </row>
    <row r="7" spans="1:14" ht="12.75" customHeight="1" thickBot="1">
      <c r="A7" s="385" t="s">
        <v>102</v>
      </c>
      <c r="B7" s="111"/>
      <c r="C7" s="390"/>
      <c r="D7" s="112"/>
      <c r="E7" s="390"/>
      <c r="F7" s="111"/>
      <c r="G7" s="390"/>
      <c r="H7" s="390"/>
      <c r="I7" s="390"/>
      <c r="J7" s="388"/>
      <c r="K7" s="394"/>
      <c r="L7" s="388"/>
      <c r="M7" s="394"/>
      <c r="N7" s="392"/>
    </row>
    <row r="8" spans="1:14" ht="13.5" thickBot="1">
      <c r="A8" s="386"/>
      <c r="B8" s="111"/>
      <c r="C8" s="390"/>
      <c r="D8" s="112"/>
      <c r="E8" s="390"/>
      <c r="F8" s="111"/>
      <c r="G8" s="390"/>
      <c r="H8" s="390"/>
      <c r="I8" s="390"/>
      <c r="J8" s="388"/>
      <c r="K8" s="394"/>
      <c r="L8" s="388"/>
      <c r="M8" s="394"/>
      <c r="N8" s="392"/>
    </row>
    <row r="9" spans="1:14" ht="13.5" thickBot="1">
      <c r="A9" s="387"/>
      <c r="B9" s="113"/>
      <c r="C9" s="391"/>
      <c r="D9" s="114"/>
      <c r="E9" s="391"/>
      <c r="F9" s="113"/>
      <c r="G9" s="391"/>
      <c r="H9" s="391"/>
      <c r="I9" s="391"/>
      <c r="J9" s="388"/>
      <c r="K9" s="384"/>
      <c r="L9" s="388"/>
      <c r="M9" s="384"/>
      <c r="N9" s="392"/>
    </row>
    <row r="10" spans="1:14" ht="13.5" thickBot="1">
      <c r="A10" s="115" t="s">
        <v>103</v>
      </c>
      <c r="B10" s="116"/>
      <c r="C10" s="117">
        <v>0</v>
      </c>
      <c r="D10" s="117"/>
      <c r="E10" s="117">
        <v>1</v>
      </c>
      <c r="F10" s="117"/>
      <c r="G10" s="117">
        <v>8</v>
      </c>
      <c r="H10" s="117">
        <v>7.7</v>
      </c>
      <c r="I10" s="117">
        <v>0.34</v>
      </c>
      <c r="J10" s="83">
        <f>+C10*G10*H10*I10</f>
        <v>0</v>
      </c>
      <c r="K10" s="83">
        <f>+E10*G10*H10*I10</f>
        <v>20.944000000000003</v>
      </c>
      <c r="L10" s="118">
        <f>+C10*G10*H10</f>
        <v>0</v>
      </c>
      <c r="M10" s="118">
        <f>+E10*G10*H10</f>
        <v>61.6</v>
      </c>
      <c r="N10" s="68" t="s">
        <v>104</v>
      </c>
    </row>
    <row r="12" ht="13.5" thickBot="1">
      <c r="B12" s="90"/>
    </row>
    <row r="13" spans="1:14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19"/>
      <c r="J13" s="84" t="s">
        <v>97</v>
      </c>
      <c r="K13" s="85"/>
      <c r="L13" s="120" t="s">
        <v>98</v>
      </c>
      <c r="M13" s="85"/>
      <c r="N13" s="383" t="s">
        <v>99</v>
      </c>
    </row>
    <row r="14" spans="1:14" ht="66" thickBot="1">
      <c r="A14" s="67" t="s">
        <v>106</v>
      </c>
      <c r="B14" s="50"/>
      <c r="C14" s="121"/>
      <c r="D14" s="121"/>
      <c r="E14" s="110" t="s">
        <v>107</v>
      </c>
      <c r="F14" s="121"/>
      <c r="G14" s="110" t="s">
        <v>108</v>
      </c>
      <c r="H14" s="110" t="s">
        <v>109</v>
      </c>
      <c r="I14" s="122" t="s">
        <v>96</v>
      </c>
      <c r="J14" s="123" t="s">
        <v>110</v>
      </c>
      <c r="K14" s="94" t="s">
        <v>111</v>
      </c>
      <c r="L14" s="124" t="s">
        <v>110</v>
      </c>
      <c r="M14" s="122" t="s">
        <v>112</v>
      </c>
      <c r="N14" s="384"/>
    </row>
    <row r="15" spans="1:14" ht="13.5" thickBot="1">
      <c r="A15" s="64" t="s">
        <v>103</v>
      </c>
      <c r="B15" s="81"/>
      <c r="C15" s="53"/>
      <c r="D15" s="81"/>
      <c r="E15" s="53">
        <v>25</v>
      </c>
      <c r="F15" s="81"/>
      <c r="G15" s="53">
        <v>50</v>
      </c>
      <c r="H15" s="53">
        <v>1.2E-05</v>
      </c>
      <c r="I15" s="52">
        <v>0.34</v>
      </c>
      <c r="J15" s="53">
        <f>+E15*H15*I15</f>
        <v>0.00010200000000000001</v>
      </c>
      <c r="K15" s="52">
        <f>+G15*H15*0.34</f>
        <v>0.00020400000000000003</v>
      </c>
      <c r="L15" s="51">
        <f>+E15*H15</f>
        <v>0.00030000000000000003</v>
      </c>
      <c r="M15" s="51">
        <f>+G15*H15</f>
        <v>0.0006000000000000001</v>
      </c>
      <c r="N15" s="87" t="s">
        <v>113</v>
      </c>
    </row>
    <row r="16" spans="1:14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19"/>
    </row>
    <row r="17" spans="1:14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95"/>
    </row>
    <row r="18" spans="1:14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ht="16.5" customHeight="1"/>
    <row r="20" ht="13.5" thickBot="1"/>
    <row r="21" spans="1:14" ht="53.25" thickBot="1">
      <c r="A21" s="86" t="s">
        <v>116</v>
      </c>
      <c r="B21" s="84"/>
      <c r="C21" s="92"/>
      <c r="D21" s="93"/>
      <c r="E21" s="92" t="s">
        <v>117</v>
      </c>
      <c r="F21" s="93"/>
      <c r="G21" s="92" t="s">
        <v>118</v>
      </c>
      <c r="H21" s="92" t="s">
        <v>119</v>
      </c>
      <c r="I21" s="106" t="s">
        <v>120</v>
      </c>
      <c r="J21" s="105" t="s">
        <v>110</v>
      </c>
      <c r="K21" s="106" t="s">
        <v>121</v>
      </c>
      <c r="L21" s="105" t="s">
        <v>122</v>
      </c>
      <c r="M21" s="106" t="s">
        <v>123</v>
      </c>
      <c r="N21" s="107" t="s">
        <v>99</v>
      </c>
    </row>
    <row r="22" spans="1:14" ht="13.5" thickBot="1">
      <c r="A22" s="64" t="s">
        <v>103</v>
      </c>
      <c r="B22" s="81"/>
      <c r="C22" s="53"/>
      <c r="D22" s="81"/>
      <c r="E22" s="53">
        <v>120</v>
      </c>
      <c r="F22" s="81"/>
      <c r="G22" s="53">
        <v>0</v>
      </c>
      <c r="H22" s="53">
        <v>0.5</v>
      </c>
      <c r="I22" s="127">
        <f>1.7*0.075/1.5*331/235*25/0.15*0.5</f>
        <v>9.976950354609931</v>
      </c>
      <c r="J22" s="128">
        <f>+G22*I22</f>
        <v>0</v>
      </c>
      <c r="K22" s="127">
        <f>H22*I22</f>
        <v>4.988475177304966</v>
      </c>
      <c r="L22" s="127">
        <f>J22*E22/2000</f>
        <v>0</v>
      </c>
      <c r="M22" s="127">
        <f>K22*E22/2000</f>
        <v>0.29930851063829794</v>
      </c>
      <c r="N22" s="87" t="s">
        <v>124</v>
      </c>
    </row>
    <row r="24" ht="13.5" thickBot="1"/>
    <row r="25" spans="2:9" ht="13.5" thickBot="1">
      <c r="B25" s="80" t="s">
        <v>125</v>
      </c>
      <c r="C25" s="104"/>
      <c r="D25" s="104"/>
      <c r="E25" s="104"/>
      <c r="F25" s="104"/>
      <c r="G25" s="104"/>
      <c r="H25" s="80" t="s">
        <v>126</v>
      </c>
      <c r="I25" s="119" t="s">
        <v>127</v>
      </c>
    </row>
    <row r="26" spans="2:9" ht="12.75">
      <c r="B26" s="67" t="s">
        <v>128</v>
      </c>
      <c r="C26" s="50"/>
      <c r="D26" s="50"/>
      <c r="E26" s="50"/>
      <c r="F26" s="50" t="s">
        <v>129</v>
      </c>
      <c r="G26" s="50"/>
      <c r="H26" s="129">
        <f>+J10+J15+J22</f>
        <v>0.00010200000000000001</v>
      </c>
      <c r="I26" s="129">
        <f>+K10+K15+K22</f>
        <v>25.93267917730497</v>
      </c>
    </row>
    <row r="27" spans="2:9" ht="13.5" thickBot="1">
      <c r="B27" s="69" t="s">
        <v>130</v>
      </c>
      <c r="C27" s="125"/>
      <c r="D27" s="125"/>
      <c r="E27" s="125"/>
      <c r="F27" s="125"/>
      <c r="G27" s="125"/>
      <c r="H27" s="130">
        <f>+L10+L15+L22</f>
        <v>0.00030000000000000003</v>
      </c>
      <c r="I27" s="130">
        <f>+M10+M15+M22</f>
        <v>61.8999085106383</v>
      </c>
    </row>
    <row r="29" spans="1:2" ht="12.75">
      <c r="A29" s="48" t="s">
        <v>131</v>
      </c>
      <c r="B29" s="48" t="s">
        <v>5</v>
      </c>
    </row>
  </sheetData>
  <sheetProtection/>
  <mergeCells count="16">
    <mergeCell ref="N13:N14"/>
    <mergeCell ref="A7:A9"/>
    <mergeCell ref="J6:J9"/>
    <mergeCell ref="C5:C9"/>
    <mergeCell ref="N5:N9"/>
    <mergeCell ref="J5:K5"/>
    <mergeCell ref="L5:M5"/>
    <mergeCell ref="L6:L9"/>
    <mergeCell ref="M6:M9"/>
    <mergeCell ref="E2:I2"/>
    <mergeCell ref="E3:I3"/>
    <mergeCell ref="K6:K9"/>
    <mergeCell ref="G5:G9"/>
    <mergeCell ref="H5:H9"/>
    <mergeCell ref="I5:I9"/>
    <mergeCell ref="E5:E9"/>
  </mergeCells>
  <printOptions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I19">
      <selection activeCell="M33" sqref="M33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F2" s="395" t="s">
        <v>154</v>
      </c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F3" s="395" t="s">
        <v>146</v>
      </c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1</v>
      </c>
      <c r="E10" s="117"/>
      <c r="F10" s="117">
        <v>1</v>
      </c>
      <c r="G10" s="117"/>
      <c r="H10" s="117">
        <v>8</v>
      </c>
      <c r="I10" s="117">
        <v>7.7</v>
      </c>
      <c r="J10" s="117">
        <v>0.34</v>
      </c>
      <c r="K10" s="83">
        <f>+D10*H10*I10*J10</f>
        <v>20.944000000000003</v>
      </c>
      <c r="L10" s="83">
        <f>+F10*H10*I10*J10</f>
        <v>20.944000000000003</v>
      </c>
      <c r="M10" s="118">
        <f>+D10*H10*I10</f>
        <v>61.6</v>
      </c>
      <c r="N10" s="118">
        <f>+F10*H10*I10</f>
        <v>61.6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0.34</v>
      </c>
      <c r="K15" s="53">
        <f>+F15*I15*J15</f>
        <v>0.00020400000000000003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136</v>
      </c>
      <c r="G22" s="81"/>
      <c r="H22" s="53">
        <v>0</v>
      </c>
      <c r="I22" s="53">
        <v>0.5</v>
      </c>
      <c r="J22" s="127">
        <f>1.7*0.075/1.5*331/235*25/0.15*0.5</f>
        <v>9.976950354609931</v>
      </c>
      <c r="K22" s="128">
        <f>+H22*J22</f>
        <v>0</v>
      </c>
      <c r="L22" s="127">
        <f>I22*J22</f>
        <v>4.988475177304966</v>
      </c>
      <c r="M22" s="127">
        <f>K22*F22/2000</f>
        <v>0</v>
      </c>
      <c r="N22" s="127">
        <f>L22*F22/2000</f>
        <v>0.33921631205673763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20.944204000000003</v>
      </c>
      <c r="J26" s="129">
        <f>+L10+L15+L22</f>
        <v>25.93288317730497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61.6006</v>
      </c>
      <c r="J27" s="130">
        <f>+N10+N15+N22</f>
        <v>61.94041631205673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A7:A9"/>
    <mergeCell ref="K6:K9"/>
    <mergeCell ref="D5:D9"/>
    <mergeCell ref="O5:O9"/>
    <mergeCell ref="K5:L5"/>
    <mergeCell ref="M5:N5"/>
    <mergeCell ref="M6:M9"/>
    <mergeCell ref="N6:N9"/>
    <mergeCell ref="L6:L9"/>
    <mergeCell ref="H5:H9"/>
    <mergeCell ref="F2:J2"/>
    <mergeCell ref="F3:J3"/>
    <mergeCell ref="F5:F9"/>
    <mergeCell ref="O13:O14"/>
    <mergeCell ref="I5:I9"/>
    <mergeCell ref="J5:J9"/>
  </mergeCells>
  <printOptions/>
  <pageMargins left="0.75" right="0.75" top="1" bottom="1" header="0.5" footer="0.5"/>
  <pageSetup horizontalDpi="300" verticalDpi="300" orientation="landscape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6:A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6" ht="15">
      <c r="A16" s="167" t="s">
        <v>571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H112"/>
  <sheetViews>
    <sheetView zoomScalePageLayoutView="0" workbookViewId="0" topLeftCell="A1">
      <selection activeCell="H111" sqref="H111"/>
    </sheetView>
  </sheetViews>
  <sheetFormatPr defaultColWidth="9.140625" defaultRowHeight="12.75"/>
  <cols>
    <col min="1" max="1" width="18.7109375" style="0" customWidth="1"/>
    <col min="2" max="2" width="19.421875" style="0" customWidth="1"/>
    <col min="4" max="5" width="10.7109375" style="0" customWidth="1"/>
    <col min="6" max="6" width="9.57421875" style="0" customWidth="1"/>
    <col min="7" max="7" width="9.7109375" style="0" customWidth="1"/>
  </cols>
  <sheetData>
    <row r="2" ht="13.5" thickBot="1"/>
    <row r="3" spans="1:8" s="143" customFormat="1" ht="40.5" thickBot="1" thickTop="1">
      <c r="A3" s="139" t="s">
        <v>155</v>
      </c>
      <c r="B3" s="140" t="s">
        <v>156</v>
      </c>
      <c r="C3" s="140" t="s">
        <v>157</v>
      </c>
      <c r="D3" s="141" t="s">
        <v>158</v>
      </c>
      <c r="E3" s="140" t="s">
        <v>159</v>
      </c>
      <c r="F3" s="140" t="s">
        <v>160</v>
      </c>
      <c r="G3" s="142" t="s">
        <v>161</v>
      </c>
      <c r="H3" s="143" t="s">
        <v>5</v>
      </c>
    </row>
    <row r="4" spans="1:8" ht="13.5" thickTop="1">
      <c r="A4" s="34" t="s">
        <v>162</v>
      </c>
      <c r="B4" s="34" t="s">
        <v>163</v>
      </c>
      <c r="C4" s="34">
        <v>15</v>
      </c>
      <c r="D4" s="34">
        <v>1.1</v>
      </c>
      <c r="E4" s="144">
        <v>17</v>
      </c>
      <c r="F4" s="34">
        <v>104</v>
      </c>
      <c r="G4" s="34">
        <f>E4*F4</f>
        <v>1768</v>
      </c>
      <c r="H4" s="145" t="s">
        <v>5</v>
      </c>
    </row>
    <row r="5" spans="1:7" ht="12.75">
      <c r="A5" s="34" t="s">
        <v>5</v>
      </c>
      <c r="B5" s="34" t="s">
        <v>164</v>
      </c>
      <c r="C5" s="34">
        <v>843</v>
      </c>
      <c r="D5" s="34">
        <v>1.5</v>
      </c>
      <c r="E5" s="144">
        <v>1265</v>
      </c>
      <c r="F5" s="34">
        <v>19</v>
      </c>
      <c r="G5" s="146">
        <f>E5*F5*0.5</f>
        <v>12017.5</v>
      </c>
    </row>
    <row r="6" spans="1:7" ht="12.75">
      <c r="A6" s="34"/>
      <c r="B6" s="34" t="s">
        <v>165</v>
      </c>
      <c r="C6" s="34">
        <v>1178</v>
      </c>
      <c r="D6" s="34">
        <v>1.5</v>
      </c>
      <c r="E6" s="144">
        <v>1767</v>
      </c>
      <c r="F6" s="34">
        <v>1.5</v>
      </c>
      <c r="G6" s="34">
        <f aca="true" t="shared" si="0" ref="G6:G12">E6*F6</f>
        <v>2650.5</v>
      </c>
    </row>
    <row r="7" spans="1:7" ht="12.75">
      <c r="A7" s="34"/>
      <c r="B7" s="147" t="s">
        <v>166</v>
      </c>
      <c r="C7" s="34">
        <v>80</v>
      </c>
      <c r="D7" s="34">
        <v>1.5</v>
      </c>
      <c r="E7" s="144">
        <v>120</v>
      </c>
      <c r="F7" s="34">
        <v>23</v>
      </c>
      <c r="G7" s="34">
        <f t="shared" si="0"/>
        <v>2760</v>
      </c>
    </row>
    <row r="8" spans="1:7" ht="12.75">
      <c r="A8" s="34"/>
      <c r="B8" s="34" t="s">
        <v>167</v>
      </c>
      <c r="C8" s="34">
        <v>6</v>
      </c>
      <c r="D8" s="34">
        <v>1.1</v>
      </c>
      <c r="E8" s="144">
        <v>7</v>
      </c>
      <c r="F8" s="34">
        <v>80</v>
      </c>
      <c r="G8" s="34">
        <f t="shared" si="0"/>
        <v>560</v>
      </c>
    </row>
    <row r="9" spans="1:8" ht="12.75">
      <c r="A9" s="34"/>
      <c r="B9" s="34" t="s">
        <v>168</v>
      </c>
      <c r="C9" s="34">
        <v>102</v>
      </c>
      <c r="D9" s="34">
        <v>1.5</v>
      </c>
      <c r="E9" s="144">
        <v>153</v>
      </c>
      <c r="F9" s="34">
        <v>3</v>
      </c>
      <c r="G9" s="34">
        <f t="shared" si="0"/>
        <v>459</v>
      </c>
      <c r="H9" t="s">
        <v>5</v>
      </c>
    </row>
    <row r="10" spans="1:7" ht="12.75">
      <c r="A10" s="34"/>
      <c r="B10" s="34" t="s">
        <v>169</v>
      </c>
      <c r="C10" s="34">
        <v>1</v>
      </c>
      <c r="D10" s="34">
        <v>1</v>
      </c>
      <c r="E10" s="144">
        <f>+C10*D10</f>
        <v>1</v>
      </c>
      <c r="F10" s="34">
        <v>514</v>
      </c>
      <c r="G10" s="34">
        <f t="shared" si="0"/>
        <v>514</v>
      </c>
    </row>
    <row r="11" spans="1:7" ht="12.75">
      <c r="A11" s="34"/>
      <c r="B11" s="34" t="s">
        <v>170</v>
      </c>
      <c r="C11" s="34">
        <v>0</v>
      </c>
      <c r="D11" s="34">
        <v>1.5</v>
      </c>
      <c r="E11" s="144">
        <f>+C11*D11</f>
        <v>0</v>
      </c>
      <c r="F11" s="34">
        <v>80</v>
      </c>
      <c r="G11" s="34">
        <f t="shared" si="0"/>
        <v>0</v>
      </c>
    </row>
    <row r="12" spans="1:7" ht="13.5" thickBot="1">
      <c r="A12" s="34"/>
      <c r="B12" s="46" t="s">
        <v>171</v>
      </c>
      <c r="C12" s="46">
        <v>0</v>
      </c>
      <c r="D12" s="46">
        <v>1.5</v>
      </c>
      <c r="E12" s="144">
        <f>+C12*D12</f>
        <v>0</v>
      </c>
      <c r="F12" s="46">
        <v>0</v>
      </c>
      <c r="G12" s="46">
        <f t="shared" si="0"/>
        <v>0</v>
      </c>
    </row>
    <row r="13" spans="1:7" ht="14.25" thickBot="1" thickTop="1">
      <c r="A13" s="46"/>
      <c r="B13" s="46" t="s">
        <v>172</v>
      </c>
      <c r="C13" s="46">
        <f>SUM(C4:C12)</f>
        <v>2225</v>
      </c>
      <c r="D13" s="46"/>
      <c r="E13" s="148">
        <f>SUM(E4:E12)</f>
        <v>3330</v>
      </c>
      <c r="F13" s="46" t="s">
        <v>5</v>
      </c>
      <c r="G13" s="46">
        <f>SUM(G4:G12)</f>
        <v>20729</v>
      </c>
    </row>
    <row r="14" spans="1:7" ht="13.5" thickTop="1">
      <c r="A14" s="34" t="s">
        <v>173</v>
      </c>
      <c r="B14" s="34" t="s">
        <v>163</v>
      </c>
      <c r="C14" s="34">
        <v>4</v>
      </c>
      <c r="D14" s="34">
        <v>1.1</v>
      </c>
      <c r="E14" s="144">
        <v>4</v>
      </c>
      <c r="F14" s="34">
        <v>104</v>
      </c>
      <c r="G14" s="34">
        <f>E14*F14</f>
        <v>416</v>
      </c>
    </row>
    <row r="15" spans="1:8" ht="12.75">
      <c r="A15" s="34" t="s">
        <v>5</v>
      </c>
      <c r="B15" s="34" t="s">
        <v>164</v>
      </c>
      <c r="C15" s="34">
        <v>107</v>
      </c>
      <c r="D15" s="34">
        <v>1.5</v>
      </c>
      <c r="E15" s="144">
        <v>161</v>
      </c>
      <c r="F15" s="34">
        <v>19</v>
      </c>
      <c r="G15" s="146">
        <f>E15*F15*0.5</f>
        <v>1529.5</v>
      </c>
      <c r="H15" t="s">
        <v>5</v>
      </c>
    </row>
    <row r="16" spans="1:8" ht="12.75">
      <c r="A16" s="34"/>
      <c r="B16" s="34" t="s">
        <v>165</v>
      </c>
      <c r="C16" s="34">
        <v>132</v>
      </c>
      <c r="D16" s="34">
        <v>1.5</v>
      </c>
      <c r="E16" s="144">
        <v>198</v>
      </c>
      <c r="F16" s="34">
        <v>1.5</v>
      </c>
      <c r="G16" s="34">
        <f aca="true" t="shared" si="1" ref="G16:G22">E16*F16</f>
        <v>297</v>
      </c>
      <c r="H16" t="s">
        <v>5</v>
      </c>
    </row>
    <row r="17" spans="1:7" ht="12.75">
      <c r="A17" s="34"/>
      <c r="B17" s="34" t="s">
        <v>166</v>
      </c>
      <c r="C17" s="34">
        <v>0</v>
      </c>
      <c r="D17" s="34">
        <v>1.5</v>
      </c>
      <c r="E17" s="144">
        <f aca="true" t="shared" si="2" ref="E17:E22">+C17*D17</f>
        <v>0</v>
      </c>
      <c r="F17" s="34">
        <v>23</v>
      </c>
      <c r="G17" s="34">
        <f t="shared" si="1"/>
        <v>0</v>
      </c>
    </row>
    <row r="18" spans="1:8" ht="12.75">
      <c r="A18" s="34"/>
      <c r="B18" s="34" t="s">
        <v>167</v>
      </c>
      <c r="C18" s="34">
        <v>0</v>
      </c>
      <c r="D18" s="34">
        <v>1.1</v>
      </c>
      <c r="E18" s="144">
        <f t="shared" si="2"/>
        <v>0</v>
      </c>
      <c r="F18" s="34">
        <v>80</v>
      </c>
      <c r="G18" s="34">
        <f t="shared" si="1"/>
        <v>0</v>
      </c>
      <c r="H18" t="s">
        <v>5</v>
      </c>
    </row>
    <row r="19" spans="1:8" ht="12.75">
      <c r="A19" s="34"/>
      <c r="B19" s="34" t="s">
        <v>168</v>
      </c>
      <c r="C19" s="34">
        <v>0</v>
      </c>
      <c r="D19" s="34">
        <v>1.5</v>
      </c>
      <c r="E19" s="144">
        <f t="shared" si="2"/>
        <v>0</v>
      </c>
      <c r="F19" s="34">
        <v>3</v>
      </c>
      <c r="G19" s="34">
        <f t="shared" si="1"/>
        <v>0</v>
      </c>
      <c r="H19" t="s">
        <v>5</v>
      </c>
    </row>
    <row r="20" spans="1:7" ht="12.75">
      <c r="A20" s="34"/>
      <c r="B20" s="34" t="s">
        <v>169</v>
      </c>
      <c r="C20" s="34">
        <v>0</v>
      </c>
      <c r="D20" s="34">
        <v>1</v>
      </c>
      <c r="E20" s="144">
        <f t="shared" si="2"/>
        <v>0</v>
      </c>
      <c r="F20" s="34">
        <v>514</v>
      </c>
      <c r="G20" s="34">
        <f t="shared" si="1"/>
        <v>0</v>
      </c>
    </row>
    <row r="21" spans="1:7" ht="12.75">
      <c r="A21" s="34"/>
      <c r="B21" s="34" t="s">
        <v>170</v>
      </c>
      <c r="C21" s="34">
        <v>0</v>
      </c>
      <c r="D21" s="34">
        <v>1.5</v>
      </c>
      <c r="E21" s="144">
        <f t="shared" si="2"/>
        <v>0</v>
      </c>
      <c r="F21" s="34">
        <v>80</v>
      </c>
      <c r="G21" s="34">
        <f t="shared" si="1"/>
        <v>0</v>
      </c>
    </row>
    <row r="22" spans="1:7" ht="13.5" thickBot="1">
      <c r="A22" s="34"/>
      <c r="B22" s="46" t="s">
        <v>171</v>
      </c>
      <c r="C22" s="46">
        <v>0</v>
      </c>
      <c r="D22" s="46">
        <v>1.5</v>
      </c>
      <c r="E22" s="144">
        <f t="shared" si="2"/>
        <v>0</v>
      </c>
      <c r="F22" s="46">
        <v>0</v>
      </c>
      <c r="G22" s="46">
        <f t="shared" si="1"/>
        <v>0</v>
      </c>
    </row>
    <row r="23" spans="1:7" ht="14.25" thickBot="1" thickTop="1">
      <c r="A23" s="46"/>
      <c r="B23" s="46" t="s">
        <v>174</v>
      </c>
      <c r="C23" s="46">
        <f>SUM(C14:C22)</f>
        <v>243</v>
      </c>
      <c r="D23" s="46" t="s">
        <v>5</v>
      </c>
      <c r="E23" s="148">
        <f>SUM(E14:E22)</f>
        <v>363</v>
      </c>
      <c r="F23" s="46" t="s">
        <v>5</v>
      </c>
      <c r="G23" s="46">
        <f>SUM(G14:G22)</f>
        <v>2242.5</v>
      </c>
    </row>
    <row r="24" spans="1:7" ht="13.5" thickTop="1">
      <c r="A24" s="34" t="s">
        <v>175</v>
      </c>
      <c r="B24" s="34" t="s">
        <v>163</v>
      </c>
      <c r="C24" s="34">
        <v>2</v>
      </c>
      <c r="D24" s="34">
        <v>1.1</v>
      </c>
      <c r="E24" s="144">
        <v>2</v>
      </c>
      <c r="F24" s="34">
        <v>104</v>
      </c>
      <c r="G24" s="34">
        <f>E24*F24</f>
        <v>208</v>
      </c>
    </row>
    <row r="25" spans="1:7" ht="12.75">
      <c r="A25" s="34" t="s">
        <v>5</v>
      </c>
      <c r="B25" s="34" t="s">
        <v>164</v>
      </c>
      <c r="C25" s="34">
        <v>213</v>
      </c>
      <c r="D25" s="34">
        <v>1.5</v>
      </c>
      <c r="E25" s="144">
        <v>320</v>
      </c>
      <c r="F25" s="34">
        <v>19</v>
      </c>
      <c r="G25" s="146">
        <f>E25*F25*0.5</f>
        <v>3040</v>
      </c>
    </row>
    <row r="26" spans="1:7" ht="12.75">
      <c r="A26" s="34"/>
      <c r="B26" s="34" t="s">
        <v>165</v>
      </c>
      <c r="C26" s="34">
        <v>324</v>
      </c>
      <c r="D26" s="34">
        <v>1.5</v>
      </c>
      <c r="E26" s="144">
        <v>486</v>
      </c>
      <c r="F26" s="34">
        <v>1.5</v>
      </c>
      <c r="G26" s="34">
        <f aca="true" t="shared" si="3" ref="G26:G32">E26*F26</f>
        <v>729</v>
      </c>
    </row>
    <row r="27" spans="1:7" ht="12.75">
      <c r="A27" s="34"/>
      <c r="B27" s="147" t="s">
        <v>166</v>
      </c>
      <c r="C27" s="34">
        <v>0</v>
      </c>
      <c r="D27" s="34">
        <v>1.5</v>
      </c>
      <c r="E27" s="144">
        <f aca="true" t="shared" si="4" ref="E27:E32">+C27*D27</f>
        <v>0</v>
      </c>
      <c r="F27" s="34">
        <v>23</v>
      </c>
      <c r="G27" s="34">
        <f t="shared" si="3"/>
        <v>0</v>
      </c>
    </row>
    <row r="28" spans="1:7" ht="12.75">
      <c r="A28" s="34"/>
      <c r="B28" s="34" t="s">
        <v>167</v>
      </c>
      <c r="C28" s="34">
        <v>0</v>
      </c>
      <c r="D28" s="34">
        <v>1.1</v>
      </c>
      <c r="E28" s="144">
        <f t="shared" si="4"/>
        <v>0</v>
      </c>
      <c r="F28" s="34">
        <v>80</v>
      </c>
      <c r="G28" s="34">
        <f t="shared" si="3"/>
        <v>0</v>
      </c>
    </row>
    <row r="29" spans="1:7" ht="12.75">
      <c r="A29" s="34"/>
      <c r="B29" s="34" t="s">
        <v>168</v>
      </c>
      <c r="C29" s="34">
        <v>0</v>
      </c>
      <c r="D29" s="34">
        <v>1.5</v>
      </c>
      <c r="E29" s="144">
        <f t="shared" si="4"/>
        <v>0</v>
      </c>
      <c r="F29" s="34">
        <v>3</v>
      </c>
      <c r="G29" s="34">
        <f t="shared" si="3"/>
        <v>0</v>
      </c>
    </row>
    <row r="30" spans="1:7" ht="12.75">
      <c r="A30" s="34"/>
      <c r="B30" s="34" t="s">
        <v>169</v>
      </c>
      <c r="C30" s="34">
        <v>0</v>
      </c>
      <c r="D30" s="34">
        <v>1</v>
      </c>
      <c r="E30" s="144">
        <f t="shared" si="4"/>
        <v>0</v>
      </c>
      <c r="F30" s="34">
        <v>514</v>
      </c>
      <c r="G30" s="34">
        <f t="shared" si="3"/>
        <v>0</v>
      </c>
    </row>
    <row r="31" spans="1:7" ht="12.75">
      <c r="A31" s="34"/>
      <c r="B31" s="34" t="s">
        <v>170</v>
      </c>
      <c r="C31" s="34">
        <v>0</v>
      </c>
      <c r="D31" s="34">
        <v>1.5</v>
      </c>
      <c r="E31" s="144">
        <f t="shared" si="4"/>
        <v>0</v>
      </c>
      <c r="F31" s="34">
        <v>80</v>
      </c>
      <c r="G31" s="34">
        <f t="shared" si="3"/>
        <v>0</v>
      </c>
    </row>
    <row r="32" spans="1:7" ht="13.5" thickBot="1">
      <c r="A32" s="34"/>
      <c r="B32" s="34" t="s">
        <v>171</v>
      </c>
      <c r="C32" s="34">
        <v>0</v>
      </c>
      <c r="D32" s="34">
        <v>1.5</v>
      </c>
      <c r="E32" s="144">
        <f t="shared" si="4"/>
        <v>0</v>
      </c>
      <c r="F32" s="34">
        <v>0</v>
      </c>
      <c r="G32" s="34">
        <f t="shared" si="3"/>
        <v>0</v>
      </c>
    </row>
    <row r="33" spans="1:7" ht="14.25" thickBot="1" thickTop="1">
      <c r="A33" s="46"/>
      <c r="B33" s="149" t="s">
        <v>176</v>
      </c>
      <c r="C33" s="149">
        <f>SUM(C24:C32)</f>
        <v>539</v>
      </c>
      <c r="D33" s="149" t="s">
        <v>5</v>
      </c>
      <c r="E33" s="148">
        <f>SUM(E24:E32)</f>
        <v>808</v>
      </c>
      <c r="F33" s="149" t="s">
        <v>5</v>
      </c>
      <c r="G33" s="149">
        <f>SUM(G24:G32)</f>
        <v>3977</v>
      </c>
    </row>
    <row r="34" spans="1:7" ht="13.5" thickTop="1">
      <c r="A34" s="150" t="s">
        <v>177</v>
      </c>
      <c r="B34" s="150" t="s">
        <v>163</v>
      </c>
      <c r="C34" s="34">
        <v>2</v>
      </c>
      <c r="D34" s="34">
        <v>1.1</v>
      </c>
      <c r="E34" s="144">
        <v>2</v>
      </c>
      <c r="F34" s="150">
        <v>104</v>
      </c>
      <c r="G34" s="34">
        <f>E34*F34</f>
        <v>208</v>
      </c>
    </row>
    <row r="35" spans="1:7" ht="12.75">
      <c r="A35" s="34" t="s">
        <v>5</v>
      </c>
      <c r="B35" s="34" t="s">
        <v>164</v>
      </c>
      <c r="C35" s="34">
        <v>30</v>
      </c>
      <c r="D35" s="34">
        <v>1.5</v>
      </c>
      <c r="E35" s="144">
        <v>45</v>
      </c>
      <c r="F35" s="34">
        <v>19</v>
      </c>
      <c r="G35" s="146">
        <f>E35*F35*0.5</f>
        <v>427.5</v>
      </c>
    </row>
    <row r="36" spans="1:7" ht="12.75">
      <c r="A36" s="34"/>
      <c r="B36" s="34" t="s">
        <v>165</v>
      </c>
      <c r="C36" s="34">
        <v>124</v>
      </c>
      <c r="D36" s="34">
        <v>1.5</v>
      </c>
      <c r="E36" s="144">
        <v>186</v>
      </c>
      <c r="F36" s="34">
        <v>1.5</v>
      </c>
      <c r="G36" s="34">
        <f aca="true" t="shared" si="5" ref="G36:G42">E36*F36</f>
        <v>279</v>
      </c>
    </row>
    <row r="37" spans="1:7" ht="12.75">
      <c r="A37" s="34"/>
      <c r="B37" s="34" t="s">
        <v>166</v>
      </c>
      <c r="C37" s="34">
        <v>18</v>
      </c>
      <c r="D37" s="34">
        <v>1.5</v>
      </c>
      <c r="E37" s="144">
        <f>+C37*D37</f>
        <v>27</v>
      </c>
      <c r="F37" s="34">
        <v>23</v>
      </c>
      <c r="G37" s="34">
        <f t="shared" si="5"/>
        <v>621</v>
      </c>
    </row>
    <row r="38" spans="1:7" ht="12.75">
      <c r="A38" s="34"/>
      <c r="B38" s="34" t="s">
        <v>167</v>
      </c>
      <c r="C38" s="34">
        <v>0</v>
      </c>
      <c r="D38" s="34">
        <v>1.1</v>
      </c>
      <c r="E38" s="144">
        <f>+C38*D38</f>
        <v>0</v>
      </c>
      <c r="F38" s="34">
        <v>80</v>
      </c>
      <c r="G38" s="34">
        <f t="shared" si="5"/>
        <v>0</v>
      </c>
    </row>
    <row r="39" spans="1:8" ht="12.75">
      <c r="A39" s="34"/>
      <c r="B39" s="34" t="s">
        <v>168</v>
      </c>
      <c r="C39" s="34">
        <v>26</v>
      </c>
      <c r="D39" s="34">
        <v>1.5</v>
      </c>
      <c r="E39" s="144">
        <v>39</v>
      </c>
      <c r="F39" s="34">
        <v>3</v>
      </c>
      <c r="G39" s="34">
        <f t="shared" si="5"/>
        <v>117</v>
      </c>
      <c r="H39" t="s">
        <v>5</v>
      </c>
    </row>
    <row r="40" spans="1:7" ht="12.75">
      <c r="A40" s="34"/>
      <c r="B40" s="34" t="s">
        <v>169</v>
      </c>
      <c r="C40" s="34">
        <v>0</v>
      </c>
      <c r="D40" s="34">
        <v>1</v>
      </c>
      <c r="E40" s="144">
        <f>+C40*D40</f>
        <v>0</v>
      </c>
      <c r="F40" s="34">
        <v>514</v>
      </c>
      <c r="G40" s="34">
        <f t="shared" si="5"/>
        <v>0</v>
      </c>
    </row>
    <row r="41" spans="1:7" ht="12.75">
      <c r="A41" s="34"/>
      <c r="B41" s="34" t="s">
        <v>170</v>
      </c>
      <c r="C41" s="34">
        <v>0</v>
      </c>
      <c r="D41" s="34">
        <v>1.5</v>
      </c>
      <c r="E41" s="144">
        <f>+C41*D41</f>
        <v>0</v>
      </c>
      <c r="F41" s="34">
        <v>80</v>
      </c>
      <c r="G41" s="34">
        <f t="shared" si="5"/>
        <v>0</v>
      </c>
    </row>
    <row r="42" spans="1:7" ht="13.5" thickBot="1">
      <c r="A42" s="34"/>
      <c r="B42" s="46" t="s">
        <v>171</v>
      </c>
      <c r="C42" s="46">
        <v>0</v>
      </c>
      <c r="D42" s="46">
        <v>1.5</v>
      </c>
      <c r="E42" s="144">
        <f>+C42*D42</f>
        <v>0</v>
      </c>
      <c r="F42" s="46">
        <v>0</v>
      </c>
      <c r="G42" s="46">
        <f t="shared" si="5"/>
        <v>0</v>
      </c>
    </row>
    <row r="43" spans="1:7" ht="14.25" thickBot="1" thickTop="1">
      <c r="A43" s="46"/>
      <c r="B43" s="46" t="s">
        <v>178</v>
      </c>
      <c r="C43" s="46">
        <f>SUM(C34:C42)</f>
        <v>200</v>
      </c>
      <c r="D43" s="46" t="s">
        <v>5</v>
      </c>
      <c r="E43" s="148">
        <f>SUM(E34:E42)</f>
        <v>299</v>
      </c>
      <c r="F43" s="46" t="s">
        <v>5</v>
      </c>
      <c r="G43" s="46">
        <f>SUM(G34:G42)</f>
        <v>1652.5</v>
      </c>
    </row>
    <row r="44" spans="1:7" ht="13.5" thickTop="1">
      <c r="A44" s="34" t="s">
        <v>179</v>
      </c>
      <c r="B44" s="34" t="s">
        <v>163</v>
      </c>
      <c r="C44" s="34">
        <v>0</v>
      </c>
      <c r="D44" s="34">
        <v>1.1</v>
      </c>
      <c r="E44" s="144">
        <f>+C44*D44</f>
        <v>0</v>
      </c>
      <c r="F44" s="34">
        <v>104</v>
      </c>
      <c r="G44" s="34">
        <f>E44*F44</f>
        <v>0</v>
      </c>
    </row>
    <row r="45" spans="1:7" ht="12.75">
      <c r="A45" s="34"/>
      <c r="B45" s="34" t="s">
        <v>164</v>
      </c>
      <c r="C45" s="34">
        <v>6</v>
      </c>
      <c r="D45" s="34">
        <v>1.5</v>
      </c>
      <c r="E45" s="144">
        <v>9</v>
      </c>
      <c r="F45" s="34">
        <v>19</v>
      </c>
      <c r="G45" s="146">
        <f>E45*F45*0.5</f>
        <v>85.5</v>
      </c>
    </row>
    <row r="46" spans="1:7" ht="12.75">
      <c r="A46" s="34"/>
      <c r="B46" s="34" t="s">
        <v>165</v>
      </c>
      <c r="C46" s="34">
        <v>12</v>
      </c>
      <c r="D46" s="34">
        <v>1.5</v>
      </c>
      <c r="E46" s="144">
        <v>18</v>
      </c>
      <c r="F46" s="34">
        <v>1.5</v>
      </c>
      <c r="G46" s="34">
        <f aca="true" t="shared" si="6" ref="G46:G52">E46*F46</f>
        <v>27</v>
      </c>
    </row>
    <row r="47" spans="1:7" ht="12.75">
      <c r="A47" s="34"/>
      <c r="B47" s="147" t="s">
        <v>166</v>
      </c>
      <c r="C47" s="34">
        <v>0</v>
      </c>
      <c r="D47" s="34">
        <v>1.5</v>
      </c>
      <c r="E47" s="144">
        <f aca="true" t="shared" si="7" ref="E47:E52">+C47*D47</f>
        <v>0</v>
      </c>
      <c r="F47" s="34">
        <v>23</v>
      </c>
      <c r="G47" s="34">
        <f t="shared" si="6"/>
        <v>0</v>
      </c>
    </row>
    <row r="48" spans="1:7" ht="12.75">
      <c r="A48" s="34"/>
      <c r="B48" s="34" t="s">
        <v>167</v>
      </c>
      <c r="C48" s="34">
        <v>0</v>
      </c>
      <c r="D48" s="34">
        <v>1.1</v>
      </c>
      <c r="E48" s="144">
        <f t="shared" si="7"/>
        <v>0</v>
      </c>
      <c r="F48" s="34">
        <v>80</v>
      </c>
      <c r="G48" s="34">
        <f t="shared" si="6"/>
        <v>0</v>
      </c>
    </row>
    <row r="49" spans="1:7" ht="12.75">
      <c r="A49" s="34"/>
      <c r="B49" s="34" t="s">
        <v>168</v>
      </c>
      <c r="C49" s="34">
        <v>0</v>
      </c>
      <c r="D49" s="34">
        <v>1.5</v>
      </c>
      <c r="E49" s="144">
        <f t="shared" si="7"/>
        <v>0</v>
      </c>
      <c r="F49" s="34">
        <v>3</v>
      </c>
      <c r="G49" s="34">
        <f t="shared" si="6"/>
        <v>0</v>
      </c>
    </row>
    <row r="50" spans="1:7" ht="12.75">
      <c r="A50" s="34"/>
      <c r="B50" s="34" t="s">
        <v>169</v>
      </c>
      <c r="C50" s="34">
        <v>0</v>
      </c>
      <c r="D50" s="34">
        <v>1</v>
      </c>
      <c r="E50" s="144">
        <f t="shared" si="7"/>
        <v>0</v>
      </c>
      <c r="F50" s="34">
        <v>514</v>
      </c>
      <c r="G50" s="34">
        <f t="shared" si="6"/>
        <v>0</v>
      </c>
    </row>
    <row r="51" spans="1:7" ht="12.75">
      <c r="A51" s="34"/>
      <c r="B51" s="34" t="s">
        <v>170</v>
      </c>
      <c r="C51" s="34">
        <v>0</v>
      </c>
      <c r="D51" s="34">
        <v>1.5</v>
      </c>
      <c r="E51" s="144">
        <f t="shared" si="7"/>
        <v>0</v>
      </c>
      <c r="F51" s="34">
        <v>80</v>
      </c>
      <c r="G51" s="34">
        <f t="shared" si="6"/>
        <v>0</v>
      </c>
    </row>
    <row r="52" spans="1:7" ht="13.5" thickBot="1">
      <c r="A52" s="34"/>
      <c r="B52" s="46" t="s">
        <v>171</v>
      </c>
      <c r="C52" s="46">
        <v>0</v>
      </c>
      <c r="D52" s="46">
        <v>1.5</v>
      </c>
      <c r="E52" s="144">
        <f t="shared" si="7"/>
        <v>0</v>
      </c>
      <c r="F52" s="46">
        <v>0</v>
      </c>
      <c r="G52" s="46">
        <f t="shared" si="6"/>
        <v>0</v>
      </c>
    </row>
    <row r="53" spans="1:7" ht="14.25" thickBot="1" thickTop="1">
      <c r="A53" s="46"/>
      <c r="B53" s="46" t="s">
        <v>180</v>
      </c>
      <c r="C53" s="46">
        <f>SUM(C44:C52)</f>
        <v>18</v>
      </c>
      <c r="D53" s="46" t="s">
        <v>5</v>
      </c>
      <c r="E53" s="148">
        <f>SUM(E44:E52)</f>
        <v>27</v>
      </c>
      <c r="F53" s="46" t="s">
        <v>5</v>
      </c>
      <c r="G53" s="46">
        <f>SUM(G44:G52)</f>
        <v>112.5</v>
      </c>
    </row>
    <row r="54" spans="1:7" ht="40.5" thickBot="1" thickTop="1">
      <c r="A54" s="139" t="s">
        <v>155</v>
      </c>
      <c r="B54" s="140" t="s">
        <v>156</v>
      </c>
      <c r="C54" s="140" t="s">
        <v>157</v>
      </c>
      <c r="D54" s="141" t="s">
        <v>158</v>
      </c>
      <c r="E54" s="151" t="s">
        <v>159</v>
      </c>
      <c r="F54" s="140" t="s">
        <v>160</v>
      </c>
      <c r="G54" s="142" t="s">
        <v>181</v>
      </c>
    </row>
    <row r="55" spans="1:7" ht="13.5" thickTop="1">
      <c r="A55" s="34" t="s">
        <v>182</v>
      </c>
      <c r="B55" s="34" t="s">
        <v>163</v>
      </c>
      <c r="C55" s="34">
        <v>0</v>
      </c>
      <c r="D55" s="34">
        <v>1.1</v>
      </c>
      <c r="E55" s="144">
        <f>+C55*D55</f>
        <v>0</v>
      </c>
      <c r="F55" s="34">
        <v>104</v>
      </c>
      <c r="G55" s="34">
        <f>E55*F55</f>
        <v>0</v>
      </c>
    </row>
    <row r="56" spans="1:7" ht="12.75">
      <c r="A56" s="34"/>
      <c r="B56" s="34" t="s">
        <v>164</v>
      </c>
      <c r="C56" s="34">
        <v>18</v>
      </c>
      <c r="D56" s="34">
        <v>1.5</v>
      </c>
      <c r="E56" s="144">
        <v>27</v>
      </c>
      <c r="F56" s="34">
        <v>19</v>
      </c>
      <c r="G56" s="146">
        <f>E56*F56*0.5</f>
        <v>256.5</v>
      </c>
    </row>
    <row r="57" spans="1:7" ht="12.75">
      <c r="A57" s="34"/>
      <c r="B57" s="34" t="s">
        <v>165</v>
      </c>
      <c r="C57" s="34">
        <v>48</v>
      </c>
      <c r="D57" s="34">
        <v>1.5</v>
      </c>
      <c r="E57" s="144">
        <v>72</v>
      </c>
      <c r="F57" s="34">
        <v>1.5</v>
      </c>
      <c r="G57" s="34">
        <f aca="true" t="shared" si="8" ref="G57:G63">E57*F57</f>
        <v>108</v>
      </c>
    </row>
    <row r="58" spans="1:7" ht="12.75">
      <c r="A58" s="34"/>
      <c r="B58" s="147" t="s">
        <v>166</v>
      </c>
      <c r="C58" s="34">
        <v>32</v>
      </c>
      <c r="D58" s="34">
        <v>1.5</v>
      </c>
      <c r="E58" s="144">
        <v>48</v>
      </c>
      <c r="F58" s="34">
        <v>23</v>
      </c>
      <c r="G58" s="34">
        <f t="shared" si="8"/>
        <v>1104</v>
      </c>
    </row>
    <row r="59" spans="1:7" ht="12.75">
      <c r="A59" s="34"/>
      <c r="B59" s="34" t="s">
        <v>167</v>
      </c>
      <c r="C59" s="34">
        <v>0</v>
      </c>
      <c r="D59" s="34">
        <v>1.1</v>
      </c>
      <c r="E59" s="144">
        <f>+C59*D59</f>
        <v>0</v>
      </c>
      <c r="F59" s="34">
        <v>80</v>
      </c>
      <c r="G59" s="34">
        <f t="shared" si="8"/>
        <v>0</v>
      </c>
    </row>
    <row r="60" spans="1:7" ht="12.75">
      <c r="A60" s="34"/>
      <c r="B60" s="34" t="s">
        <v>168</v>
      </c>
      <c r="C60" s="34">
        <v>0</v>
      </c>
      <c r="D60" s="34">
        <v>1.5</v>
      </c>
      <c r="E60" s="144">
        <f>+C60*D60</f>
        <v>0</v>
      </c>
      <c r="F60" s="34">
        <v>3</v>
      </c>
      <c r="G60" s="34">
        <f t="shared" si="8"/>
        <v>0</v>
      </c>
    </row>
    <row r="61" spans="1:7" ht="12.75">
      <c r="A61" s="34"/>
      <c r="B61" s="34" t="s">
        <v>169</v>
      </c>
      <c r="C61" s="34">
        <v>0</v>
      </c>
      <c r="D61" s="34">
        <v>1</v>
      </c>
      <c r="E61" s="144">
        <f>+C61*D61</f>
        <v>0</v>
      </c>
      <c r="F61" s="34">
        <v>514</v>
      </c>
      <c r="G61" s="34">
        <f t="shared" si="8"/>
        <v>0</v>
      </c>
    </row>
    <row r="62" spans="1:7" ht="12.75">
      <c r="A62" s="34"/>
      <c r="B62" s="34" t="s">
        <v>170</v>
      </c>
      <c r="C62" s="34">
        <v>0</v>
      </c>
      <c r="D62" s="34">
        <v>1.5</v>
      </c>
      <c r="E62" s="144">
        <f>+C62*D62</f>
        <v>0</v>
      </c>
      <c r="F62" s="34">
        <v>80</v>
      </c>
      <c r="G62" s="34">
        <f t="shared" si="8"/>
        <v>0</v>
      </c>
    </row>
    <row r="63" spans="1:7" ht="13.5" thickBot="1">
      <c r="A63" s="34"/>
      <c r="B63" s="34" t="s">
        <v>171</v>
      </c>
      <c r="C63" s="46">
        <v>0</v>
      </c>
      <c r="D63" s="46">
        <v>1.5</v>
      </c>
      <c r="E63" s="144">
        <f>+C63*D63</f>
        <v>0</v>
      </c>
      <c r="F63" s="46">
        <v>0</v>
      </c>
      <c r="G63" s="46">
        <f t="shared" si="8"/>
        <v>0</v>
      </c>
    </row>
    <row r="64" spans="1:7" ht="14.25" thickBot="1" thickTop="1">
      <c r="A64" s="34"/>
      <c r="B64" s="149" t="s">
        <v>183</v>
      </c>
      <c r="C64" s="46">
        <f>SUM(C55:C63)</f>
        <v>98</v>
      </c>
      <c r="D64" s="46" t="s">
        <v>5</v>
      </c>
      <c r="E64" s="148">
        <f>SUM(E55:E63)</f>
        <v>147</v>
      </c>
      <c r="F64" s="46" t="s">
        <v>5</v>
      </c>
      <c r="G64" s="46">
        <f>SUM(G55:G63)</f>
        <v>1468.5</v>
      </c>
    </row>
    <row r="65" spans="1:7" ht="13.5" thickTop="1">
      <c r="A65" s="150" t="s">
        <v>184</v>
      </c>
      <c r="B65" s="150" t="s">
        <v>163</v>
      </c>
      <c r="C65" s="34">
        <v>0</v>
      </c>
      <c r="D65" s="34">
        <v>1.1</v>
      </c>
      <c r="E65" s="144">
        <f>C65*D65</f>
        <v>0</v>
      </c>
      <c r="F65" s="34">
        <v>104</v>
      </c>
      <c r="G65" s="34">
        <f>E65*F65</f>
        <v>0</v>
      </c>
    </row>
    <row r="66" spans="1:7" ht="12.75">
      <c r="A66" s="34"/>
      <c r="B66" s="34" t="s">
        <v>164</v>
      </c>
      <c r="C66" s="34">
        <v>39</v>
      </c>
      <c r="D66" s="34">
        <v>1.5</v>
      </c>
      <c r="E66" s="144">
        <v>59</v>
      </c>
      <c r="F66" s="34">
        <v>19</v>
      </c>
      <c r="G66" s="146">
        <f>E66*F66*0.5</f>
        <v>560.5</v>
      </c>
    </row>
    <row r="67" spans="1:7" ht="12.75">
      <c r="A67" s="34"/>
      <c r="B67" s="34" t="s">
        <v>165</v>
      </c>
      <c r="C67" s="34">
        <v>50</v>
      </c>
      <c r="D67" s="34">
        <v>1.5</v>
      </c>
      <c r="E67" s="144">
        <v>75</v>
      </c>
      <c r="F67" s="34">
        <v>1.5</v>
      </c>
      <c r="G67" s="34">
        <f aca="true" t="shared" si="9" ref="G67:G73">E67*F67</f>
        <v>112.5</v>
      </c>
    </row>
    <row r="68" spans="1:7" ht="12.75">
      <c r="A68" s="34"/>
      <c r="B68" s="147" t="s">
        <v>166</v>
      </c>
      <c r="C68" s="34">
        <v>0</v>
      </c>
      <c r="D68" s="34">
        <v>1.5</v>
      </c>
      <c r="E68" s="144">
        <f aca="true" t="shared" si="10" ref="E68:E73">C68*D68</f>
        <v>0</v>
      </c>
      <c r="F68" s="34">
        <v>23</v>
      </c>
      <c r="G68" s="34">
        <f t="shared" si="9"/>
        <v>0</v>
      </c>
    </row>
    <row r="69" spans="1:7" ht="12.75">
      <c r="A69" s="34"/>
      <c r="B69" s="34" t="s">
        <v>167</v>
      </c>
      <c r="C69" s="34">
        <v>0</v>
      </c>
      <c r="D69" s="34">
        <v>1.1</v>
      </c>
      <c r="E69" s="144">
        <f t="shared" si="10"/>
        <v>0</v>
      </c>
      <c r="F69" s="34">
        <v>80</v>
      </c>
      <c r="G69" s="34">
        <f t="shared" si="9"/>
        <v>0</v>
      </c>
    </row>
    <row r="70" spans="1:7" ht="12.75">
      <c r="A70" s="34"/>
      <c r="B70" s="34" t="s">
        <v>168</v>
      </c>
      <c r="C70" s="34">
        <v>0</v>
      </c>
      <c r="D70" s="34">
        <v>1.5</v>
      </c>
      <c r="E70" s="144">
        <f t="shared" si="10"/>
        <v>0</v>
      </c>
      <c r="F70" s="34">
        <v>3</v>
      </c>
      <c r="G70" s="34">
        <f t="shared" si="9"/>
        <v>0</v>
      </c>
    </row>
    <row r="71" spans="1:7" ht="12.75">
      <c r="A71" s="34"/>
      <c r="B71" s="34" t="s">
        <v>169</v>
      </c>
      <c r="C71" s="34">
        <v>0</v>
      </c>
      <c r="D71" s="34">
        <v>1</v>
      </c>
      <c r="E71" s="144">
        <f t="shared" si="10"/>
        <v>0</v>
      </c>
      <c r="F71" s="34">
        <v>514</v>
      </c>
      <c r="G71" s="34">
        <f t="shared" si="9"/>
        <v>0</v>
      </c>
    </row>
    <row r="72" spans="1:7" ht="12.75">
      <c r="A72" s="34"/>
      <c r="B72" s="34" t="s">
        <v>170</v>
      </c>
      <c r="C72" s="34">
        <v>0</v>
      </c>
      <c r="D72" s="34">
        <v>1.5</v>
      </c>
      <c r="E72" s="144">
        <f t="shared" si="10"/>
        <v>0</v>
      </c>
      <c r="F72" s="34">
        <v>80</v>
      </c>
      <c r="G72" s="34">
        <f t="shared" si="9"/>
        <v>0</v>
      </c>
    </row>
    <row r="73" spans="1:7" ht="13.5" thickBot="1">
      <c r="A73" s="34"/>
      <c r="B73" s="34" t="s">
        <v>171</v>
      </c>
      <c r="C73" s="34">
        <v>0</v>
      </c>
      <c r="D73" s="34">
        <v>1.5</v>
      </c>
      <c r="E73" s="144">
        <f t="shared" si="10"/>
        <v>0</v>
      </c>
      <c r="F73" s="34">
        <v>0</v>
      </c>
      <c r="G73" s="34">
        <f t="shared" si="9"/>
        <v>0</v>
      </c>
    </row>
    <row r="74" spans="1:7" ht="14.25" thickBot="1" thickTop="1">
      <c r="A74" s="46"/>
      <c r="B74" s="149" t="s">
        <v>185</v>
      </c>
      <c r="C74" s="149">
        <f>SUM(C65:C73)</f>
        <v>89</v>
      </c>
      <c r="D74" s="149" t="s">
        <v>5</v>
      </c>
      <c r="E74" s="148">
        <f>SUM(E65:E73)</f>
        <v>134</v>
      </c>
      <c r="F74" s="149" t="s">
        <v>5</v>
      </c>
      <c r="G74" s="149">
        <f>SUM(G65:G73)</f>
        <v>673</v>
      </c>
    </row>
    <row r="75" spans="1:7" ht="13.5" thickTop="1">
      <c r="A75" s="150" t="s">
        <v>186</v>
      </c>
      <c r="B75" s="150" t="s">
        <v>163</v>
      </c>
      <c r="C75" s="150">
        <v>10</v>
      </c>
      <c r="D75" s="34">
        <v>1.1</v>
      </c>
      <c r="E75" s="144">
        <v>11</v>
      </c>
      <c r="F75" s="150">
        <v>104</v>
      </c>
      <c r="G75" s="34">
        <f>E75*F75</f>
        <v>1144</v>
      </c>
    </row>
    <row r="76" spans="1:7" ht="12.75">
      <c r="A76" s="34"/>
      <c r="B76" s="34" t="s">
        <v>164</v>
      </c>
      <c r="C76" s="34">
        <v>874</v>
      </c>
      <c r="D76" s="34">
        <v>1.5</v>
      </c>
      <c r="E76" s="144">
        <v>1311</v>
      </c>
      <c r="F76" s="34">
        <v>19</v>
      </c>
      <c r="G76" s="146">
        <f>E76*F76*0.5</f>
        <v>12454.5</v>
      </c>
    </row>
    <row r="77" spans="1:7" ht="12.75">
      <c r="A77" s="34"/>
      <c r="B77" s="34" t="s">
        <v>165</v>
      </c>
      <c r="C77" s="34">
        <v>1278</v>
      </c>
      <c r="D77" s="34">
        <v>1.5</v>
      </c>
      <c r="E77" s="144">
        <v>1917</v>
      </c>
      <c r="F77" s="34">
        <v>1.5</v>
      </c>
      <c r="G77" s="34">
        <f aca="true" t="shared" si="11" ref="G77:G83">E77*F77</f>
        <v>2875.5</v>
      </c>
    </row>
    <row r="78" spans="1:7" ht="12.75">
      <c r="A78" s="34"/>
      <c r="B78" s="147" t="s">
        <v>166</v>
      </c>
      <c r="C78" s="34">
        <v>260</v>
      </c>
      <c r="D78" s="34">
        <v>1.5</v>
      </c>
      <c r="E78" s="144">
        <v>390</v>
      </c>
      <c r="F78" s="34">
        <v>23</v>
      </c>
      <c r="G78" s="34">
        <f t="shared" si="11"/>
        <v>8970</v>
      </c>
    </row>
    <row r="79" spans="1:7" ht="12.75">
      <c r="A79" s="34"/>
      <c r="B79" s="34" t="s">
        <v>167</v>
      </c>
      <c r="C79" s="34">
        <v>3</v>
      </c>
      <c r="D79" s="34">
        <v>1.1</v>
      </c>
      <c r="E79" s="144">
        <v>3</v>
      </c>
      <c r="F79" s="34">
        <v>80</v>
      </c>
      <c r="G79" s="34">
        <f t="shared" si="11"/>
        <v>240</v>
      </c>
    </row>
    <row r="80" spans="1:7" ht="12.75">
      <c r="A80" s="34"/>
      <c r="B80" s="34" t="s">
        <v>168</v>
      </c>
      <c r="C80" s="34">
        <v>60</v>
      </c>
      <c r="D80" s="34">
        <v>1.5</v>
      </c>
      <c r="E80" s="144">
        <v>90</v>
      </c>
      <c r="F80" s="34">
        <v>3</v>
      </c>
      <c r="G80" s="34">
        <f t="shared" si="11"/>
        <v>270</v>
      </c>
    </row>
    <row r="81" spans="1:7" ht="12.75">
      <c r="A81" s="34"/>
      <c r="B81" s="34" t="s">
        <v>169</v>
      </c>
      <c r="C81" s="34">
        <v>0</v>
      </c>
      <c r="D81" s="34">
        <v>1</v>
      </c>
      <c r="E81" s="144">
        <f>C81*D81</f>
        <v>0</v>
      </c>
      <c r="F81" s="34">
        <v>514</v>
      </c>
      <c r="G81" s="34">
        <f t="shared" si="11"/>
        <v>0</v>
      </c>
    </row>
    <row r="82" spans="1:7" ht="12.75">
      <c r="A82" s="34"/>
      <c r="B82" s="34" t="s">
        <v>170</v>
      </c>
      <c r="C82" s="34">
        <v>11</v>
      </c>
      <c r="D82" s="34">
        <v>1.5</v>
      </c>
      <c r="E82" s="144">
        <v>17</v>
      </c>
      <c r="F82" s="34">
        <v>80</v>
      </c>
      <c r="G82" s="34">
        <f t="shared" si="11"/>
        <v>1360</v>
      </c>
    </row>
    <row r="83" spans="1:7" ht="13.5" thickBot="1">
      <c r="A83" s="34"/>
      <c r="B83" s="46" t="s">
        <v>171</v>
      </c>
      <c r="C83" s="46">
        <v>0</v>
      </c>
      <c r="D83" s="46">
        <v>1.5</v>
      </c>
      <c r="E83" s="144">
        <f>C83*D83</f>
        <v>0</v>
      </c>
      <c r="F83" s="46">
        <v>0</v>
      </c>
      <c r="G83" s="46">
        <f t="shared" si="11"/>
        <v>0</v>
      </c>
    </row>
    <row r="84" spans="1:7" ht="14.25" thickBot="1" thickTop="1">
      <c r="A84" s="46"/>
      <c r="B84" s="46" t="s">
        <v>187</v>
      </c>
      <c r="C84" s="46">
        <f>SUM(C75:C83)</f>
        <v>2496</v>
      </c>
      <c r="D84" s="46"/>
      <c r="E84" s="148">
        <f>SUM(E75:E83)</f>
        <v>3739</v>
      </c>
      <c r="F84" s="46"/>
      <c r="G84" s="46">
        <f>SUM(G75:G83)</f>
        <v>27314</v>
      </c>
    </row>
    <row r="85" spans="1:7" ht="13.5" thickTop="1">
      <c r="A85" s="34" t="s">
        <v>188</v>
      </c>
      <c r="B85" s="150" t="s">
        <v>163</v>
      </c>
      <c r="C85" s="150">
        <v>3</v>
      </c>
      <c r="D85" s="34">
        <v>1.1</v>
      </c>
      <c r="E85" s="144">
        <v>3</v>
      </c>
      <c r="F85" s="150">
        <v>104</v>
      </c>
      <c r="G85" s="34">
        <f>E85*F85</f>
        <v>312</v>
      </c>
    </row>
    <row r="86" spans="1:7" ht="12.75">
      <c r="A86" s="34"/>
      <c r="B86" s="34" t="s">
        <v>164</v>
      </c>
      <c r="C86" s="34">
        <v>110</v>
      </c>
      <c r="D86" s="34">
        <v>1.5</v>
      </c>
      <c r="E86" s="144">
        <v>165</v>
      </c>
      <c r="F86" s="34">
        <v>19</v>
      </c>
      <c r="G86" s="146">
        <f>E86*F86*0.5</f>
        <v>1567.5</v>
      </c>
    </row>
    <row r="87" spans="1:7" ht="12.75">
      <c r="A87" s="34"/>
      <c r="B87" s="34" t="s">
        <v>165</v>
      </c>
      <c r="C87" s="34">
        <v>178</v>
      </c>
      <c r="D87" s="34">
        <v>1.5</v>
      </c>
      <c r="E87" s="144">
        <v>267</v>
      </c>
      <c r="F87" s="34">
        <v>1.5</v>
      </c>
      <c r="G87" s="34">
        <f aca="true" t="shared" si="12" ref="G87:G93">E87*F87</f>
        <v>400.5</v>
      </c>
    </row>
    <row r="88" spans="1:7" ht="12.75">
      <c r="A88" s="34"/>
      <c r="B88" s="147" t="s">
        <v>166</v>
      </c>
      <c r="C88" s="34">
        <v>32</v>
      </c>
      <c r="D88" s="34">
        <v>1.5</v>
      </c>
      <c r="E88" s="144">
        <v>48</v>
      </c>
      <c r="F88" s="34">
        <v>23</v>
      </c>
      <c r="G88" s="34">
        <f t="shared" si="12"/>
        <v>1104</v>
      </c>
    </row>
    <row r="89" spans="1:7" ht="12.75">
      <c r="A89" s="34"/>
      <c r="B89" s="34" t="s">
        <v>167</v>
      </c>
      <c r="C89" s="34">
        <v>0</v>
      </c>
      <c r="D89" s="34">
        <v>1.1</v>
      </c>
      <c r="E89" s="144">
        <f>C89*D89</f>
        <v>0</v>
      </c>
      <c r="F89" s="34">
        <v>80</v>
      </c>
      <c r="G89" s="34">
        <f t="shared" si="12"/>
        <v>0</v>
      </c>
    </row>
    <row r="90" spans="1:7" ht="12.75">
      <c r="A90" s="34"/>
      <c r="B90" s="34" t="s">
        <v>168</v>
      </c>
      <c r="C90" s="34">
        <v>0</v>
      </c>
      <c r="D90" s="34">
        <v>1.5</v>
      </c>
      <c r="E90" s="144">
        <f>C90*D90</f>
        <v>0</v>
      </c>
      <c r="F90" s="34">
        <v>3</v>
      </c>
      <c r="G90" s="34">
        <f t="shared" si="12"/>
        <v>0</v>
      </c>
    </row>
    <row r="91" spans="1:7" ht="12.75">
      <c r="A91" s="34"/>
      <c r="B91" s="34" t="s">
        <v>169</v>
      </c>
      <c r="C91" s="34">
        <v>0</v>
      </c>
      <c r="D91" s="34">
        <v>1</v>
      </c>
      <c r="E91" s="144">
        <f>C91*D91</f>
        <v>0</v>
      </c>
      <c r="F91" s="34">
        <v>514</v>
      </c>
      <c r="G91" s="34">
        <f t="shared" si="12"/>
        <v>0</v>
      </c>
    </row>
    <row r="92" spans="1:7" ht="12.75">
      <c r="A92" s="34"/>
      <c r="B92" s="34" t="s">
        <v>170</v>
      </c>
      <c r="C92" s="34">
        <v>11</v>
      </c>
      <c r="D92" s="34">
        <v>1.5</v>
      </c>
      <c r="E92" s="144">
        <v>17</v>
      </c>
      <c r="F92" s="34">
        <v>80</v>
      </c>
      <c r="G92" s="34">
        <f t="shared" si="12"/>
        <v>1360</v>
      </c>
    </row>
    <row r="93" spans="1:7" ht="13.5" thickBot="1">
      <c r="A93" s="34"/>
      <c r="B93" s="46" t="s">
        <v>171</v>
      </c>
      <c r="C93" s="46">
        <v>0</v>
      </c>
      <c r="D93" s="46">
        <v>1.5</v>
      </c>
      <c r="E93" s="144">
        <f>C93*D93</f>
        <v>0</v>
      </c>
      <c r="F93" s="46">
        <v>0</v>
      </c>
      <c r="G93" s="46">
        <f t="shared" si="12"/>
        <v>0</v>
      </c>
    </row>
    <row r="94" spans="1:7" ht="14.25" thickBot="1" thickTop="1">
      <c r="A94" s="46"/>
      <c r="B94" s="46" t="s">
        <v>189</v>
      </c>
      <c r="C94" s="46">
        <f>SUM(C85:C93)</f>
        <v>334</v>
      </c>
      <c r="D94" s="46" t="s">
        <v>5</v>
      </c>
      <c r="E94" s="148">
        <f>SUM(E85:E93)</f>
        <v>500</v>
      </c>
      <c r="F94" s="46" t="s">
        <v>5</v>
      </c>
      <c r="G94" s="46">
        <f>SUM(G85:G93)</f>
        <v>4744</v>
      </c>
    </row>
    <row r="95" spans="1:7" ht="13.5" thickTop="1">
      <c r="A95" s="145" t="s">
        <v>190</v>
      </c>
      <c r="B95" s="150" t="s">
        <v>163</v>
      </c>
      <c r="C95" s="50">
        <v>1</v>
      </c>
      <c r="D95" s="34">
        <v>1.1</v>
      </c>
      <c r="E95" s="144">
        <v>1</v>
      </c>
      <c r="F95" s="150">
        <v>104</v>
      </c>
      <c r="G95" s="34">
        <f>E95*F95</f>
        <v>104</v>
      </c>
    </row>
    <row r="96" spans="1:7" ht="12.75">
      <c r="A96" s="145"/>
      <c r="B96" s="34" t="s">
        <v>164</v>
      </c>
      <c r="C96" s="50">
        <v>95</v>
      </c>
      <c r="D96" s="34">
        <v>1.5</v>
      </c>
      <c r="E96" s="144">
        <v>142.5</v>
      </c>
      <c r="F96" s="34">
        <v>19</v>
      </c>
      <c r="G96" s="146">
        <f>E96*F96*0.5</f>
        <v>1353.75</v>
      </c>
    </row>
    <row r="97" spans="1:7" ht="12.75">
      <c r="A97" s="145"/>
      <c r="B97" s="34" t="s">
        <v>165</v>
      </c>
      <c r="C97" s="50">
        <v>130</v>
      </c>
      <c r="D97" s="34">
        <v>1.5</v>
      </c>
      <c r="E97" s="144">
        <v>195</v>
      </c>
      <c r="F97" s="34">
        <v>1.5</v>
      </c>
      <c r="G97" s="34">
        <f aca="true" t="shared" si="13" ref="G97:G103">E97*F97</f>
        <v>292.5</v>
      </c>
    </row>
    <row r="98" spans="1:7" ht="12.75">
      <c r="A98" s="145"/>
      <c r="B98" s="147" t="s">
        <v>166</v>
      </c>
      <c r="C98" s="50">
        <v>30</v>
      </c>
      <c r="D98" s="34">
        <v>1.5</v>
      </c>
      <c r="E98" s="144">
        <v>45</v>
      </c>
      <c r="F98" s="34">
        <v>23</v>
      </c>
      <c r="G98" s="34">
        <f t="shared" si="13"/>
        <v>1035</v>
      </c>
    </row>
    <row r="99" spans="1:7" ht="12.75">
      <c r="A99" s="145"/>
      <c r="B99" s="34" t="s">
        <v>167</v>
      </c>
      <c r="C99" s="50">
        <v>0</v>
      </c>
      <c r="D99" s="34">
        <v>1.1</v>
      </c>
      <c r="E99" s="144">
        <f>C99*D99</f>
        <v>0</v>
      </c>
      <c r="F99" s="34">
        <v>80</v>
      </c>
      <c r="G99" s="34">
        <f t="shared" si="13"/>
        <v>0</v>
      </c>
    </row>
    <row r="100" spans="1:7" ht="12.75">
      <c r="A100" s="145"/>
      <c r="B100" s="34" t="s">
        <v>168</v>
      </c>
      <c r="C100" s="50">
        <v>0</v>
      </c>
      <c r="D100" s="34">
        <v>1.5</v>
      </c>
      <c r="E100" s="144">
        <f>C100*D100</f>
        <v>0</v>
      </c>
      <c r="F100" s="34">
        <v>3</v>
      </c>
      <c r="G100" s="34">
        <f t="shared" si="13"/>
        <v>0</v>
      </c>
    </row>
    <row r="101" spans="1:7" ht="12.75">
      <c r="A101" s="145"/>
      <c r="B101" s="34" t="s">
        <v>169</v>
      </c>
      <c r="C101" s="50">
        <v>0</v>
      </c>
      <c r="D101" s="34">
        <v>1</v>
      </c>
      <c r="E101" s="144">
        <f>C101*D101</f>
        <v>0</v>
      </c>
      <c r="F101" s="34">
        <v>514</v>
      </c>
      <c r="G101" s="34">
        <f t="shared" si="13"/>
        <v>0</v>
      </c>
    </row>
    <row r="102" spans="1:7" ht="12.75">
      <c r="A102" s="145"/>
      <c r="B102" s="34" t="s">
        <v>170</v>
      </c>
      <c r="C102" s="50">
        <v>0</v>
      </c>
      <c r="D102" s="34">
        <v>1.5</v>
      </c>
      <c r="E102" s="144">
        <v>0</v>
      </c>
      <c r="F102" s="34">
        <v>80</v>
      </c>
      <c r="G102" s="34">
        <f t="shared" si="13"/>
        <v>0</v>
      </c>
    </row>
    <row r="103" spans="1:7" ht="13.5" thickBot="1">
      <c r="A103" s="145"/>
      <c r="B103" s="46" t="s">
        <v>171</v>
      </c>
      <c r="C103" s="152">
        <v>0</v>
      </c>
      <c r="D103" s="46">
        <v>1.5</v>
      </c>
      <c r="E103" s="153">
        <f>C103*D103</f>
        <v>0</v>
      </c>
      <c r="F103" s="46">
        <v>0</v>
      </c>
      <c r="G103" s="46">
        <f t="shared" si="13"/>
        <v>0</v>
      </c>
    </row>
    <row r="104" spans="1:7" ht="14.25" thickBot="1" thickTop="1">
      <c r="A104" s="145"/>
      <c r="B104" s="46" t="s">
        <v>191</v>
      </c>
      <c r="C104" s="50"/>
      <c r="D104" s="50"/>
      <c r="E104" s="153">
        <f>SUM(E95:E103)</f>
        <v>383.5</v>
      </c>
      <c r="F104" s="50"/>
      <c r="G104" s="46">
        <f>SUM(G95:G103)</f>
        <v>2785.25</v>
      </c>
    </row>
    <row r="105" spans="1:7" ht="13.5" thickTop="1">
      <c r="A105" s="154" t="s">
        <v>192</v>
      </c>
      <c r="B105" s="6" t="s">
        <v>193</v>
      </c>
      <c r="C105" s="6">
        <v>0</v>
      </c>
      <c r="D105" s="6">
        <v>0</v>
      </c>
      <c r="E105" s="155">
        <v>0</v>
      </c>
      <c r="F105" s="6">
        <v>0</v>
      </c>
      <c r="G105" s="156">
        <v>0</v>
      </c>
    </row>
    <row r="106" spans="1:7" ht="13.5" thickBot="1">
      <c r="A106" s="157" t="s">
        <v>194</v>
      </c>
      <c r="B106" s="152" t="s">
        <v>193</v>
      </c>
      <c r="C106" s="152">
        <v>0</v>
      </c>
      <c r="D106" s="152">
        <v>0</v>
      </c>
      <c r="E106" s="158">
        <v>0</v>
      </c>
      <c r="F106" s="152">
        <v>0</v>
      </c>
      <c r="G106" s="159">
        <v>0</v>
      </c>
    </row>
    <row r="107" spans="1:7" ht="13.5" thickTop="1">
      <c r="A107" s="160"/>
      <c r="B107" s="161" t="s">
        <v>195</v>
      </c>
      <c r="C107" s="50"/>
      <c r="D107" s="50"/>
      <c r="E107" s="50"/>
      <c r="F107" s="50"/>
      <c r="G107" s="162">
        <f>SUM(G4:G103)-G94-G84-G74-G64-G53-G43-G33-G23-G13</f>
        <v>65698.25</v>
      </c>
    </row>
    <row r="108" spans="1:7" ht="13.5" thickBot="1">
      <c r="A108" s="163"/>
      <c r="B108" s="164" t="s">
        <v>196</v>
      </c>
      <c r="C108" s="152"/>
      <c r="D108" s="152"/>
      <c r="E108" s="152"/>
      <c r="F108" s="152"/>
      <c r="G108" s="165">
        <f>+(G107/365)</f>
        <v>179.99520547945207</v>
      </c>
    </row>
    <row r="109" ht="13.5" thickTop="1"/>
    <row r="110" ht="12.75">
      <c r="A110" t="s">
        <v>197</v>
      </c>
    </row>
    <row r="112" spans="1:7" ht="12.75">
      <c r="A112" s="48" t="s">
        <v>198</v>
      </c>
      <c r="G112" s="88">
        <v>37067</v>
      </c>
    </row>
  </sheetData>
  <sheetProtection/>
  <printOptions horizontalCentered="1"/>
  <pageMargins left="0.75" right="0.75" top="1" bottom="1" header="0.5" footer="0.5"/>
  <pageSetup horizontalDpi="600" verticalDpi="600" orientation="portrait" scale="82" r:id="rId1"/>
  <headerFooter alignWithMargins="0">
    <oddHeader>&amp;C&amp;"Arial,Bold"CARB PHASE 3 PROPOSED PROJECT
REFINERY FUGITIVE EMISSION ESTIMATES&amp;"Arial,Regular"
</oddHeader>
  </headerFooter>
  <rowBreaks count="1" manualBreakCount="1">
    <brk id="5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J20">
      <selection activeCell="M34" sqref="M34"/>
    </sheetView>
  </sheetViews>
  <sheetFormatPr defaultColWidth="9.140625" defaultRowHeight="12.75"/>
  <cols>
    <col min="1" max="1" width="33.57421875" style="0" customWidth="1"/>
    <col min="13" max="13" width="9.8515625" style="0" customWidth="1"/>
  </cols>
  <sheetData>
    <row r="1" spans="1:13" ht="12.75">
      <c r="A1" s="168" t="s">
        <v>199</v>
      </c>
      <c r="B1" s="169">
        <v>73050</v>
      </c>
      <c r="C1" s="169">
        <v>73050</v>
      </c>
      <c r="D1" s="169">
        <v>73060</v>
      </c>
      <c r="E1" s="169">
        <v>73060</v>
      </c>
      <c r="F1" s="169">
        <v>73070</v>
      </c>
      <c r="G1" s="169">
        <v>73070</v>
      </c>
      <c r="H1" s="170">
        <v>73030</v>
      </c>
      <c r="I1" s="170">
        <v>73030</v>
      </c>
      <c r="J1" s="170">
        <v>74801</v>
      </c>
      <c r="K1" s="170">
        <v>74801</v>
      </c>
      <c r="L1" s="170">
        <v>74801</v>
      </c>
      <c r="M1" s="170">
        <v>74801</v>
      </c>
    </row>
    <row r="2" spans="1:13" ht="30.75">
      <c r="A2" s="171"/>
      <c r="B2" s="172" t="s">
        <v>200</v>
      </c>
      <c r="C2" s="172" t="s">
        <v>201</v>
      </c>
      <c r="D2" s="172" t="s">
        <v>200</v>
      </c>
      <c r="E2" s="172" t="s">
        <v>202</v>
      </c>
      <c r="F2" s="172" t="s">
        <v>200</v>
      </c>
      <c r="G2" s="172" t="s">
        <v>201</v>
      </c>
      <c r="H2" s="172" t="s">
        <v>200</v>
      </c>
      <c r="I2" s="172" t="s">
        <v>201</v>
      </c>
      <c r="J2" s="172" t="s">
        <v>200</v>
      </c>
      <c r="K2" s="172" t="s">
        <v>201</v>
      </c>
      <c r="L2" s="172" t="s">
        <v>200</v>
      </c>
      <c r="M2" s="172" t="s">
        <v>201</v>
      </c>
    </row>
    <row r="3" spans="1:13" ht="12.75">
      <c r="A3" s="171" t="s">
        <v>203</v>
      </c>
      <c r="B3" s="173" t="s">
        <v>203</v>
      </c>
      <c r="C3" s="173" t="s">
        <v>203</v>
      </c>
      <c r="D3" s="173" t="s">
        <v>203</v>
      </c>
      <c r="E3" s="173" t="s">
        <v>203</v>
      </c>
      <c r="F3" s="173" t="s">
        <v>203</v>
      </c>
      <c r="G3" s="173" t="s">
        <v>203</v>
      </c>
      <c r="H3" s="173" t="s">
        <v>203</v>
      </c>
      <c r="I3" s="173" t="s">
        <v>203</v>
      </c>
      <c r="J3" s="173" t="s">
        <v>203</v>
      </c>
      <c r="K3" s="173" t="s">
        <v>203</v>
      </c>
      <c r="L3" s="173" t="s">
        <v>203</v>
      </c>
      <c r="M3" s="173" t="s">
        <v>203</v>
      </c>
    </row>
    <row r="4" spans="1:13" ht="12.75">
      <c r="A4" s="174" t="s">
        <v>204</v>
      </c>
      <c r="B4" s="174">
        <v>80213</v>
      </c>
      <c r="C4" s="174">
        <v>80213</v>
      </c>
      <c r="D4" s="174">
        <v>80214</v>
      </c>
      <c r="E4" s="174">
        <v>80214</v>
      </c>
      <c r="F4" s="174">
        <v>80216</v>
      </c>
      <c r="G4" s="174">
        <v>80216</v>
      </c>
      <c r="H4" s="175">
        <v>96000</v>
      </c>
      <c r="I4" s="175">
        <v>96000</v>
      </c>
      <c r="J4" s="175">
        <v>125002</v>
      </c>
      <c r="K4" s="175">
        <v>125002</v>
      </c>
      <c r="L4" s="175">
        <v>125004</v>
      </c>
      <c r="M4" s="175">
        <v>125004</v>
      </c>
    </row>
    <row r="5" spans="1:13" ht="21">
      <c r="A5" s="174" t="s">
        <v>205</v>
      </c>
      <c r="B5" s="176" t="s">
        <v>206</v>
      </c>
      <c r="C5" s="176" t="s">
        <v>207</v>
      </c>
      <c r="D5" s="174" t="s">
        <v>206</v>
      </c>
      <c r="E5" s="174" t="s">
        <v>208</v>
      </c>
      <c r="F5" s="174" t="s">
        <v>206</v>
      </c>
      <c r="G5" s="174" t="s">
        <v>206</v>
      </c>
      <c r="H5" s="177" t="s">
        <v>209</v>
      </c>
      <c r="I5" s="177" t="s">
        <v>209</v>
      </c>
      <c r="J5" s="177" t="s">
        <v>210</v>
      </c>
      <c r="K5" s="177" t="s">
        <v>210</v>
      </c>
      <c r="L5" s="177" t="s">
        <v>211</v>
      </c>
      <c r="M5" s="177" t="s">
        <v>212</v>
      </c>
    </row>
    <row r="6" spans="1:13" ht="12.75">
      <c r="A6" s="174" t="s">
        <v>213</v>
      </c>
      <c r="B6" s="178" t="s">
        <v>214</v>
      </c>
      <c r="C6" s="178" t="s">
        <v>214</v>
      </c>
      <c r="D6" s="178" t="s">
        <v>214</v>
      </c>
      <c r="E6" s="178" t="s">
        <v>214</v>
      </c>
      <c r="F6" s="178" t="s">
        <v>214</v>
      </c>
      <c r="G6" s="178" t="s">
        <v>214</v>
      </c>
      <c r="H6" s="177" t="s">
        <v>215</v>
      </c>
      <c r="I6" s="177" t="s">
        <v>215</v>
      </c>
      <c r="J6" s="177" t="s">
        <v>214</v>
      </c>
      <c r="K6" s="177" t="s">
        <v>214</v>
      </c>
      <c r="L6" s="177" t="s">
        <v>214</v>
      </c>
      <c r="M6" s="177" t="s">
        <v>214</v>
      </c>
    </row>
    <row r="7" spans="1:13" ht="12.75">
      <c r="A7" s="174" t="s">
        <v>216</v>
      </c>
      <c r="B7" s="178" t="s">
        <v>217</v>
      </c>
      <c r="C7" s="178" t="s">
        <v>217</v>
      </c>
      <c r="D7" s="178" t="s">
        <v>217</v>
      </c>
      <c r="E7" s="178" t="s">
        <v>217</v>
      </c>
      <c r="F7" s="178" t="s">
        <v>217</v>
      </c>
      <c r="G7" s="178" t="s">
        <v>217</v>
      </c>
      <c r="H7" s="179" t="s">
        <v>217</v>
      </c>
      <c r="I7" s="179" t="s">
        <v>217</v>
      </c>
      <c r="J7" s="179" t="s">
        <v>217</v>
      </c>
      <c r="K7" s="179" t="s">
        <v>217</v>
      </c>
      <c r="L7" s="179" t="s">
        <v>217</v>
      </c>
      <c r="M7" s="179" t="s">
        <v>217</v>
      </c>
    </row>
    <row r="8" spans="1:13" ht="12.75">
      <c r="A8" s="174" t="s">
        <v>218</v>
      </c>
      <c r="B8" s="174" t="s">
        <v>219</v>
      </c>
      <c r="C8" s="174" t="s">
        <v>219</v>
      </c>
      <c r="D8" s="174" t="s">
        <v>219</v>
      </c>
      <c r="E8" s="174" t="s">
        <v>219</v>
      </c>
      <c r="F8" s="174" t="s">
        <v>219</v>
      </c>
      <c r="G8" s="174" t="s">
        <v>219</v>
      </c>
      <c r="H8" s="179" t="s">
        <v>219</v>
      </c>
      <c r="I8" s="179" t="s">
        <v>219</v>
      </c>
      <c r="J8" s="179" t="s">
        <v>219</v>
      </c>
      <c r="K8" s="179" t="s">
        <v>219</v>
      </c>
      <c r="L8" s="179" t="s">
        <v>219</v>
      </c>
      <c r="M8" s="179" t="s">
        <v>219</v>
      </c>
    </row>
    <row r="9" spans="1:13" ht="12.75">
      <c r="A9" s="174" t="s">
        <v>220</v>
      </c>
      <c r="B9" s="174">
        <v>6</v>
      </c>
      <c r="C9" s="174">
        <v>6</v>
      </c>
      <c r="D9" s="174">
        <v>14</v>
      </c>
      <c r="E9" s="174">
        <v>14</v>
      </c>
      <c r="F9" s="174">
        <v>1</v>
      </c>
      <c r="G9" s="174">
        <v>1</v>
      </c>
      <c r="H9" s="175">
        <v>7.7</v>
      </c>
      <c r="I9" s="175">
        <v>7.7</v>
      </c>
      <c r="J9" s="175">
        <v>11.1</v>
      </c>
      <c r="K9" s="175">
        <v>11.1</v>
      </c>
      <c r="L9" s="175">
        <v>4.85</v>
      </c>
      <c r="M9" s="175">
        <v>4.85</v>
      </c>
    </row>
    <row r="10" spans="1:13" ht="12.75">
      <c r="A10" s="174" t="s">
        <v>221</v>
      </c>
      <c r="B10" s="174">
        <v>70</v>
      </c>
      <c r="C10" s="174">
        <v>70</v>
      </c>
      <c r="D10" s="174">
        <v>70</v>
      </c>
      <c r="E10" s="174">
        <v>70</v>
      </c>
      <c r="F10" s="174">
        <v>70</v>
      </c>
      <c r="G10" s="174">
        <v>70</v>
      </c>
      <c r="H10" s="175">
        <v>75</v>
      </c>
      <c r="I10" s="175">
        <v>75</v>
      </c>
      <c r="J10" s="175">
        <v>70</v>
      </c>
      <c r="K10" s="175">
        <v>70</v>
      </c>
      <c r="L10" s="175">
        <v>70</v>
      </c>
      <c r="M10" s="175">
        <v>70</v>
      </c>
    </row>
    <row r="11" spans="1:13" ht="12.75">
      <c r="A11" s="174" t="s">
        <v>222</v>
      </c>
      <c r="B11" s="174">
        <v>3.1</v>
      </c>
      <c r="C11" s="174">
        <v>6</v>
      </c>
      <c r="D11" s="174">
        <v>9.2</v>
      </c>
      <c r="E11" s="174">
        <v>9.2</v>
      </c>
      <c r="F11" s="174">
        <v>1.3</v>
      </c>
      <c r="G11" s="174">
        <v>2</v>
      </c>
      <c r="H11" s="180">
        <v>5.194767595218655</v>
      </c>
      <c r="I11" s="180">
        <v>11</v>
      </c>
      <c r="J11" s="180">
        <v>7.113993727162368</v>
      </c>
      <c r="K11" s="180">
        <v>8</v>
      </c>
      <c r="L11" s="180">
        <v>2.86</v>
      </c>
      <c r="M11" s="180">
        <v>8</v>
      </c>
    </row>
    <row r="12" spans="1:13" ht="12.75">
      <c r="A12" s="174" t="s">
        <v>223</v>
      </c>
      <c r="B12" s="174">
        <v>110.9</v>
      </c>
      <c r="C12" s="174">
        <v>117</v>
      </c>
      <c r="D12" s="174">
        <v>120</v>
      </c>
      <c r="E12" s="174">
        <v>120</v>
      </c>
      <c r="F12" s="174">
        <v>120</v>
      </c>
      <c r="G12" s="174">
        <v>120</v>
      </c>
      <c r="H12" s="175">
        <v>120</v>
      </c>
      <c r="I12" s="175">
        <v>120</v>
      </c>
      <c r="J12" s="175">
        <v>150</v>
      </c>
      <c r="K12" s="175">
        <v>150</v>
      </c>
      <c r="L12" s="175">
        <v>150</v>
      </c>
      <c r="M12" s="175">
        <v>150</v>
      </c>
    </row>
    <row r="13" spans="1:13" ht="12.75">
      <c r="A13" s="174" t="s">
        <v>224</v>
      </c>
      <c r="B13" s="174">
        <v>1</v>
      </c>
      <c r="C13" s="174">
        <v>1</v>
      </c>
      <c r="D13" s="174">
        <v>1</v>
      </c>
      <c r="E13" s="174">
        <v>1</v>
      </c>
      <c r="F13" s="174">
        <v>1</v>
      </c>
      <c r="G13" s="174">
        <v>1</v>
      </c>
      <c r="H13" s="175">
        <v>1</v>
      </c>
      <c r="I13" s="175">
        <v>1</v>
      </c>
      <c r="J13" s="175">
        <v>1</v>
      </c>
      <c r="K13" s="175">
        <v>1</v>
      </c>
      <c r="L13" s="175">
        <v>1</v>
      </c>
      <c r="M13" s="175">
        <v>1</v>
      </c>
    </row>
    <row r="14" spans="1:13" ht="12.75">
      <c r="A14" s="174" t="s">
        <v>225</v>
      </c>
      <c r="B14" s="174">
        <v>6.8</v>
      </c>
      <c r="C14" s="174">
        <v>6.8</v>
      </c>
      <c r="D14" s="174">
        <v>6.8</v>
      </c>
      <c r="E14" s="174">
        <v>6.8</v>
      </c>
      <c r="F14" s="174">
        <v>6.8</v>
      </c>
      <c r="G14" s="174">
        <v>6.8</v>
      </c>
      <c r="H14" s="181">
        <v>6.8</v>
      </c>
      <c r="I14" s="181">
        <v>6.8</v>
      </c>
      <c r="J14" s="181">
        <v>6.8</v>
      </c>
      <c r="K14" s="181">
        <v>6.8</v>
      </c>
      <c r="L14" s="181">
        <v>0</v>
      </c>
      <c r="M14" s="181">
        <v>0</v>
      </c>
    </row>
    <row r="15" spans="1:13" ht="12.75">
      <c r="A15" s="174" t="s">
        <v>226</v>
      </c>
      <c r="B15" s="174">
        <v>0.2</v>
      </c>
      <c r="C15" s="174">
        <v>0.2</v>
      </c>
      <c r="D15" s="174">
        <v>0.2</v>
      </c>
      <c r="E15" s="174">
        <v>0.2</v>
      </c>
      <c r="F15" s="174">
        <v>0.2</v>
      </c>
      <c r="G15" s="174">
        <v>0.2</v>
      </c>
      <c r="H15" s="175">
        <v>0.2</v>
      </c>
      <c r="I15" s="175">
        <v>0.2</v>
      </c>
      <c r="J15" s="175">
        <v>0.2</v>
      </c>
      <c r="K15" s="175">
        <v>0.2</v>
      </c>
      <c r="L15" s="175">
        <v>0.2</v>
      </c>
      <c r="M15" s="175">
        <v>0.2</v>
      </c>
    </row>
    <row r="16" spans="1:13" ht="12.75">
      <c r="A16" s="174" t="s">
        <v>227</v>
      </c>
      <c r="B16" s="174">
        <v>1</v>
      </c>
      <c r="C16" s="174">
        <v>1</v>
      </c>
      <c r="D16" s="174">
        <v>1</v>
      </c>
      <c r="E16" s="174">
        <v>1</v>
      </c>
      <c r="F16" s="174">
        <v>1</v>
      </c>
      <c r="G16" s="174">
        <v>1</v>
      </c>
      <c r="H16" s="175">
        <v>1</v>
      </c>
      <c r="I16" s="175">
        <v>1</v>
      </c>
      <c r="J16" s="175">
        <v>1</v>
      </c>
      <c r="K16" s="175">
        <v>1</v>
      </c>
      <c r="L16" s="175">
        <v>1</v>
      </c>
      <c r="M16" s="175">
        <v>1</v>
      </c>
    </row>
    <row r="17" spans="1:13" ht="12.75">
      <c r="A17" s="174" t="s">
        <v>228</v>
      </c>
      <c r="B17" s="174">
        <v>70</v>
      </c>
      <c r="C17" s="174">
        <v>70</v>
      </c>
      <c r="D17" s="174">
        <v>70</v>
      </c>
      <c r="E17" s="174">
        <v>70</v>
      </c>
      <c r="F17" s="174">
        <v>70</v>
      </c>
      <c r="G17" s="174">
        <v>70</v>
      </c>
      <c r="H17" s="175">
        <v>68</v>
      </c>
      <c r="I17" s="175">
        <v>68</v>
      </c>
      <c r="J17" s="175">
        <v>66</v>
      </c>
      <c r="K17" s="175">
        <v>66</v>
      </c>
      <c r="L17" s="175">
        <v>88</v>
      </c>
      <c r="M17" s="175">
        <v>88</v>
      </c>
    </row>
    <row r="18" spans="1:13" ht="12.75">
      <c r="A18" s="174" t="s">
        <v>229</v>
      </c>
      <c r="B18" s="174">
        <v>0.0015</v>
      </c>
      <c r="C18" s="174">
        <v>0.0015</v>
      </c>
      <c r="D18" s="174">
        <v>0.0015</v>
      </c>
      <c r="E18" s="174">
        <v>0.0015</v>
      </c>
      <c r="F18" s="174">
        <v>0.0015</v>
      </c>
      <c r="G18" s="174">
        <v>0.0015</v>
      </c>
      <c r="H18" s="175">
        <v>0.0015</v>
      </c>
      <c r="I18" s="175">
        <v>0.0015</v>
      </c>
      <c r="J18" s="175">
        <v>0.0015</v>
      </c>
      <c r="K18" s="175">
        <v>0.0015</v>
      </c>
      <c r="L18" s="175">
        <v>0.0015</v>
      </c>
      <c r="M18" s="175">
        <v>0.0015</v>
      </c>
    </row>
    <row r="19" spans="1:13" ht="12.75">
      <c r="A19" s="174" t="s">
        <v>230</v>
      </c>
      <c r="B19" s="174">
        <v>3600000</v>
      </c>
      <c r="C19" s="174">
        <v>4745000</v>
      </c>
      <c r="D19" s="174">
        <v>3600000</v>
      </c>
      <c r="E19" s="174">
        <v>3600000</v>
      </c>
      <c r="F19" s="174">
        <v>3600000</v>
      </c>
      <c r="G19" s="174">
        <v>3650000</v>
      </c>
      <c r="H19" s="182">
        <v>4320000</v>
      </c>
      <c r="I19" s="182">
        <v>7300000</v>
      </c>
      <c r="J19" s="182">
        <v>1875000</v>
      </c>
      <c r="K19" s="182">
        <v>3650000</v>
      </c>
      <c r="L19" s="182">
        <v>3300000</v>
      </c>
      <c r="M19" s="182">
        <v>3650000</v>
      </c>
    </row>
    <row r="20" spans="1:13" ht="12.75">
      <c r="A20" s="174" t="s">
        <v>231</v>
      </c>
      <c r="B20" s="183">
        <v>6.332667150917517</v>
      </c>
      <c r="C20" s="183">
        <v>6.332667150917517</v>
      </c>
      <c r="D20" s="174">
        <v>5.7</v>
      </c>
      <c r="E20" s="174">
        <v>5.71</v>
      </c>
      <c r="F20" s="174">
        <v>6.332667150917517</v>
      </c>
      <c r="G20" s="174">
        <v>6.332667150917517</v>
      </c>
      <c r="H20" s="184">
        <v>6.294170694073034</v>
      </c>
      <c r="I20" s="184">
        <v>6.294170694073034</v>
      </c>
      <c r="J20" s="184">
        <v>5.717898707840508</v>
      </c>
      <c r="K20" s="184">
        <v>5.717898707840508</v>
      </c>
      <c r="L20" s="184">
        <v>5.6</v>
      </c>
      <c r="M20" s="184">
        <v>5.6</v>
      </c>
    </row>
    <row r="21" spans="1:13" ht="12.75">
      <c r="A21" s="174" t="s">
        <v>232</v>
      </c>
      <c r="B21" s="174">
        <v>8</v>
      </c>
      <c r="C21" s="174">
        <v>8</v>
      </c>
      <c r="D21" s="174">
        <v>8</v>
      </c>
      <c r="E21" s="174">
        <v>8</v>
      </c>
      <c r="F21" s="174">
        <v>8</v>
      </c>
      <c r="G21" s="174">
        <v>8</v>
      </c>
      <c r="H21" s="175">
        <v>8</v>
      </c>
      <c r="I21" s="175">
        <v>8</v>
      </c>
      <c r="J21" s="175">
        <v>8</v>
      </c>
      <c r="K21" s="175">
        <v>8</v>
      </c>
      <c r="L21" s="175">
        <v>8</v>
      </c>
      <c r="M21" s="175">
        <v>8</v>
      </c>
    </row>
    <row r="22" spans="1:13" ht="12.75">
      <c r="A22" s="174" t="s">
        <v>233</v>
      </c>
      <c r="B22" s="174">
        <v>0.05914150043590901</v>
      </c>
      <c r="C22" s="174">
        <v>0.13038463500584718</v>
      </c>
      <c r="D22" s="174">
        <v>0.2409428684640021</v>
      </c>
      <c r="E22" s="174">
        <v>0.2409428684640021</v>
      </c>
      <c r="F22" s="174">
        <v>0.023144063024007774</v>
      </c>
      <c r="G22" s="174">
        <v>0.03654509283980547</v>
      </c>
      <c r="H22" s="185">
        <v>0.10857161725159785</v>
      </c>
      <c r="I22" s="185">
        <v>0.3318258860005605</v>
      </c>
      <c r="J22" s="185">
        <v>0.16389397677294493</v>
      </c>
      <c r="K22" s="185">
        <v>0.1939467962173806</v>
      </c>
      <c r="L22" s="185">
        <v>0.05403827404439439</v>
      </c>
      <c r="M22" s="185">
        <v>0.1939467962173806</v>
      </c>
    </row>
    <row r="23" spans="1:13" ht="12.75">
      <c r="A23" s="174" t="s">
        <v>234</v>
      </c>
      <c r="B23" s="178" t="s">
        <v>235</v>
      </c>
      <c r="C23" s="178" t="s">
        <v>235</v>
      </c>
      <c r="D23" s="178" t="s">
        <v>236</v>
      </c>
      <c r="E23" s="178" t="s">
        <v>236</v>
      </c>
      <c r="F23" s="178" t="s">
        <v>236</v>
      </c>
      <c r="G23" s="178" t="s">
        <v>236</v>
      </c>
      <c r="H23" s="186" t="s">
        <v>236</v>
      </c>
      <c r="I23" s="186" t="s">
        <v>236</v>
      </c>
      <c r="J23" s="186" t="s">
        <v>236</v>
      </c>
      <c r="K23" s="186" t="s">
        <v>236</v>
      </c>
      <c r="L23" s="186" t="s">
        <v>236</v>
      </c>
      <c r="M23" s="186" t="s">
        <v>236</v>
      </c>
    </row>
    <row r="24" spans="1:13" ht="12.75">
      <c r="A24" s="174" t="s">
        <v>237</v>
      </c>
      <c r="B24" s="187">
        <v>1020.045</v>
      </c>
      <c r="C24" s="187">
        <v>1050.85</v>
      </c>
      <c r="D24" s="187">
        <v>806</v>
      </c>
      <c r="E24" s="187">
        <v>806</v>
      </c>
      <c r="F24" s="187">
        <v>806</v>
      </c>
      <c r="G24" s="187">
        <v>806</v>
      </c>
      <c r="H24" s="188">
        <v>806</v>
      </c>
      <c r="I24" s="188">
        <v>806</v>
      </c>
      <c r="J24" s="188">
        <v>837.5</v>
      </c>
      <c r="K24" s="188">
        <v>837.5</v>
      </c>
      <c r="L24" s="188">
        <v>837.5</v>
      </c>
      <c r="M24" s="188">
        <v>837.5</v>
      </c>
    </row>
    <row r="25" spans="1:13" ht="12.75">
      <c r="A25" s="174" t="s">
        <v>238</v>
      </c>
      <c r="B25" s="187">
        <v>365</v>
      </c>
      <c r="C25" s="187">
        <v>365</v>
      </c>
      <c r="D25" s="187">
        <v>365</v>
      </c>
      <c r="E25" s="187">
        <v>365</v>
      </c>
      <c r="F25" s="187">
        <v>365</v>
      </c>
      <c r="G25" s="187">
        <v>365</v>
      </c>
      <c r="H25" s="189">
        <v>365</v>
      </c>
      <c r="I25" s="189">
        <v>365</v>
      </c>
      <c r="J25" s="189">
        <v>89</v>
      </c>
      <c r="K25" s="189">
        <v>89</v>
      </c>
      <c r="L25" s="189">
        <v>153</v>
      </c>
      <c r="M25" s="189">
        <v>153</v>
      </c>
    </row>
    <row r="26" spans="1:13" ht="12.75">
      <c r="A26" s="174" t="s">
        <v>239</v>
      </c>
      <c r="B26" s="187">
        <v>4222.889426850276</v>
      </c>
      <c r="C26" s="187">
        <v>9591.028558712615</v>
      </c>
      <c r="D26" s="187">
        <v>13593.996638738998</v>
      </c>
      <c r="E26" s="187">
        <v>13593.996638738998</v>
      </c>
      <c r="F26" s="187">
        <v>1305.7880358145187</v>
      </c>
      <c r="G26" s="187">
        <v>2061.874138021825</v>
      </c>
      <c r="H26" s="189">
        <v>5950.593198325575</v>
      </c>
      <c r="I26" s="189">
        <v>18186.71315991872</v>
      </c>
      <c r="J26" s="189">
        <v>2208.965264068721</v>
      </c>
      <c r="K26" s="189">
        <v>2614.017576223283</v>
      </c>
      <c r="L26" s="189">
        <v>1669.4273478136868</v>
      </c>
      <c r="M26" s="189">
        <v>5991.680736511795</v>
      </c>
    </row>
    <row r="27" spans="1:13" ht="12.75">
      <c r="A27" s="174" t="s">
        <v>240</v>
      </c>
      <c r="B27" s="187">
        <v>624.3970363221879</v>
      </c>
      <c r="C27" s="187">
        <v>1452.2762185491283</v>
      </c>
      <c r="D27" s="187">
        <v>2752.53132933276</v>
      </c>
      <c r="E27" s="187">
        <v>2752.53132933276</v>
      </c>
      <c r="F27" s="187">
        <v>264.39777598626483</v>
      </c>
      <c r="G27" s="187">
        <v>417.49114060193773</v>
      </c>
      <c r="H27" s="189">
        <v>1204.8843796113322</v>
      </c>
      <c r="I27" s="189">
        <v>3682.470952479821</v>
      </c>
      <c r="J27" s="189">
        <v>538.0643747701721</v>
      </c>
      <c r="K27" s="189">
        <v>636.7278633427461</v>
      </c>
      <c r="L27" s="189">
        <v>0</v>
      </c>
      <c r="M27" s="189">
        <v>0</v>
      </c>
    </row>
    <row r="28" spans="1:13" ht="12.75">
      <c r="A28" s="174" t="s">
        <v>241</v>
      </c>
      <c r="B28" s="187">
        <v>290.7773459504254</v>
      </c>
      <c r="C28" s="187">
        <v>363.27872833500913</v>
      </c>
      <c r="D28" s="187">
        <v>241.8795</v>
      </c>
      <c r="E28" s="187">
        <v>242.30384999999998</v>
      </c>
      <c r="F28" s="187">
        <v>268.7267305491848</v>
      </c>
      <c r="G28" s="187">
        <v>272.45904625125684</v>
      </c>
      <c r="H28" s="190">
        <v>320.5117600835871</v>
      </c>
      <c r="I28" s="190">
        <v>541.605520511617</v>
      </c>
      <c r="J28" s="190">
        <v>101.09959652800498</v>
      </c>
      <c r="K28" s="190">
        <v>196.80721457451637</v>
      </c>
      <c r="L28" s="190">
        <v>174.2664</v>
      </c>
      <c r="M28" s="190">
        <v>192.74919999999997</v>
      </c>
    </row>
    <row r="29" spans="1:13" ht="12.75">
      <c r="A29" s="174" t="s">
        <v>242</v>
      </c>
      <c r="B29" s="187">
        <v>5138.063809122889</v>
      </c>
      <c r="C29" s="187">
        <v>11406.583505596753</v>
      </c>
      <c r="D29" s="187">
        <v>16588.407468071757</v>
      </c>
      <c r="E29" s="187">
        <v>16588.831818071758</v>
      </c>
      <c r="F29" s="187">
        <v>1838.9125423499684</v>
      </c>
      <c r="G29" s="187">
        <v>2751.8243248750196</v>
      </c>
      <c r="H29" s="190">
        <v>7475.989338020495</v>
      </c>
      <c r="I29" s="190">
        <v>22410.789632910157</v>
      </c>
      <c r="J29" s="190">
        <v>2848.129235366898</v>
      </c>
      <c r="K29" s="190">
        <v>3447.552654140545</v>
      </c>
      <c r="L29" s="190">
        <v>1843.6937478136867</v>
      </c>
      <c r="M29" s="190">
        <v>6184.429936511795</v>
      </c>
    </row>
    <row r="30" spans="1:13" ht="12.75">
      <c r="A30" s="174" t="s">
        <v>243</v>
      </c>
      <c r="B30" s="191" t="s">
        <v>5</v>
      </c>
      <c r="C30" s="183">
        <f>+(C29-B29)/365</f>
        <v>17.174026565681817</v>
      </c>
      <c r="D30" s="192"/>
      <c r="E30" s="193">
        <f>+(E29-D29)/365</f>
        <v>0.0011626027397291531</v>
      </c>
      <c r="F30" s="193"/>
      <c r="G30" s="193">
        <f>+(G29-F29)/365</f>
        <v>2.5011281713015103</v>
      </c>
      <c r="H30" s="193"/>
      <c r="I30" s="193">
        <f>+(I29-H29)/365</f>
        <v>40.917261081889485</v>
      </c>
      <c r="J30" s="193"/>
      <c r="K30" s="193">
        <f>+(K29-J29)/365</f>
        <v>1.6422559418456093</v>
      </c>
      <c r="L30" s="193"/>
      <c r="M30" s="194">
        <f>+(M29-L29)/365</f>
        <v>11.892427914241392</v>
      </c>
    </row>
    <row r="31" spans="1:13" ht="12.75">
      <c r="A31" s="195" t="s">
        <v>244</v>
      </c>
      <c r="B31" s="196">
        <f>SUM(B30:M30)</f>
        <v>74.12826227769955</v>
      </c>
      <c r="C31" s="197"/>
      <c r="D31" s="196"/>
      <c r="E31" s="197"/>
      <c r="F31" s="197"/>
      <c r="G31" s="197"/>
      <c r="H31" s="197"/>
      <c r="I31" s="197"/>
      <c r="J31" s="197"/>
      <c r="K31" s="197"/>
      <c r="L31" s="197"/>
      <c r="M31" s="197" t="s">
        <v>5</v>
      </c>
    </row>
    <row r="32" spans="8:13" ht="12.75">
      <c r="H32" s="198"/>
      <c r="I32" s="198"/>
      <c r="J32" s="198"/>
      <c r="K32" s="198"/>
      <c r="L32" s="198"/>
      <c r="M32" s="198" t="s">
        <v>5</v>
      </c>
    </row>
    <row r="33" spans="1:13" ht="12.75">
      <c r="A33" s="199" t="s">
        <v>245</v>
      </c>
      <c r="M33" s="200">
        <v>37074</v>
      </c>
    </row>
  </sheetData>
  <sheetProtection/>
  <printOptions/>
  <pageMargins left="0.85" right="0.75" top="1" bottom="1" header="0.5" footer="0.5"/>
  <pageSetup horizontalDpi="600" verticalDpi="600" orientation="landscape" scale="85" r:id="rId1"/>
  <headerFooter alignWithMargins="0">
    <oddHeader>&amp;C&amp;"Arial,Bold"EMISSION CALCULATIONS
EXTERNAL FLOATING ROOF TANKS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C74">
      <selection activeCell="H75" sqref="H75"/>
    </sheetView>
  </sheetViews>
  <sheetFormatPr defaultColWidth="9.140625" defaultRowHeight="12.75"/>
  <cols>
    <col min="1" max="1" width="5.00390625" style="0" customWidth="1"/>
    <col min="2" max="2" width="45.57421875" style="0" customWidth="1"/>
    <col min="3" max="3" width="14.140625" style="0" customWidth="1"/>
    <col min="4" max="8" width="12.28125" style="0" customWidth="1"/>
  </cols>
  <sheetData>
    <row r="1" spans="1:9" ht="12.75">
      <c r="A1" s="201"/>
      <c r="B1" s="202" t="s">
        <v>246</v>
      </c>
      <c r="C1" s="203">
        <v>73630</v>
      </c>
      <c r="D1" s="203">
        <v>73630</v>
      </c>
      <c r="E1" s="203">
        <v>74282</v>
      </c>
      <c r="F1" s="203">
        <v>74282</v>
      </c>
      <c r="G1" s="203">
        <v>74292</v>
      </c>
      <c r="H1" s="203">
        <v>74292</v>
      </c>
      <c r="I1" s="204"/>
    </row>
    <row r="2" spans="1:9" ht="12.75">
      <c r="A2" s="205"/>
      <c r="B2" s="205"/>
      <c r="C2" s="203"/>
      <c r="D2" s="203"/>
      <c r="E2" s="203"/>
      <c r="F2" s="203"/>
      <c r="G2" s="203"/>
      <c r="H2" s="203"/>
      <c r="I2" s="204"/>
    </row>
    <row r="3" spans="1:9" ht="38.25">
      <c r="A3" s="205" t="s">
        <v>247</v>
      </c>
      <c r="B3" s="205"/>
      <c r="C3" s="206" t="s">
        <v>200</v>
      </c>
      <c r="D3" s="207" t="s">
        <v>248</v>
      </c>
      <c r="E3" s="207" t="s">
        <v>200</v>
      </c>
      <c r="F3" s="207" t="s">
        <v>249</v>
      </c>
      <c r="G3" s="207" t="s">
        <v>200</v>
      </c>
      <c r="H3" s="207" t="s">
        <v>249</v>
      </c>
      <c r="I3" s="204"/>
    </row>
    <row r="4" spans="1:9" ht="12.75">
      <c r="A4" s="205"/>
      <c r="B4" s="205" t="s">
        <v>250</v>
      </c>
      <c r="C4" s="203">
        <v>80042</v>
      </c>
      <c r="D4" s="203">
        <v>80042</v>
      </c>
      <c r="E4" s="203">
        <v>80058</v>
      </c>
      <c r="F4" s="203">
        <v>80058</v>
      </c>
      <c r="G4" s="203">
        <v>80082</v>
      </c>
      <c r="H4" s="203">
        <v>80082</v>
      </c>
      <c r="I4" s="204"/>
    </row>
    <row r="5" spans="1:9" ht="12.75">
      <c r="A5" s="202"/>
      <c r="B5" s="208" t="s">
        <v>251</v>
      </c>
      <c r="C5" s="203" t="s">
        <v>252</v>
      </c>
      <c r="D5" s="203" t="s">
        <v>253</v>
      </c>
      <c r="E5" s="203" t="s">
        <v>254</v>
      </c>
      <c r="F5" s="203" t="s">
        <v>255</v>
      </c>
      <c r="G5" s="203" t="s">
        <v>256</v>
      </c>
      <c r="H5" s="203" t="s">
        <v>256</v>
      </c>
      <c r="I5" s="204"/>
    </row>
    <row r="6" spans="1:9" ht="12.75">
      <c r="A6" s="202"/>
      <c r="B6" s="208" t="s">
        <v>257</v>
      </c>
      <c r="C6" s="203" t="s">
        <v>258</v>
      </c>
      <c r="D6" s="203" t="s">
        <v>258</v>
      </c>
      <c r="E6" s="203" t="s">
        <v>258</v>
      </c>
      <c r="F6" s="203" t="s">
        <v>258</v>
      </c>
      <c r="G6" s="203" t="s">
        <v>258</v>
      </c>
      <c r="H6" s="203" t="s">
        <v>258</v>
      </c>
      <c r="I6" s="204"/>
    </row>
    <row r="7" spans="1:9" ht="12.75">
      <c r="A7" s="205"/>
      <c r="B7" s="205" t="s">
        <v>259</v>
      </c>
      <c r="C7" s="203">
        <v>117</v>
      </c>
      <c r="D7" s="203">
        <v>117</v>
      </c>
      <c r="E7" s="203">
        <v>117</v>
      </c>
      <c r="F7" s="203">
        <v>117</v>
      </c>
      <c r="G7" s="203">
        <v>117</v>
      </c>
      <c r="H7" s="203">
        <v>117</v>
      </c>
      <c r="I7" s="204"/>
    </row>
    <row r="8" spans="1:9" ht="12.75">
      <c r="A8" s="205"/>
      <c r="B8" s="205" t="s">
        <v>260</v>
      </c>
      <c r="C8" s="203">
        <v>41.83</v>
      </c>
      <c r="D8" s="203">
        <v>41.83</v>
      </c>
      <c r="E8" s="203">
        <v>41.83</v>
      </c>
      <c r="F8" s="203">
        <v>41.83</v>
      </c>
      <c r="G8" s="203">
        <v>41.75</v>
      </c>
      <c r="H8" s="203">
        <v>41.75</v>
      </c>
      <c r="I8" s="204"/>
    </row>
    <row r="9" spans="1:9" ht="25.5">
      <c r="A9" s="205"/>
      <c r="B9" s="209" t="s">
        <v>261</v>
      </c>
      <c r="C9" s="203" t="s">
        <v>262</v>
      </c>
      <c r="D9" s="203" t="s">
        <v>262</v>
      </c>
      <c r="E9" s="203" t="s">
        <v>263</v>
      </c>
      <c r="F9" s="203" t="s">
        <v>263</v>
      </c>
      <c r="G9" s="203" t="s">
        <v>263</v>
      </c>
      <c r="H9" s="203" t="s">
        <v>263</v>
      </c>
      <c r="I9" s="204"/>
    </row>
    <row r="10" spans="1:9" ht="12.75">
      <c r="A10" s="205"/>
      <c r="B10" s="205" t="s">
        <v>264</v>
      </c>
      <c r="C10" s="203" t="s">
        <v>265</v>
      </c>
      <c r="D10" s="203" t="s">
        <v>265</v>
      </c>
      <c r="E10" s="203" t="s">
        <v>265</v>
      </c>
      <c r="F10" s="203" t="s">
        <v>265</v>
      </c>
      <c r="G10" s="203" t="s">
        <v>265</v>
      </c>
      <c r="H10" s="203" t="s">
        <v>265</v>
      </c>
      <c r="I10" s="204"/>
    </row>
    <row r="11" spans="1:9" ht="12.75">
      <c r="A11" s="205"/>
      <c r="B11" s="205" t="s">
        <v>266</v>
      </c>
      <c r="C11" s="203">
        <v>0</v>
      </c>
      <c r="D11" s="203">
        <v>0</v>
      </c>
      <c r="E11" s="203">
        <v>0</v>
      </c>
      <c r="F11" s="203">
        <v>0</v>
      </c>
      <c r="G11" s="203">
        <v>0</v>
      </c>
      <c r="H11" s="203">
        <v>0</v>
      </c>
      <c r="I11" s="204"/>
    </row>
    <row r="12" spans="1:9" ht="12.75">
      <c r="A12" s="205" t="s">
        <v>267</v>
      </c>
      <c r="B12" s="205"/>
      <c r="C12" s="203"/>
      <c r="D12" s="203"/>
      <c r="E12" s="203"/>
      <c r="F12" s="203"/>
      <c r="G12" s="203"/>
      <c r="H12" s="203"/>
      <c r="I12" s="204"/>
    </row>
    <row r="13" spans="1:9" ht="12.75">
      <c r="A13" s="210"/>
      <c r="B13" s="210" t="s">
        <v>268</v>
      </c>
      <c r="C13" s="211">
        <v>0.99</v>
      </c>
      <c r="D13" s="211">
        <v>0.99</v>
      </c>
      <c r="E13" s="211">
        <v>0.99</v>
      </c>
      <c r="F13" s="211">
        <v>0.99</v>
      </c>
      <c r="G13" s="211">
        <v>0.99</v>
      </c>
      <c r="H13" s="211">
        <v>0.99</v>
      </c>
      <c r="I13" s="204"/>
    </row>
    <row r="14" spans="1:9" ht="12.75">
      <c r="A14" s="212"/>
      <c r="B14" s="212" t="s">
        <v>269</v>
      </c>
      <c r="C14" s="213">
        <v>79976</v>
      </c>
      <c r="D14" s="213">
        <v>79976</v>
      </c>
      <c r="E14" s="213">
        <v>80000</v>
      </c>
      <c r="F14" s="213">
        <v>80000</v>
      </c>
      <c r="G14" s="213">
        <v>76000</v>
      </c>
      <c r="H14" s="213">
        <v>76000</v>
      </c>
      <c r="I14" s="204"/>
    </row>
    <row r="15" spans="1:9" ht="25.5">
      <c r="A15" s="205"/>
      <c r="B15" s="209" t="s">
        <v>270</v>
      </c>
      <c r="C15" s="203"/>
      <c r="D15" s="203"/>
      <c r="E15" s="203"/>
      <c r="F15" s="203"/>
      <c r="G15" s="203"/>
      <c r="H15" s="203"/>
      <c r="I15" s="204"/>
    </row>
    <row r="16" spans="1:9" ht="25.5">
      <c r="A16" s="214"/>
      <c r="B16" s="215" t="s">
        <v>271</v>
      </c>
      <c r="C16" s="216">
        <v>8.366</v>
      </c>
      <c r="D16" s="216">
        <v>8.366</v>
      </c>
      <c r="E16" s="216">
        <v>8.366</v>
      </c>
      <c r="F16" s="216">
        <v>8.366</v>
      </c>
      <c r="G16" s="216">
        <v>8.35</v>
      </c>
      <c r="H16" s="216">
        <v>8.35</v>
      </c>
      <c r="I16" s="204"/>
    </row>
    <row r="17" spans="1:9" ht="12.75">
      <c r="A17" s="205"/>
      <c r="B17" s="205" t="s">
        <v>272</v>
      </c>
      <c r="C17" s="203"/>
      <c r="D17" s="203"/>
      <c r="E17" s="203"/>
      <c r="F17" s="203"/>
      <c r="G17" s="203"/>
      <c r="H17" s="203"/>
      <c r="I17" s="204"/>
    </row>
    <row r="18" spans="1:9" ht="12.75">
      <c r="A18" s="205"/>
      <c r="B18" s="205"/>
      <c r="C18" s="203"/>
      <c r="D18" s="203"/>
      <c r="E18" s="203"/>
      <c r="F18" s="203"/>
      <c r="G18" s="203"/>
      <c r="H18" s="203"/>
      <c r="I18" s="204"/>
    </row>
    <row r="19" spans="1:9" ht="12.75">
      <c r="A19" s="205" t="s">
        <v>273</v>
      </c>
      <c r="B19" s="205"/>
      <c r="C19" s="203"/>
      <c r="D19" s="203"/>
      <c r="E19" s="203"/>
      <c r="F19" s="203"/>
      <c r="G19" s="203"/>
      <c r="H19" s="203"/>
      <c r="I19" s="204"/>
    </row>
    <row r="20" spans="1:9" ht="12.75">
      <c r="A20" s="202"/>
      <c r="B20" s="208" t="s">
        <v>274</v>
      </c>
      <c r="C20" s="217" t="s">
        <v>214</v>
      </c>
      <c r="D20" s="217" t="s">
        <v>214</v>
      </c>
      <c r="E20" s="217" t="s">
        <v>275</v>
      </c>
      <c r="F20" s="217" t="s">
        <v>276</v>
      </c>
      <c r="G20" s="217" t="s">
        <v>277</v>
      </c>
      <c r="H20" s="217" t="s">
        <v>277</v>
      </c>
      <c r="I20" s="204"/>
    </row>
    <row r="21" spans="1:9" ht="12.75">
      <c r="A21" s="205"/>
      <c r="B21" s="205" t="s">
        <v>278</v>
      </c>
      <c r="C21" s="217">
        <v>3</v>
      </c>
      <c r="D21" s="217">
        <v>3</v>
      </c>
      <c r="E21" s="217">
        <v>0.00019</v>
      </c>
      <c r="F21" s="217">
        <v>0.3</v>
      </c>
      <c r="G21" s="217">
        <v>4</v>
      </c>
      <c r="H21" s="217">
        <v>4</v>
      </c>
      <c r="I21" s="204"/>
    </row>
    <row r="22" spans="1:9" ht="12.75">
      <c r="A22" s="205"/>
      <c r="B22" s="205" t="s">
        <v>279</v>
      </c>
      <c r="C22" s="217">
        <v>80</v>
      </c>
      <c r="D22" s="217">
        <v>80</v>
      </c>
      <c r="E22" s="217">
        <v>190</v>
      </c>
      <c r="F22" s="217">
        <v>190</v>
      </c>
      <c r="G22" s="217">
        <v>50</v>
      </c>
      <c r="H22" s="217">
        <v>50</v>
      </c>
      <c r="I22" s="204"/>
    </row>
    <row r="23" spans="1:9" ht="12.75">
      <c r="A23" s="212"/>
      <c r="B23" s="212" t="s">
        <v>280</v>
      </c>
      <c r="C23" s="218">
        <v>1039690</v>
      </c>
      <c r="D23" s="218">
        <v>1825000</v>
      </c>
      <c r="E23" s="218">
        <v>1760000</v>
      </c>
      <c r="F23" s="218">
        <v>1825000</v>
      </c>
      <c r="G23" s="218">
        <v>4000000</v>
      </c>
      <c r="H23" s="218">
        <v>5475000</v>
      </c>
      <c r="I23" s="204"/>
    </row>
    <row r="24" spans="1:9" ht="12.75">
      <c r="A24" s="205"/>
      <c r="B24" s="205" t="s">
        <v>281</v>
      </c>
      <c r="C24" s="217">
        <v>365</v>
      </c>
      <c r="D24" s="217">
        <v>365</v>
      </c>
      <c r="E24" s="217">
        <v>365</v>
      </c>
      <c r="F24" s="217">
        <v>365</v>
      </c>
      <c r="G24" s="217">
        <v>365</v>
      </c>
      <c r="H24" s="217">
        <v>365</v>
      </c>
      <c r="I24" s="204"/>
    </row>
    <row r="25" spans="1:9" ht="12.75">
      <c r="A25" s="205"/>
      <c r="B25" s="205"/>
      <c r="C25" s="203"/>
      <c r="D25" s="203"/>
      <c r="E25" s="203"/>
      <c r="F25" s="203"/>
      <c r="G25" s="203"/>
      <c r="H25" s="203"/>
      <c r="I25" s="204"/>
    </row>
    <row r="26" spans="1:9" ht="12.75">
      <c r="A26" s="219"/>
      <c r="B26" s="219"/>
      <c r="C26" s="220"/>
      <c r="D26" s="220"/>
      <c r="E26" s="220"/>
      <c r="F26" s="220"/>
      <c r="G26" s="220"/>
      <c r="H26" s="220"/>
      <c r="I26" s="204"/>
    </row>
    <row r="27" spans="1:9" ht="12.75">
      <c r="A27" s="219"/>
      <c r="B27" s="219"/>
      <c r="C27" s="221"/>
      <c r="D27" s="221"/>
      <c r="E27" s="221"/>
      <c r="F27" s="221"/>
      <c r="G27" s="221"/>
      <c r="H27" s="221"/>
      <c r="I27" s="204"/>
    </row>
    <row r="28" spans="1:9" ht="12.75">
      <c r="A28" s="219"/>
      <c r="B28" s="219"/>
      <c r="C28" s="221"/>
      <c r="D28" s="221"/>
      <c r="E28" s="221"/>
      <c r="F28" s="221"/>
      <c r="G28" s="221"/>
      <c r="H28" s="221"/>
      <c r="I28" s="204"/>
    </row>
    <row r="29" spans="1:9" ht="12.75">
      <c r="A29" s="205">
        <v>1</v>
      </c>
      <c r="B29" s="205" t="s">
        <v>250</v>
      </c>
      <c r="C29" s="222">
        <v>80042</v>
      </c>
      <c r="D29" s="222">
        <v>80042</v>
      </c>
      <c r="E29" s="222">
        <v>80058</v>
      </c>
      <c r="F29" s="222">
        <v>80058</v>
      </c>
      <c r="G29" s="222">
        <v>80082</v>
      </c>
      <c r="H29" s="222">
        <v>80082</v>
      </c>
      <c r="I29" s="204"/>
    </row>
    <row r="30" spans="1:9" ht="12.75">
      <c r="A30" s="202">
        <v>2</v>
      </c>
      <c r="B30" s="208" t="s">
        <v>274</v>
      </c>
      <c r="C30" s="222" t="s">
        <v>214</v>
      </c>
      <c r="D30" s="222" t="s">
        <v>214</v>
      </c>
      <c r="E30" s="222" t="s">
        <v>275</v>
      </c>
      <c r="F30" s="222" t="s">
        <v>276</v>
      </c>
      <c r="G30" s="222" t="s">
        <v>277</v>
      </c>
      <c r="H30" s="222" t="s">
        <v>277</v>
      </c>
      <c r="I30" s="204"/>
    </row>
    <row r="31" spans="1:9" ht="12.75">
      <c r="A31" s="202">
        <v>3</v>
      </c>
      <c r="B31" s="208" t="s">
        <v>257</v>
      </c>
      <c r="C31" s="222" t="s">
        <v>258</v>
      </c>
      <c r="D31" s="222" t="s">
        <v>258</v>
      </c>
      <c r="E31" s="222" t="s">
        <v>258</v>
      </c>
      <c r="F31" s="222" t="s">
        <v>258</v>
      </c>
      <c r="G31" s="222" t="s">
        <v>258</v>
      </c>
      <c r="H31" s="222" t="s">
        <v>258</v>
      </c>
      <c r="I31" s="204"/>
    </row>
    <row r="32" spans="1:9" ht="12.75">
      <c r="A32" s="223">
        <v>4</v>
      </c>
      <c r="B32" s="214" t="s">
        <v>259</v>
      </c>
      <c r="C32" s="224">
        <v>117</v>
      </c>
      <c r="D32" s="224">
        <v>117</v>
      </c>
      <c r="E32" s="224">
        <v>117</v>
      </c>
      <c r="F32" s="224">
        <v>117</v>
      </c>
      <c r="G32" s="224">
        <v>117</v>
      </c>
      <c r="H32" s="224">
        <v>117</v>
      </c>
      <c r="I32" s="204"/>
    </row>
    <row r="33" spans="1:9" ht="12.75">
      <c r="A33" s="223">
        <v>5</v>
      </c>
      <c r="B33" s="214" t="s">
        <v>260</v>
      </c>
      <c r="C33" s="224">
        <v>41.83</v>
      </c>
      <c r="D33" s="224">
        <v>41.83</v>
      </c>
      <c r="E33" s="224">
        <v>41.83</v>
      </c>
      <c r="F33" s="224">
        <v>41.83</v>
      </c>
      <c r="G33" s="224">
        <v>41.75</v>
      </c>
      <c r="H33" s="224">
        <v>41.75</v>
      </c>
      <c r="I33" s="204"/>
    </row>
    <row r="34" spans="1:9" ht="12.75">
      <c r="A34" s="212">
        <v>6</v>
      </c>
      <c r="B34" s="212" t="s">
        <v>282</v>
      </c>
      <c r="C34" s="225">
        <v>1039690</v>
      </c>
      <c r="D34" s="225">
        <v>1825000</v>
      </c>
      <c r="E34" s="225">
        <v>1760000</v>
      </c>
      <c r="F34" s="225">
        <v>1825000</v>
      </c>
      <c r="G34" s="225">
        <v>4000000</v>
      </c>
      <c r="H34" s="225">
        <v>5475000</v>
      </c>
      <c r="I34" s="204"/>
    </row>
    <row r="35" spans="1:9" ht="12.75">
      <c r="A35" s="205">
        <v>7</v>
      </c>
      <c r="B35" s="205" t="s">
        <v>283</v>
      </c>
      <c r="C35" s="225">
        <v>13.00002500750225</v>
      </c>
      <c r="D35" s="225">
        <v>22.819345803741122</v>
      </c>
      <c r="E35" s="225">
        <v>22</v>
      </c>
      <c r="F35" s="225">
        <v>22.8125</v>
      </c>
      <c r="G35" s="225">
        <v>52.63157894736842</v>
      </c>
      <c r="H35" s="225">
        <v>72.03947368421052</v>
      </c>
      <c r="I35" s="204"/>
    </row>
    <row r="36" spans="1:9" ht="12.75">
      <c r="A36" s="205">
        <v>8</v>
      </c>
      <c r="B36" s="205" t="s">
        <v>284</v>
      </c>
      <c r="C36" s="225">
        <v>103048.67084323172</v>
      </c>
      <c r="D36" s="225">
        <v>103048.67084323172</v>
      </c>
      <c r="E36" s="225">
        <v>103048.67084323172</v>
      </c>
      <c r="F36" s="225">
        <v>103048.67084323172</v>
      </c>
      <c r="G36" s="225">
        <v>102876.64979589176</v>
      </c>
      <c r="H36" s="225">
        <v>102876.64979589176</v>
      </c>
      <c r="I36" s="204"/>
    </row>
    <row r="37" spans="1:9" ht="12.75">
      <c r="A37" s="205">
        <v>9</v>
      </c>
      <c r="B37" s="205" t="s">
        <v>285</v>
      </c>
      <c r="C37" s="226">
        <v>0.01781631646626234</v>
      </c>
      <c r="D37" s="226">
        <v>0.01781631646626234</v>
      </c>
      <c r="E37" s="226">
        <v>6.30829087940944E-05</v>
      </c>
      <c r="F37" s="226">
        <v>0.009960459283278062</v>
      </c>
      <c r="G37" s="226">
        <v>0.024314498992219807</v>
      </c>
      <c r="H37" s="226">
        <v>0.034948979941326536</v>
      </c>
      <c r="I37" s="204"/>
    </row>
    <row r="38" spans="1:9" ht="12.75">
      <c r="A38" s="205">
        <v>10</v>
      </c>
      <c r="B38" s="205" t="s">
        <v>286</v>
      </c>
      <c r="C38" s="226">
        <v>0.06533130514718169</v>
      </c>
      <c r="D38" s="226">
        <v>0.06533130514718169</v>
      </c>
      <c r="E38" s="226">
        <v>0.07729532503915047</v>
      </c>
      <c r="F38" s="226">
        <v>0.08312962135695133</v>
      </c>
      <c r="G38" s="226">
        <v>0.17604428740187122</v>
      </c>
      <c r="H38" s="226">
        <v>0.18681301000779305</v>
      </c>
      <c r="I38" s="204"/>
    </row>
    <row r="39" spans="1:9" ht="12.75">
      <c r="A39" s="205">
        <v>11</v>
      </c>
      <c r="B39" s="205" t="s">
        <v>287</v>
      </c>
      <c r="C39" s="226">
        <v>0.6106852953527498</v>
      </c>
      <c r="D39" s="226">
        <v>0.6106852953527498</v>
      </c>
      <c r="E39" s="226">
        <v>0.999035746357501</v>
      </c>
      <c r="F39" s="226">
        <v>0.867756115668506</v>
      </c>
      <c r="G39" s="226">
        <v>0.41471263048561025</v>
      </c>
      <c r="H39" s="226">
        <v>0.3301882898722997</v>
      </c>
      <c r="I39" s="204"/>
    </row>
    <row r="40" spans="1:9" ht="12.75">
      <c r="A40" s="205">
        <v>12</v>
      </c>
      <c r="B40" s="205" t="s">
        <v>279</v>
      </c>
      <c r="C40" s="226">
        <v>80</v>
      </c>
      <c r="D40" s="226">
        <v>80</v>
      </c>
      <c r="E40" s="226">
        <v>190</v>
      </c>
      <c r="F40" s="226">
        <v>190</v>
      </c>
      <c r="G40" s="226">
        <v>50</v>
      </c>
      <c r="H40" s="226">
        <v>50</v>
      </c>
      <c r="I40" s="204"/>
    </row>
    <row r="41" spans="1:9" ht="12.75">
      <c r="A41" s="205">
        <v>13</v>
      </c>
      <c r="B41" s="205" t="s">
        <v>288</v>
      </c>
      <c r="C41" s="227">
        <v>1.254950759084463</v>
      </c>
      <c r="D41" s="227">
        <v>1.254950759084463</v>
      </c>
      <c r="E41" s="227">
        <v>0.0019</v>
      </c>
      <c r="F41" s="227">
        <v>0.3</v>
      </c>
      <c r="G41" s="227">
        <v>2.782856499164183</v>
      </c>
      <c r="H41" s="227">
        <v>4</v>
      </c>
      <c r="I41" s="204"/>
    </row>
    <row r="42" spans="1:9" ht="12.75">
      <c r="A42" s="205">
        <v>14</v>
      </c>
      <c r="B42" s="205" t="s">
        <v>289</v>
      </c>
      <c r="C42" s="226">
        <v>1</v>
      </c>
      <c r="D42" s="226">
        <v>0.8240036529680367</v>
      </c>
      <c r="E42" s="226">
        <v>0.8484848484848485</v>
      </c>
      <c r="F42" s="226">
        <v>0.8242009132420092</v>
      </c>
      <c r="G42" s="226">
        <v>0.45166666666666666</v>
      </c>
      <c r="H42" s="226">
        <v>0.37488584474885844</v>
      </c>
      <c r="I42" s="204"/>
    </row>
    <row r="43" spans="1:9" ht="12.75">
      <c r="A43" s="205">
        <v>15</v>
      </c>
      <c r="B43" s="205" t="s">
        <v>290</v>
      </c>
      <c r="C43" s="222">
        <v>1</v>
      </c>
      <c r="D43" s="222">
        <v>1</v>
      </c>
      <c r="E43" s="222">
        <v>1</v>
      </c>
      <c r="F43" s="222">
        <v>1</v>
      </c>
      <c r="G43" s="222">
        <v>0.75</v>
      </c>
      <c r="H43" s="222">
        <v>0.75</v>
      </c>
      <c r="I43" s="204"/>
    </row>
    <row r="44" spans="1:9" ht="12.75">
      <c r="A44" s="205"/>
      <c r="B44" s="205" t="s">
        <v>291</v>
      </c>
      <c r="C44" s="222">
        <v>365</v>
      </c>
      <c r="D44" s="222">
        <v>365</v>
      </c>
      <c r="E44" s="222">
        <v>365</v>
      </c>
      <c r="F44" s="222">
        <v>365</v>
      </c>
      <c r="G44" s="222">
        <v>365</v>
      </c>
      <c r="H44" s="222">
        <v>365</v>
      </c>
      <c r="I44" s="204"/>
    </row>
    <row r="45" spans="1:9" ht="12.75">
      <c r="A45" s="205">
        <v>16</v>
      </c>
      <c r="B45" s="205" t="s">
        <v>292</v>
      </c>
      <c r="C45" s="225">
        <v>26735.725548425875</v>
      </c>
      <c r="D45" s="225">
        <v>26735.725548425875</v>
      </c>
      <c r="E45" s="225">
        <v>183.2235212847689</v>
      </c>
      <c r="F45" s="225">
        <v>27025.149736567582</v>
      </c>
      <c r="G45" s="225">
        <v>66656.76029216396</v>
      </c>
      <c r="H45" s="225">
        <v>80949.27562313827</v>
      </c>
      <c r="I45" s="204"/>
    </row>
    <row r="46" spans="1:9" ht="12.75">
      <c r="A46" s="205">
        <v>17</v>
      </c>
      <c r="B46" s="205" t="s">
        <v>293</v>
      </c>
      <c r="C46" s="225">
        <v>104380.78037700204</v>
      </c>
      <c r="D46" s="225">
        <v>150976.26542796878</v>
      </c>
      <c r="E46" s="225">
        <v>539.0933333333332</v>
      </c>
      <c r="F46" s="225">
        <v>85737.5</v>
      </c>
      <c r="G46" s="225">
        <v>188538.52781837338</v>
      </c>
      <c r="H46" s="225">
        <v>307875</v>
      </c>
      <c r="I46" s="204"/>
    </row>
    <row r="47" spans="1:9" ht="12.75">
      <c r="A47" s="205">
        <v>18</v>
      </c>
      <c r="B47" s="205" t="s">
        <v>266</v>
      </c>
      <c r="C47" s="225"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04"/>
    </row>
    <row r="48" spans="1:9" ht="12.75">
      <c r="A48" s="205">
        <v>19</v>
      </c>
      <c r="B48" s="205" t="s">
        <v>294</v>
      </c>
      <c r="C48" s="225">
        <v>131116.50592542792</v>
      </c>
      <c r="D48" s="225">
        <v>177711.99097639465</v>
      </c>
      <c r="E48" s="225">
        <v>722.3168546181022</v>
      </c>
      <c r="F48" s="225">
        <v>112762.64973656758</v>
      </c>
      <c r="G48" s="225">
        <v>255195.28811053734</v>
      </c>
      <c r="H48" s="225">
        <v>388824.2756231383</v>
      </c>
      <c r="I48" s="204"/>
    </row>
    <row r="49" spans="1:9" ht="12.75">
      <c r="A49" s="223">
        <v>20</v>
      </c>
      <c r="B49" s="210" t="s">
        <v>268</v>
      </c>
      <c r="C49" s="228">
        <v>0.99</v>
      </c>
      <c r="D49" s="228">
        <v>0.99</v>
      </c>
      <c r="E49" s="228">
        <v>0.99</v>
      </c>
      <c r="F49" s="228">
        <v>0.99</v>
      </c>
      <c r="G49" s="228">
        <v>0.99</v>
      </c>
      <c r="H49" s="228">
        <v>0.99</v>
      </c>
      <c r="I49" s="204"/>
    </row>
    <row r="50" spans="1:9" ht="12.75">
      <c r="A50" s="205">
        <v>21</v>
      </c>
      <c r="B50" s="205" t="s">
        <v>295</v>
      </c>
      <c r="C50" s="229">
        <v>1311.1650592542803</v>
      </c>
      <c r="D50" s="229">
        <v>1777.119909763948</v>
      </c>
      <c r="E50" s="229">
        <v>7.223168546181029</v>
      </c>
      <c r="F50" s="229">
        <v>1127.6264973656766</v>
      </c>
      <c r="G50" s="229">
        <v>2551.9528811053756</v>
      </c>
      <c r="H50" s="229">
        <v>3888.2427562313865</v>
      </c>
      <c r="I50" s="204"/>
    </row>
    <row r="51" spans="1:9" ht="12.75">
      <c r="A51" s="230">
        <v>22</v>
      </c>
      <c r="B51" s="231" t="s">
        <v>296</v>
      </c>
      <c r="C51" s="232"/>
      <c r="D51" s="233">
        <f>+(D50-C50)/365</f>
        <v>1.2765886315333361</v>
      </c>
      <c r="E51" s="233"/>
      <c r="F51" s="233">
        <f>+(F50-E50)/365</f>
        <v>3.069598161149303</v>
      </c>
      <c r="G51" s="233"/>
      <c r="H51" s="233">
        <f>+(H50-G50)/365</f>
        <v>3.661068151030167</v>
      </c>
      <c r="I51" s="204"/>
    </row>
    <row r="52" spans="1:9" ht="12.75">
      <c r="A52" s="230">
        <v>23</v>
      </c>
      <c r="B52" s="231" t="s">
        <v>297</v>
      </c>
      <c r="C52" s="234">
        <f>SUM(C51:H51)</f>
        <v>8.007254943712805</v>
      </c>
      <c r="D52" s="234"/>
      <c r="E52" s="234"/>
      <c r="F52" s="234"/>
      <c r="G52" s="234"/>
      <c r="H52" s="234"/>
      <c r="I52" s="204"/>
    </row>
    <row r="53" spans="1:9" ht="12.75">
      <c r="A53" s="205"/>
      <c r="B53" s="231"/>
      <c r="C53" s="235"/>
      <c r="D53" s="235"/>
      <c r="E53" s="235"/>
      <c r="F53" s="235"/>
      <c r="G53" s="235"/>
      <c r="H53" s="235"/>
      <c r="I53" s="204"/>
    </row>
    <row r="54" spans="1:9" ht="12.75">
      <c r="A54" s="205" t="s">
        <v>298</v>
      </c>
      <c r="B54" s="205"/>
      <c r="C54" s="202"/>
      <c r="D54" s="202"/>
      <c r="E54" s="202"/>
      <c r="F54" s="202"/>
      <c r="G54" s="202"/>
      <c r="H54" s="202"/>
      <c r="I54" s="204"/>
    </row>
    <row r="55" spans="1:9" ht="12.75">
      <c r="A55" s="205" t="s">
        <v>299</v>
      </c>
      <c r="B55" s="205" t="s">
        <v>300</v>
      </c>
      <c r="C55" s="236">
        <v>20.599</v>
      </c>
      <c r="D55" s="236">
        <v>20.599</v>
      </c>
      <c r="E55" s="236">
        <v>43.396</v>
      </c>
      <c r="F55" s="236">
        <v>43.396</v>
      </c>
      <c r="G55" s="236">
        <v>43.396</v>
      </c>
      <c r="H55" s="236">
        <v>43.396</v>
      </c>
      <c r="I55" s="204"/>
    </row>
    <row r="56" spans="1:9" ht="12.75">
      <c r="A56" s="212" t="s">
        <v>299</v>
      </c>
      <c r="B56" s="212" t="s">
        <v>301</v>
      </c>
      <c r="C56" s="236">
        <v>519.97025</v>
      </c>
      <c r="D56" s="236">
        <v>519.97025</v>
      </c>
      <c r="E56" s="236">
        <v>522.4309999999999</v>
      </c>
      <c r="F56" s="236">
        <v>522.4309999999999</v>
      </c>
      <c r="G56" s="236">
        <v>522.4309999999999</v>
      </c>
      <c r="H56" s="236">
        <v>522.4309999999999</v>
      </c>
      <c r="I56" s="204"/>
    </row>
    <row r="57" spans="1:9" ht="12.75">
      <c r="A57" s="212" t="s">
        <v>299</v>
      </c>
      <c r="B57" s="212" t="s">
        <v>302</v>
      </c>
      <c r="C57" s="236">
        <v>525.12</v>
      </c>
      <c r="D57" s="236">
        <v>525.12</v>
      </c>
      <c r="E57" s="236">
        <v>533.28</v>
      </c>
      <c r="F57" s="236">
        <v>533.28</v>
      </c>
      <c r="G57" s="236">
        <v>533.28</v>
      </c>
      <c r="H57" s="236">
        <v>533.28</v>
      </c>
      <c r="I57" s="204"/>
    </row>
    <row r="58" spans="1:9" ht="12.75">
      <c r="A58" s="212" t="s">
        <v>299</v>
      </c>
      <c r="B58" s="212" t="s">
        <v>303</v>
      </c>
      <c r="C58" s="236">
        <v>530.26975</v>
      </c>
      <c r="D58" s="236">
        <v>530.26975</v>
      </c>
      <c r="E58" s="236">
        <v>544.129</v>
      </c>
      <c r="F58" s="236">
        <v>544.129</v>
      </c>
      <c r="G58" s="236">
        <v>544.129</v>
      </c>
      <c r="H58" s="236">
        <v>544.129</v>
      </c>
      <c r="I58" s="204"/>
    </row>
    <row r="59" spans="1:9" ht="12.75">
      <c r="A59" s="205" t="s">
        <v>299</v>
      </c>
      <c r="B59" s="205" t="s">
        <v>304</v>
      </c>
      <c r="C59" s="237">
        <v>1.0641958098936506</v>
      </c>
      <c r="D59" s="237">
        <v>1.0641958098936506</v>
      </c>
      <c r="E59" s="237">
        <v>2.862090062952818E-05</v>
      </c>
      <c r="F59" s="237">
        <v>0.08984826950002858</v>
      </c>
      <c r="G59" s="237">
        <v>2.2397184720240384</v>
      </c>
      <c r="H59" s="237">
        <v>2.2397184720240384</v>
      </c>
      <c r="I59" s="204"/>
    </row>
    <row r="60" spans="1:9" ht="12.75">
      <c r="A60" s="205" t="s">
        <v>299</v>
      </c>
      <c r="B60" s="205" t="s">
        <v>305</v>
      </c>
      <c r="C60" s="237">
        <v>1.254950759084463</v>
      </c>
      <c r="D60" s="237">
        <v>1.254950759084463</v>
      </c>
      <c r="E60" s="237">
        <v>0.0019</v>
      </c>
      <c r="F60" s="237">
        <v>0.3</v>
      </c>
      <c r="G60" s="237">
        <v>2.782856499164183</v>
      </c>
      <c r="H60" s="237">
        <v>4</v>
      </c>
      <c r="I60" s="204"/>
    </row>
    <row r="61" spans="1:9" ht="12.75">
      <c r="A61" s="205" t="s">
        <v>299</v>
      </c>
      <c r="B61" s="205" t="s">
        <v>306</v>
      </c>
      <c r="C61" s="237">
        <v>1.4751664628979901</v>
      </c>
      <c r="D61" s="237">
        <v>1.4751664628979901</v>
      </c>
      <c r="E61" s="237">
        <v>5.57793827194136E-05</v>
      </c>
      <c r="F61" s="237">
        <v>0.1751056361220359</v>
      </c>
      <c r="G61" s="237">
        <v>3.4278983571752306</v>
      </c>
      <c r="H61" s="237">
        <v>3.4278983571752306</v>
      </c>
      <c r="I61" s="204"/>
    </row>
    <row r="62" spans="1:9" ht="12.75">
      <c r="A62" s="205" t="s">
        <v>299</v>
      </c>
      <c r="B62" s="205" t="s">
        <v>307</v>
      </c>
      <c r="C62" s="236">
        <v>0.41097065300433955</v>
      </c>
      <c r="D62" s="236">
        <v>0.41097065300433955</v>
      </c>
      <c r="E62" s="236">
        <v>2.7158482089885417E-05</v>
      </c>
      <c r="F62" s="236">
        <v>0.08525736662200731</v>
      </c>
      <c r="G62" s="236">
        <v>1.1881798851511922</v>
      </c>
      <c r="H62" s="236">
        <v>1.1881798851511922</v>
      </c>
      <c r="I62" s="204"/>
    </row>
    <row r="63" spans="1:9" ht="12.75">
      <c r="A63" s="205" t="s">
        <v>299</v>
      </c>
      <c r="B63" s="205" t="s">
        <v>308</v>
      </c>
      <c r="C63" s="236">
        <v>9.58475</v>
      </c>
      <c r="D63" s="236">
        <v>9.58475</v>
      </c>
      <c r="E63" s="236">
        <v>9.58475</v>
      </c>
      <c r="F63" s="236">
        <v>9.58475</v>
      </c>
      <c r="G63" s="236">
        <v>9.56875</v>
      </c>
      <c r="H63" s="236">
        <v>9.56875</v>
      </c>
      <c r="I63" s="204"/>
    </row>
    <row r="64" spans="1:9" ht="12.75">
      <c r="A64" s="205" t="s">
        <v>299</v>
      </c>
      <c r="B64" s="205" t="s">
        <v>309</v>
      </c>
      <c r="C64" s="236">
        <v>1.21875</v>
      </c>
      <c r="D64" s="236">
        <v>1.21875</v>
      </c>
      <c r="E64" s="236">
        <v>1.21875</v>
      </c>
      <c r="F64" s="236">
        <v>1.21875</v>
      </c>
      <c r="G64" s="236">
        <v>1.21875</v>
      </c>
      <c r="H64" s="236">
        <v>1.21875</v>
      </c>
      <c r="I64" s="204"/>
    </row>
    <row r="65" spans="1:9" ht="12.75">
      <c r="A65" s="238" t="s">
        <v>299</v>
      </c>
      <c r="B65" s="238" t="s">
        <v>310</v>
      </c>
      <c r="C65" s="236">
        <v>0.17</v>
      </c>
      <c r="D65" s="236">
        <v>0.17</v>
      </c>
      <c r="E65" s="236">
        <v>0.68</v>
      </c>
      <c r="F65" s="236">
        <v>0.68</v>
      </c>
      <c r="G65" s="236">
        <v>0.68</v>
      </c>
      <c r="H65" s="236">
        <v>0.68</v>
      </c>
      <c r="I65" s="204"/>
    </row>
    <row r="66" spans="1:9" ht="12.75">
      <c r="A66" s="238"/>
      <c r="B66" s="238"/>
      <c r="C66" s="236"/>
      <c r="D66" s="236"/>
      <c r="E66" s="236"/>
      <c r="F66" s="236"/>
      <c r="G66" s="236"/>
      <c r="H66" s="236"/>
      <c r="I66" s="204"/>
    </row>
    <row r="67" spans="1:9" ht="12.75">
      <c r="A67" s="238" t="s">
        <v>311</v>
      </c>
      <c r="B67" s="238"/>
      <c r="C67" s="236"/>
      <c r="D67" s="236"/>
      <c r="E67" s="236"/>
      <c r="F67" s="236"/>
      <c r="G67" s="236"/>
      <c r="H67" s="236"/>
      <c r="I67" s="204"/>
    </row>
    <row r="68" spans="1:9" ht="12.75">
      <c r="A68" s="238"/>
      <c r="B68" s="238"/>
      <c r="C68" s="236"/>
      <c r="D68" s="236"/>
      <c r="E68" s="236"/>
      <c r="F68" s="236"/>
      <c r="G68" s="236"/>
      <c r="H68" s="236"/>
      <c r="I68" s="204"/>
    </row>
    <row r="69" spans="1:9" ht="12.75">
      <c r="A69" s="205" t="s">
        <v>299</v>
      </c>
      <c r="B69" s="205" t="s">
        <v>312</v>
      </c>
      <c r="C69" s="236">
        <v>0.0625</v>
      </c>
      <c r="D69" s="236">
        <v>0.0625</v>
      </c>
      <c r="E69" s="236">
        <v>0.0625</v>
      </c>
      <c r="F69" s="236">
        <v>0.0625</v>
      </c>
      <c r="G69" s="236">
        <v>0.0625</v>
      </c>
      <c r="H69" s="236">
        <v>0.0625</v>
      </c>
      <c r="I69" s="204"/>
    </row>
    <row r="70" spans="1:9" ht="12.75">
      <c r="A70" s="205" t="s">
        <v>299</v>
      </c>
      <c r="B70" s="205" t="s">
        <v>313</v>
      </c>
      <c r="C70" s="236">
        <v>10.731</v>
      </c>
      <c r="D70" s="236">
        <v>10.731</v>
      </c>
      <c r="E70" s="236">
        <v>10.731</v>
      </c>
      <c r="F70" s="236">
        <v>10.731</v>
      </c>
      <c r="G70" s="236">
        <v>10.731</v>
      </c>
      <c r="H70" s="236">
        <v>10.731</v>
      </c>
      <c r="I70" s="204"/>
    </row>
    <row r="71" spans="1:9" ht="12.75">
      <c r="A71" s="205"/>
      <c r="B71" s="205" t="s">
        <v>314</v>
      </c>
      <c r="C71" s="236">
        <v>0.06</v>
      </c>
      <c r="D71" s="236">
        <v>0.06</v>
      </c>
      <c r="E71" s="236">
        <v>0.06</v>
      </c>
      <c r="F71" s="236">
        <v>0.06</v>
      </c>
      <c r="G71" s="236">
        <v>0.06</v>
      </c>
      <c r="H71" s="236">
        <v>0.06</v>
      </c>
      <c r="I71" s="204"/>
    </row>
    <row r="72" spans="1:9" ht="12.75">
      <c r="A72" s="205"/>
      <c r="B72" s="205" t="s">
        <v>315</v>
      </c>
      <c r="C72" s="236">
        <v>14.7</v>
      </c>
      <c r="D72" s="236">
        <v>14.7</v>
      </c>
      <c r="E72" s="236">
        <v>14.7</v>
      </c>
      <c r="F72" s="236">
        <v>14.7</v>
      </c>
      <c r="G72" s="236">
        <v>14.7</v>
      </c>
      <c r="H72" s="236">
        <v>14.7</v>
      </c>
      <c r="I72" s="204"/>
    </row>
    <row r="73" spans="1:9" ht="12.75">
      <c r="A73" s="205"/>
      <c r="B73" s="205"/>
      <c r="C73" s="236"/>
      <c r="D73" s="236"/>
      <c r="E73" s="236"/>
      <c r="F73" s="236"/>
      <c r="G73" s="236"/>
      <c r="H73" s="236"/>
      <c r="I73" s="204"/>
    </row>
    <row r="74" spans="1:9" ht="12.75">
      <c r="A74" s="199" t="s">
        <v>245</v>
      </c>
      <c r="B74" s="239"/>
      <c r="C74" s="240"/>
      <c r="D74" s="240"/>
      <c r="E74" s="240"/>
      <c r="F74" s="240"/>
      <c r="G74" s="240"/>
      <c r="H74" s="241">
        <v>37074</v>
      </c>
      <c r="I74" s="204"/>
    </row>
    <row r="75" spans="3:9" ht="12.75">
      <c r="C75" s="204"/>
      <c r="D75" s="204"/>
      <c r="E75" s="204"/>
      <c r="F75" s="204"/>
      <c r="G75" s="204"/>
      <c r="H75" s="204"/>
      <c r="I75" s="204"/>
    </row>
    <row r="135" spans="5:8" ht="12.75">
      <c r="E135" t="s">
        <v>316</v>
      </c>
      <c r="F135" t="s">
        <v>316</v>
      </c>
      <c r="G135" t="s">
        <v>317</v>
      </c>
      <c r="H135" t="s">
        <v>317</v>
      </c>
    </row>
    <row r="137" spans="5:8" ht="12.75">
      <c r="E137">
        <v>0</v>
      </c>
      <c r="F137">
        <v>0</v>
      </c>
      <c r="G137">
        <v>4.060091431500444</v>
      </c>
      <c r="H137">
        <v>4.303753161760199</v>
      </c>
    </row>
    <row r="138" spans="5:8" ht="12.75">
      <c r="E138">
        <v>0</v>
      </c>
      <c r="F138">
        <v>0</v>
      </c>
      <c r="G138">
        <v>7.680279593148819</v>
      </c>
      <c r="H138">
        <v>8.141202763505536</v>
      </c>
    </row>
    <row r="139" spans="5:8" ht="12.75">
      <c r="E139">
        <v>0</v>
      </c>
      <c r="F139">
        <v>0</v>
      </c>
      <c r="G139">
        <v>3.176048223571578</v>
      </c>
      <c r="H139">
        <v>3.36665511472178</v>
      </c>
    </row>
    <row r="140" spans="5:8" ht="12.75">
      <c r="E140">
        <v>0</v>
      </c>
      <c r="F140">
        <v>0</v>
      </c>
      <c r="G140">
        <v>0.3808242020685791</v>
      </c>
      <c r="H140">
        <v>0.4036789297431547</v>
      </c>
    </row>
    <row r="141" spans="5:8" ht="12.75">
      <c r="E141">
        <v>0</v>
      </c>
      <c r="F141">
        <v>0</v>
      </c>
      <c r="G141">
        <v>0.5503201993311493</v>
      </c>
      <c r="H141">
        <v>0.5833470348663201</v>
      </c>
    </row>
    <row r="142" spans="5:8" ht="12.75">
      <c r="E142">
        <v>0</v>
      </c>
      <c r="F142">
        <v>0</v>
      </c>
      <c r="G142">
        <v>0.4863294784786902</v>
      </c>
      <c r="H142">
        <v>0.515515984300469</v>
      </c>
    </row>
    <row r="143" spans="5:8" ht="12.75">
      <c r="E143">
        <v>0</v>
      </c>
      <c r="F143">
        <v>0</v>
      </c>
      <c r="G143">
        <v>0.5503201993311493</v>
      </c>
      <c r="H143">
        <v>0.5833470348663201</v>
      </c>
    </row>
    <row r="144" spans="5:8" ht="12.75">
      <c r="E144">
        <v>0</v>
      </c>
      <c r="F144">
        <v>0</v>
      </c>
      <c r="G144">
        <v>0.023238735467472037</v>
      </c>
      <c r="H144">
        <v>0.0246333815212828</v>
      </c>
    </row>
    <row r="145" spans="5:8" ht="12.75">
      <c r="E145">
        <v>2.4871222617483532E-05</v>
      </c>
      <c r="F145">
        <v>2.459047991911504E-05</v>
      </c>
      <c r="G145">
        <v>0</v>
      </c>
      <c r="H145">
        <v>0</v>
      </c>
    </row>
    <row r="146" spans="5:8" ht="12.75">
      <c r="E146">
        <v>0</v>
      </c>
      <c r="F146">
        <v>0</v>
      </c>
      <c r="G146">
        <v>0.16113098379638516</v>
      </c>
      <c r="H146">
        <v>0.170801074968636</v>
      </c>
    </row>
    <row r="147" spans="5:8" ht="12.75">
      <c r="E147">
        <v>0</v>
      </c>
      <c r="F147">
        <v>0</v>
      </c>
      <c r="G147">
        <v>0.00545605093584126</v>
      </c>
      <c r="H147">
        <v>0.005783489574562047</v>
      </c>
    </row>
    <row r="148" spans="5:8" ht="12.75">
      <c r="E148">
        <v>0</v>
      </c>
      <c r="F148">
        <v>0</v>
      </c>
      <c r="G148">
        <v>0</v>
      </c>
      <c r="H148">
        <v>0</v>
      </c>
    </row>
    <row r="149" spans="5:8" ht="12.75">
      <c r="E149">
        <v>0</v>
      </c>
      <c r="F149">
        <v>0</v>
      </c>
      <c r="G149">
        <v>0</v>
      </c>
      <c r="H149">
        <v>0</v>
      </c>
    </row>
    <row r="150" spans="5:8" ht="12.75">
      <c r="E150">
        <v>0</v>
      </c>
      <c r="F150">
        <v>0</v>
      </c>
      <c r="G150">
        <v>0</v>
      </c>
      <c r="H150">
        <v>0</v>
      </c>
    </row>
    <row r="151" spans="5:8" ht="12.75">
      <c r="E151">
        <v>0</v>
      </c>
      <c r="F151">
        <v>0</v>
      </c>
      <c r="G151">
        <v>0</v>
      </c>
      <c r="H151">
        <v>0</v>
      </c>
    </row>
    <row r="152" spans="5:8" ht="12.75">
      <c r="E152">
        <v>0</v>
      </c>
      <c r="F152">
        <v>0</v>
      </c>
      <c r="G152">
        <v>0</v>
      </c>
      <c r="H152">
        <v>0</v>
      </c>
    </row>
    <row r="153" spans="5:8" ht="12.75">
      <c r="E153">
        <v>0</v>
      </c>
      <c r="F153">
        <v>0</v>
      </c>
      <c r="G153">
        <v>0</v>
      </c>
      <c r="H153">
        <v>0</v>
      </c>
    </row>
    <row r="154" spans="5:8" ht="12.75">
      <c r="E154">
        <v>0</v>
      </c>
      <c r="F154">
        <v>0</v>
      </c>
      <c r="G154">
        <v>0</v>
      </c>
      <c r="H154">
        <v>0</v>
      </c>
    </row>
  </sheetData>
  <sheetProtection/>
  <printOptions/>
  <pageMargins left="0.75" right="0.75" top="1" bottom="1" header="0.5" footer="0.5"/>
  <pageSetup horizontalDpi="600" verticalDpi="600" orientation="portrait" scale="65" r:id="rId3"/>
  <headerFooter alignWithMargins="0">
    <oddHeader>&amp;C&amp;"Arial,Bold"EMISSION CALCULATIONS
FIXED ROOF TANKS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J33">
      <selection activeCell="L36" sqref="L36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27" thickBot="1">
      <c r="A4" s="61" t="s">
        <v>39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56</v>
      </c>
      <c r="B12" s="354">
        <v>410</v>
      </c>
      <c r="C12" s="354">
        <f>B12*2</f>
        <v>820</v>
      </c>
      <c r="D12" s="354">
        <v>11.5</v>
      </c>
      <c r="E12" s="350">
        <f>C12*D12*B$4/453.6</f>
        <v>186.89528218694883</v>
      </c>
      <c r="F12" s="350">
        <f>C12*C$4/453.6</f>
        <v>21.25925925925926</v>
      </c>
      <c r="G12" s="350">
        <f>C12*D12*(D$4+H$4)/453.6</f>
        <v>19.33399470899471</v>
      </c>
      <c r="H12" s="350">
        <f>C12*(E$4+F$4)/453.6</f>
        <v>2.802028218694885</v>
      </c>
      <c r="I12" s="350">
        <f>B12*8*G$4/453.6</f>
        <v>1.2292768959435627</v>
      </c>
      <c r="J12" s="350">
        <f>C12*D12*I$4/453.6</f>
        <v>18.29453262786596</v>
      </c>
      <c r="K12" s="352">
        <f>C12*J$4/453.6</f>
        <v>1.3015873015873014</v>
      </c>
      <c r="L12" s="350">
        <f>C12*D12*K$4/453.6</f>
        <v>1.0394620811287478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2.75">
      <c r="A14" s="348" t="s">
        <v>57</v>
      </c>
      <c r="B14" s="354">
        <v>0</v>
      </c>
      <c r="C14" s="354">
        <f>B14</f>
        <v>0</v>
      </c>
      <c r="D14" s="354">
        <v>10</v>
      </c>
      <c r="E14" s="350">
        <f>C14*D14*B$4/453.6</f>
        <v>0</v>
      </c>
      <c r="F14" s="350">
        <f>C14*C$4/453.6</f>
        <v>0</v>
      </c>
      <c r="G14" s="350">
        <f>C14*D14*(D$4+H$4)/453.6</f>
        <v>0</v>
      </c>
      <c r="H14" s="350">
        <f>C14*(E$4+F$4)/453.6</f>
        <v>0</v>
      </c>
      <c r="I14" s="350">
        <f>B14*8*G$4/453.6</f>
        <v>0</v>
      </c>
      <c r="J14" s="350">
        <f>C14*D14*I$4/453.6</f>
        <v>0</v>
      </c>
      <c r="K14" s="352">
        <f>C14*J$4/453.6</f>
        <v>0</v>
      </c>
      <c r="L14" s="350">
        <f>C14*D14*K$4/453.6</f>
        <v>0</v>
      </c>
    </row>
    <row r="15" spans="1:12" ht="13.5" thickBot="1">
      <c r="A15" s="349"/>
      <c r="B15" s="355"/>
      <c r="C15" s="355"/>
      <c r="D15" s="355"/>
      <c r="E15" s="351"/>
      <c r="F15" s="351"/>
      <c r="G15" s="351"/>
      <c r="H15" s="351"/>
      <c r="I15" s="351"/>
      <c r="J15" s="351"/>
      <c r="K15" s="353"/>
      <c r="L15" s="351"/>
    </row>
    <row r="16" spans="1:12" ht="12.75">
      <c r="A16" s="361" t="s">
        <v>40</v>
      </c>
      <c r="B16" s="354">
        <v>13</v>
      </c>
      <c r="C16" s="354">
        <f>B16*2</f>
        <v>26</v>
      </c>
      <c r="D16" s="354">
        <v>11.5</v>
      </c>
      <c r="E16" s="350">
        <f>C16*D16*B6/453.6</f>
        <v>32.13458994708994</v>
      </c>
      <c r="F16" s="350">
        <f>C16*C5/453.6</f>
        <v>0.7996031746031745</v>
      </c>
      <c r="G16" s="350">
        <f>C16*D16*(D6+H6)/453.6</f>
        <v>0.9887566137566137</v>
      </c>
      <c r="H16" s="350">
        <f>C16*(E5+F5)/453.6</f>
        <v>0.09285714285714286</v>
      </c>
      <c r="I16" s="350">
        <f>B16*8*G5/453.6</f>
        <v>0.03668430335097002</v>
      </c>
      <c r="J16" s="350">
        <f>I5*C16*D16/453.6</f>
        <v>0.8964726631393297</v>
      </c>
      <c r="K16" s="350">
        <f>J5*C16/453.6</f>
        <v>0.061331569664902996</v>
      </c>
      <c r="L16" s="350">
        <f>K5*C16*D16/453.6</f>
        <v>0.04614197530864198</v>
      </c>
    </row>
    <row r="17" spans="1:12" ht="13.5" thickBot="1">
      <c r="A17" s="369"/>
      <c r="B17" s="360"/>
      <c r="C17" s="355"/>
      <c r="D17" s="360"/>
      <c r="E17" s="351"/>
      <c r="F17" s="351"/>
      <c r="G17" s="351"/>
      <c r="H17" s="351"/>
      <c r="I17" s="351"/>
      <c r="J17" s="351"/>
      <c r="K17" s="351"/>
      <c r="L17" s="351"/>
    </row>
    <row r="18" spans="1:12" ht="13.5" thickBot="1">
      <c r="A18" s="76" t="s">
        <v>58</v>
      </c>
      <c r="B18" s="77">
        <v>1</v>
      </c>
      <c r="C18" s="73">
        <v>1</v>
      </c>
      <c r="D18" s="73">
        <v>6</v>
      </c>
      <c r="E18" s="78">
        <f>C18*D18*B$6/453.6</f>
        <v>0.6448412698412698</v>
      </c>
      <c r="F18" s="78" t="s">
        <v>42</v>
      </c>
      <c r="G18" s="78">
        <f>C18*D18*(D$6+H$6)/453.6</f>
        <v>0.01984126984126984</v>
      </c>
      <c r="H18" s="78">
        <f>C18*(E5+F5)/453.6</f>
        <v>0.0035714285714285713</v>
      </c>
      <c r="I18" s="78" t="s">
        <v>42</v>
      </c>
      <c r="J18" s="78">
        <f>C18*D18*I$6/453.6</f>
        <v>0.25211640211640207</v>
      </c>
      <c r="K18" s="78">
        <f>J4*C18/453.6</f>
        <v>0.001587301587301587</v>
      </c>
      <c r="L18" s="79">
        <f>K$6*C18*D18/453.6</f>
        <v>0.008068783068783069</v>
      </c>
    </row>
    <row r="19" spans="1:13" ht="13.5" thickBot="1">
      <c r="A19" s="61" t="s">
        <v>59</v>
      </c>
      <c r="B19" s="62">
        <v>1</v>
      </c>
      <c r="C19" s="65">
        <v>1</v>
      </c>
      <c r="D19" s="65">
        <v>5</v>
      </c>
      <c r="E19" s="78">
        <f>C19*D19*B$6/453.6</f>
        <v>0.5373677248677249</v>
      </c>
      <c r="F19" s="78" t="s">
        <v>42</v>
      </c>
      <c r="G19" s="78">
        <f>C19*D19*(D$6+H$6)/453.6</f>
        <v>0.016534391534391533</v>
      </c>
      <c r="H19" s="78">
        <f>C19*(E6+F6)/453.6</f>
        <v>0.005820105820105819</v>
      </c>
      <c r="I19" s="78" t="s">
        <v>42</v>
      </c>
      <c r="J19" s="78">
        <f>C19*D19*I$6/453.6</f>
        <v>0.2100970017636684</v>
      </c>
      <c r="K19" s="78">
        <f>J5*C19/453.6</f>
        <v>0.002358906525573192</v>
      </c>
      <c r="L19" s="79">
        <f>K$6*C19*D19/453.6</f>
        <v>0.006723985890652557</v>
      </c>
      <c r="M19" t="s">
        <v>5</v>
      </c>
    </row>
    <row r="20" spans="1:12" ht="13.5" thickBot="1">
      <c r="A20" s="80" t="s">
        <v>41</v>
      </c>
      <c r="B20" s="62">
        <v>10</v>
      </c>
      <c r="C20" s="65">
        <f>B20*2</f>
        <v>20</v>
      </c>
      <c r="D20" s="65">
        <v>50</v>
      </c>
      <c r="E20" s="78">
        <f>C20*D20*B$6/453.6</f>
        <v>107.47354497354497</v>
      </c>
      <c r="F20" s="78" t="s">
        <v>42</v>
      </c>
      <c r="G20" s="78">
        <f>C20*D20*(D$6+H$6)/453.6</f>
        <v>3.3068783068783065</v>
      </c>
      <c r="H20" s="78">
        <f>C20*(E6+F6)/453.6</f>
        <v>0.1164021164021164</v>
      </c>
      <c r="I20" s="78" t="s">
        <v>42</v>
      </c>
      <c r="J20" s="78">
        <f>C20*D20*I$6/453.6</f>
        <v>42.01940035273368</v>
      </c>
      <c r="K20" s="78">
        <f>J5*C20/453.6</f>
        <v>0.04717813051146385</v>
      </c>
      <c r="L20" s="79">
        <f>K$6*C20*D20/453.6</f>
        <v>1.3447971781305115</v>
      </c>
    </row>
    <row r="21" spans="1:12" ht="13.5" thickBot="1">
      <c r="A21" s="81"/>
      <c r="B21" s="53"/>
      <c r="C21" s="53"/>
      <c r="D21" s="53"/>
      <c r="E21" s="82"/>
      <c r="F21" s="82"/>
      <c r="G21" s="82"/>
      <c r="H21" s="82"/>
      <c r="I21" s="82"/>
      <c r="J21" s="82"/>
      <c r="K21" s="82"/>
      <c r="L21" s="82"/>
    </row>
    <row r="22" spans="1:12" ht="13.5" thickBot="1">
      <c r="A22" s="67" t="s">
        <v>48</v>
      </c>
      <c r="B22" s="370" t="s">
        <v>43</v>
      </c>
      <c r="C22" s="358"/>
      <c r="D22" s="357"/>
      <c r="E22" s="371" t="s">
        <v>8</v>
      </c>
      <c r="F22" s="372"/>
      <c r="G22" s="371" t="s">
        <v>9</v>
      </c>
      <c r="H22" s="373"/>
      <c r="I22" s="372"/>
      <c r="J22" s="371" t="s">
        <v>10</v>
      </c>
      <c r="K22" s="372"/>
      <c r="L22" s="83" t="s">
        <v>12</v>
      </c>
    </row>
    <row r="23" spans="1:12" ht="12.75" customHeight="1">
      <c r="A23" s="367" t="s">
        <v>60</v>
      </c>
      <c r="B23" s="354">
        <f>B12+B14</f>
        <v>410</v>
      </c>
      <c r="C23" s="354">
        <f>C12+C14</f>
        <v>820</v>
      </c>
      <c r="D23" s="354"/>
      <c r="E23" s="374">
        <f>E12+F12+E14+F14</f>
        <v>208.1545414462081</v>
      </c>
      <c r="F23" s="352"/>
      <c r="G23" s="374">
        <f>G12+H12+I12+G14+H14+I14</f>
        <v>23.36529982363316</v>
      </c>
      <c r="H23" s="376"/>
      <c r="I23" s="377"/>
      <c r="J23" s="374">
        <f>J12+K12+J14+K14</f>
        <v>19.59611992945326</v>
      </c>
      <c r="K23" s="352"/>
      <c r="L23" s="350">
        <f>L12+L14</f>
        <v>1.0394620811287478</v>
      </c>
    </row>
    <row r="24" spans="1:12" ht="13.5" thickBot="1">
      <c r="A24" s="368"/>
      <c r="B24" s="355"/>
      <c r="C24" s="355"/>
      <c r="D24" s="355"/>
      <c r="E24" s="375"/>
      <c r="F24" s="353"/>
      <c r="G24" s="375"/>
      <c r="H24" s="378"/>
      <c r="I24" s="379"/>
      <c r="J24" s="375"/>
      <c r="K24" s="353"/>
      <c r="L24" s="351"/>
    </row>
    <row r="25" spans="1:12" ht="12.75" customHeight="1">
      <c r="A25" s="361" t="s">
        <v>61</v>
      </c>
      <c r="B25" s="354">
        <f>B16</f>
        <v>13</v>
      </c>
      <c r="C25" s="354">
        <f>C16</f>
        <v>26</v>
      </c>
      <c r="D25" s="354"/>
      <c r="E25" s="374">
        <f>E16+F16</f>
        <v>32.93419312169312</v>
      </c>
      <c r="F25" s="352"/>
      <c r="G25" s="374">
        <f>G16+H16+I16</f>
        <v>1.1182980599647265</v>
      </c>
      <c r="H25" s="376"/>
      <c r="I25" s="377"/>
      <c r="J25" s="374">
        <f>J16+K16</f>
        <v>0.9578042328042327</v>
      </c>
      <c r="K25" s="352"/>
      <c r="L25" s="350">
        <f>L16</f>
        <v>0.04614197530864198</v>
      </c>
    </row>
    <row r="26" spans="1:12" ht="15.75" customHeight="1" thickBot="1">
      <c r="A26" s="369"/>
      <c r="B26" s="360"/>
      <c r="C26" s="360"/>
      <c r="D26" s="360"/>
      <c r="E26" s="375"/>
      <c r="F26" s="353"/>
      <c r="G26" s="375"/>
      <c r="H26" s="378"/>
      <c r="I26" s="379"/>
      <c r="J26" s="375"/>
      <c r="K26" s="353"/>
      <c r="L26" s="351"/>
    </row>
    <row r="27" spans="1:12" ht="15.75" customHeight="1" thickBot="1">
      <c r="A27" s="76" t="s">
        <v>58</v>
      </c>
      <c r="B27" s="77">
        <v>1</v>
      </c>
      <c r="C27" s="73">
        <v>1</v>
      </c>
      <c r="D27" s="55"/>
      <c r="E27" s="371">
        <f>+E18</f>
        <v>0.6448412698412698</v>
      </c>
      <c r="F27" s="357"/>
      <c r="G27" s="371">
        <f>+G18+H18</f>
        <v>0.023412698412698413</v>
      </c>
      <c r="H27" s="380"/>
      <c r="I27" s="381"/>
      <c r="J27" s="371">
        <f>+J18+K18</f>
        <v>0.25370370370370365</v>
      </c>
      <c r="K27" s="357"/>
      <c r="L27" s="75">
        <f>+L18</f>
        <v>0.008068783068783069</v>
      </c>
    </row>
    <row r="28" spans="1:12" ht="27.75" customHeight="1" thickBot="1">
      <c r="A28" s="86" t="s">
        <v>62</v>
      </c>
      <c r="B28" s="65">
        <f>B20+B19</f>
        <v>11</v>
      </c>
      <c r="C28" s="65">
        <f>+C19+C20</f>
        <v>21</v>
      </c>
      <c r="D28" s="65"/>
      <c r="E28" s="371">
        <f>+E19+E20</f>
        <v>108.0109126984127</v>
      </c>
      <c r="F28" s="372"/>
      <c r="G28" s="371">
        <f>G19+G20+H19+H20</f>
        <v>3.4456349206349204</v>
      </c>
      <c r="H28" s="373"/>
      <c r="I28" s="372"/>
      <c r="J28" s="371">
        <f>J20+J19+K19+K20</f>
        <v>42.27903439153439</v>
      </c>
      <c r="K28" s="372"/>
      <c r="L28" s="79">
        <f>L20+L19</f>
        <v>1.351521164021164</v>
      </c>
    </row>
    <row r="29" spans="1:12" ht="13.5" thickBot="1">
      <c r="A29" s="68" t="s">
        <v>63</v>
      </c>
      <c r="B29" s="64"/>
      <c r="C29" s="81"/>
      <c r="D29" s="87"/>
      <c r="E29" s="371">
        <f>SUM(E23:F28)</f>
        <v>349.7444885361552</v>
      </c>
      <c r="F29" s="357"/>
      <c r="G29" s="371">
        <f>SUM(G23:I28)</f>
        <v>27.952645502645503</v>
      </c>
      <c r="H29" s="358"/>
      <c r="I29" s="357"/>
      <c r="J29" s="371">
        <f>SUM(J23:K28)</f>
        <v>63.08666225749558</v>
      </c>
      <c r="K29" s="357"/>
      <c r="L29" s="78">
        <f>SUM(L23:L28)</f>
        <v>2.445194003527337</v>
      </c>
    </row>
    <row r="31" ht="12.75">
      <c r="A31" s="48" t="s">
        <v>64</v>
      </c>
    </row>
    <row r="32" ht="12.75">
      <c r="A32" s="48" t="s">
        <v>65</v>
      </c>
    </row>
    <row r="33" ht="12.75">
      <c r="A33" s="48" t="s">
        <v>66</v>
      </c>
    </row>
    <row r="34" ht="12.75">
      <c r="A34" s="48" t="s">
        <v>67</v>
      </c>
    </row>
    <row r="35" ht="12.75">
      <c r="L35" s="88">
        <v>37067</v>
      </c>
    </row>
    <row r="36" ht="12.75">
      <c r="A36" s="48"/>
    </row>
    <row r="38" ht="12.75">
      <c r="A38" s="48" t="s">
        <v>17</v>
      </c>
    </row>
    <row r="39" ht="12.75">
      <c r="L39" s="88"/>
    </row>
  </sheetData>
  <sheetProtection/>
  <mergeCells count="76">
    <mergeCell ref="G27:I27"/>
    <mergeCell ref="J27:K27"/>
    <mergeCell ref="E27:F27"/>
    <mergeCell ref="E29:F29"/>
    <mergeCell ref="G29:I29"/>
    <mergeCell ref="J29:K29"/>
    <mergeCell ref="E28:F28"/>
    <mergeCell ref="G28:I28"/>
    <mergeCell ref="J28:K28"/>
    <mergeCell ref="G25:I26"/>
    <mergeCell ref="J25:K26"/>
    <mergeCell ref="E25:F26"/>
    <mergeCell ref="L25:L26"/>
    <mergeCell ref="A25:A26"/>
    <mergeCell ref="B25:B26"/>
    <mergeCell ref="C25:C26"/>
    <mergeCell ref="D25:D26"/>
    <mergeCell ref="E23:F24"/>
    <mergeCell ref="G23:I24"/>
    <mergeCell ref="J23:K24"/>
    <mergeCell ref="L23:L24"/>
    <mergeCell ref="A23:A24"/>
    <mergeCell ref="B23:B24"/>
    <mergeCell ref="C23:C24"/>
    <mergeCell ref="D23:D24"/>
    <mergeCell ref="B22:D22"/>
    <mergeCell ref="E22:F22"/>
    <mergeCell ref="G22:I22"/>
    <mergeCell ref="J22:K22"/>
    <mergeCell ref="I16:I17"/>
    <mergeCell ref="J16:J17"/>
    <mergeCell ref="K16:K17"/>
    <mergeCell ref="H16:H17"/>
    <mergeCell ref="L16:L17"/>
    <mergeCell ref="K12:K13"/>
    <mergeCell ref="L12:L13"/>
    <mergeCell ref="A16:A17"/>
    <mergeCell ref="B16:B17"/>
    <mergeCell ref="C16:C17"/>
    <mergeCell ref="D16:D17"/>
    <mergeCell ref="E16:E17"/>
    <mergeCell ref="F16:F17"/>
    <mergeCell ref="G16:G17"/>
    <mergeCell ref="G12:G13"/>
    <mergeCell ref="H12:H13"/>
    <mergeCell ref="I12:I13"/>
    <mergeCell ref="J12:J13"/>
    <mergeCell ref="A12:A13"/>
    <mergeCell ref="B12:B13"/>
    <mergeCell ref="C12:C13"/>
    <mergeCell ref="D12:D13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E12:E13"/>
    <mergeCell ref="F12:F13"/>
    <mergeCell ref="C14:C15"/>
    <mergeCell ref="E14:E15"/>
    <mergeCell ref="F14:F15"/>
    <mergeCell ref="A14:A15"/>
    <mergeCell ref="L14:L15"/>
    <mergeCell ref="K14:K15"/>
    <mergeCell ref="J14:J15"/>
    <mergeCell ref="G14:G15"/>
    <mergeCell ref="H14:H15"/>
    <mergeCell ref="I14:I15"/>
    <mergeCell ref="B14:B15"/>
    <mergeCell ref="D14:D15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73" r:id="rId1"/>
  <headerFooter alignWithMargins="0">
    <oddHeader>&amp;C&amp;"Arial,Bold"&amp;12Construction Vehicle Emissions for the Equilon CARB 
Phase 3 Project 
Refinery Construction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E85"/>
  <sheetViews>
    <sheetView zoomScalePageLayoutView="0" workbookViewId="0" topLeftCell="A65">
      <selection activeCell="F78" sqref="F78"/>
    </sheetView>
  </sheetViews>
  <sheetFormatPr defaultColWidth="9.140625" defaultRowHeight="12.75"/>
  <cols>
    <col min="1" max="3" width="15.7109375" style="0" customWidth="1"/>
  </cols>
  <sheetData>
    <row r="3" spans="1:5" ht="12.75">
      <c r="A3" s="402" t="s">
        <v>318</v>
      </c>
      <c r="B3" s="402"/>
      <c r="C3" s="402"/>
      <c r="D3" s="402"/>
      <c r="E3" s="402"/>
    </row>
    <row r="4" spans="1:5" ht="12.75">
      <c r="A4" s="242"/>
      <c r="B4" s="242"/>
      <c r="C4" s="242"/>
      <c r="D4" s="242"/>
      <c r="E4" s="242"/>
    </row>
    <row r="5" spans="1:5" ht="12.75">
      <c r="A5" s="242"/>
      <c r="B5" s="242" t="s">
        <v>319</v>
      </c>
      <c r="C5" s="242"/>
      <c r="D5" s="243"/>
      <c r="E5" s="242"/>
    </row>
    <row r="6" spans="1:5" ht="12.75">
      <c r="A6" s="244" t="s">
        <v>320</v>
      </c>
      <c r="B6" s="242">
        <v>33.5</v>
      </c>
      <c r="C6" s="242"/>
      <c r="D6" s="245"/>
      <c r="E6" s="242"/>
    </row>
    <row r="7" spans="1:5" ht="12.75">
      <c r="A7" s="244" t="s">
        <v>321</v>
      </c>
      <c r="B7" s="242">
        <v>24</v>
      </c>
      <c r="C7" s="242"/>
      <c r="D7" s="242"/>
      <c r="E7" s="242"/>
    </row>
    <row r="8" spans="1:5" ht="15">
      <c r="A8" s="244" t="s">
        <v>338</v>
      </c>
      <c r="B8" s="242">
        <v>1400</v>
      </c>
      <c r="C8" s="242"/>
      <c r="D8" s="242"/>
      <c r="E8" s="242"/>
    </row>
    <row r="9" spans="1:5" ht="15">
      <c r="A9" s="244" t="s">
        <v>339</v>
      </c>
      <c r="B9" s="246">
        <f>+B6*B7/B8</f>
        <v>0.5742857142857143</v>
      </c>
      <c r="C9" s="246"/>
      <c r="D9" s="246"/>
      <c r="E9" s="242"/>
    </row>
    <row r="10" ht="13.5" thickBot="1"/>
    <row r="11" spans="1:3" ht="40.5" thickBot="1" thickTop="1">
      <c r="A11" s="247" t="s">
        <v>322</v>
      </c>
      <c r="B11" s="248" t="s">
        <v>323</v>
      </c>
      <c r="C11" s="248" t="s">
        <v>324</v>
      </c>
    </row>
    <row r="12" spans="1:3" ht="13.5" thickTop="1">
      <c r="A12" s="150" t="s">
        <v>8</v>
      </c>
      <c r="B12" s="150">
        <v>84</v>
      </c>
      <c r="C12" s="249">
        <f>+B9*B12</f>
        <v>48.24</v>
      </c>
    </row>
    <row r="13" spans="1:3" ht="12.75">
      <c r="A13" s="34" t="s">
        <v>9</v>
      </c>
      <c r="B13" s="34">
        <v>11</v>
      </c>
      <c r="C13" s="250">
        <f>+B9*B13</f>
        <v>6.317142857142857</v>
      </c>
    </row>
    <row r="14" spans="1:3" ht="12.75">
      <c r="A14" s="34" t="s">
        <v>325</v>
      </c>
      <c r="B14" s="34">
        <v>0.203</v>
      </c>
      <c r="C14" s="250">
        <f>+B6*B14*24</f>
        <v>163.21200000000002</v>
      </c>
    </row>
    <row r="15" spans="1:3" ht="12.75">
      <c r="A15" s="34" t="s">
        <v>326</v>
      </c>
      <c r="B15" s="34">
        <v>0.01</v>
      </c>
      <c r="C15" s="250">
        <f>+B6*B15*24</f>
        <v>8.040000000000001</v>
      </c>
    </row>
    <row r="16" spans="1:3" ht="12.75">
      <c r="A16" s="251" t="s">
        <v>12</v>
      </c>
      <c r="B16" s="251">
        <v>7.5</v>
      </c>
      <c r="C16" s="252">
        <f>+B9*B16</f>
        <v>4.307142857142857</v>
      </c>
    </row>
    <row r="17" ht="12.75">
      <c r="A17" t="s">
        <v>340</v>
      </c>
    </row>
    <row r="20" spans="1:5" ht="12.75">
      <c r="A20" s="402" t="s">
        <v>327</v>
      </c>
      <c r="B20" s="402"/>
      <c r="C20" s="402"/>
      <c r="D20" s="402"/>
      <c r="E20" s="402"/>
    </row>
    <row r="21" spans="1:5" ht="12.75">
      <c r="A21" s="242"/>
      <c r="B21" s="242"/>
      <c r="C21" s="242"/>
      <c r="D21" s="242"/>
      <c r="E21" s="242"/>
    </row>
    <row r="22" spans="1:5" ht="12.75">
      <c r="A22" s="242"/>
      <c r="B22" s="242" t="s">
        <v>319</v>
      </c>
      <c r="C22" s="242"/>
      <c r="D22" s="243"/>
      <c r="E22" s="242"/>
    </row>
    <row r="23" spans="1:5" ht="12.75">
      <c r="A23" s="244" t="s">
        <v>320</v>
      </c>
      <c r="B23" s="242">
        <v>33.5</v>
      </c>
      <c r="C23" s="242"/>
      <c r="D23" s="245"/>
      <c r="E23" s="242"/>
    </row>
    <row r="24" spans="1:5" ht="12.75">
      <c r="A24" s="244" t="s">
        <v>321</v>
      </c>
      <c r="B24" s="242">
        <v>24</v>
      </c>
      <c r="C24" s="242"/>
      <c r="D24" s="242"/>
      <c r="E24" s="242"/>
    </row>
    <row r="25" spans="1:5" ht="15">
      <c r="A25" s="244" t="s">
        <v>338</v>
      </c>
      <c r="B25" s="242">
        <v>1400</v>
      </c>
      <c r="C25" s="242"/>
      <c r="D25" s="242"/>
      <c r="E25" s="242"/>
    </row>
    <row r="26" spans="1:5" ht="15">
      <c r="A26" s="244" t="s">
        <v>339</v>
      </c>
      <c r="B26" s="246">
        <f>+B23*B24/B25</f>
        <v>0.5742857142857143</v>
      </c>
      <c r="C26" s="246"/>
      <c r="D26" s="246"/>
      <c r="E26" s="242"/>
    </row>
    <row r="27" ht="13.5" thickBot="1"/>
    <row r="28" spans="1:3" ht="40.5" thickBot="1" thickTop="1">
      <c r="A28" s="247" t="s">
        <v>322</v>
      </c>
      <c r="B28" s="248" t="s">
        <v>323</v>
      </c>
      <c r="C28" s="248" t="s">
        <v>324</v>
      </c>
    </row>
    <row r="29" spans="1:3" ht="13.5" thickTop="1">
      <c r="A29" s="150" t="s">
        <v>8</v>
      </c>
      <c r="B29" s="150">
        <v>84</v>
      </c>
      <c r="C29" s="249">
        <f>+B26*B29</f>
        <v>48.24</v>
      </c>
    </row>
    <row r="30" spans="1:3" ht="12.75">
      <c r="A30" s="34" t="s">
        <v>9</v>
      </c>
      <c r="B30" s="34">
        <v>11</v>
      </c>
      <c r="C30" s="250">
        <f>+B26*B30</f>
        <v>6.317142857142857</v>
      </c>
    </row>
    <row r="31" spans="1:3" ht="12.75">
      <c r="A31" s="34" t="s">
        <v>325</v>
      </c>
      <c r="B31" s="34">
        <v>0.203</v>
      </c>
      <c r="C31" s="250">
        <f>+B23*B31*24</f>
        <v>163.21200000000002</v>
      </c>
    </row>
    <row r="32" spans="1:3" ht="12.75">
      <c r="A32" s="34" t="s">
        <v>326</v>
      </c>
      <c r="B32" s="34">
        <v>0.01</v>
      </c>
      <c r="C32" s="250">
        <f>+B23*B32*24</f>
        <v>8.040000000000001</v>
      </c>
    </row>
    <row r="33" spans="1:3" ht="12.75">
      <c r="A33" s="251" t="s">
        <v>12</v>
      </c>
      <c r="B33" s="251">
        <v>7.5</v>
      </c>
      <c r="C33" s="252">
        <f>+B26*B33</f>
        <v>4.307142857142857</v>
      </c>
    </row>
    <row r="34" ht="12.75">
      <c r="A34" t="s">
        <v>340</v>
      </c>
    </row>
    <row r="35" spans="2:3" ht="12.75">
      <c r="B35" s="50"/>
      <c r="C35" s="253"/>
    </row>
    <row r="37" spans="1:5" ht="12.75">
      <c r="A37" s="402" t="s">
        <v>328</v>
      </c>
      <c r="B37" s="402"/>
      <c r="C37" s="402"/>
      <c r="D37" s="402"/>
      <c r="E37" s="402"/>
    </row>
    <row r="38" spans="1:5" ht="12.75">
      <c r="A38" s="242"/>
      <c r="B38" s="242"/>
      <c r="C38" s="242"/>
      <c r="D38" s="242"/>
      <c r="E38" s="242"/>
    </row>
    <row r="39" spans="1:5" ht="12.75">
      <c r="A39" s="242"/>
      <c r="B39" s="242" t="s">
        <v>319</v>
      </c>
      <c r="C39" s="242"/>
      <c r="D39" s="243"/>
      <c r="E39" s="242"/>
    </row>
    <row r="40" spans="1:5" ht="12.75">
      <c r="A40" s="244" t="s">
        <v>320</v>
      </c>
      <c r="B40" s="242">
        <v>33.5</v>
      </c>
      <c r="C40" s="242"/>
      <c r="D40" s="245"/>
      <c r="E40" s="242"/>
    </row>
    <row r="41" spans="1:5" ht="12.75">
      <c r="A41" s="244" t="s">
        <v>321</v>
      </c>
      <c r="B41" s="242">
        <v>24</v>
      </c>
      <c r="C41" s="242"/>
      <c r="D41" s="242"/>
      <c r="E41" s="242"/>
    </row>
    <row r="42" spans="1:5" ht="15">
      <c r="A42" s="244" t="s">
        <v>338</v>
      </c>
      <c r="B42" s="242">
        <v>1400</v>
      </c>
      <c r="C42" s="242"/>
      <c r="D42" s="242"/>
      <c r="E42" s="242"/>
    </row>
    <row r="43" spans="1:5" ht="15">
      <c r="A43" s="244" t="s">
        <v>339</v>
      </c>
      <c r="B43" s="246">
        <f>+B40*B41/B42</f>
        <v>0.5742857142857143</v>
      </c>
      <c r="C43" s="246"/>
      <c r="D43" s="246"/>
      <c r="E43" s="242"/>
    </row>
    <row r="44" ht="13.5" thickBot="1"/>
    <row r="45" spans="1:3" ht="40.5" thickBot="1" thickTop="1">
      <c r="A45" s="247" t="s">
        <v>322</v>
      </c>
      <c r="B45" s="248" t="s">
        <v>323</v>
      </c>
      <c r="C45" s="248" t="s">
        <v>324</v>
      </c>
    </row>
    <row r="46" spans="1:3" ht="13.5" thickTop="1">
      <c r="A46" s="150" t="s">
        <v>8</v>
      </c>
      <c r="B46" s="150">
        <v>84</v>
      </c>
      <c r="C46" s="249">
        <f>+B43*B46</f>
        <v>48.24</v>
      </c>
    </row>
    <row r="47" spans="1:3" ht="12.75">
      <c r="A47" s="34" t="s">
        <v>9</v>
      </c>
      <c r="B47" s="34">
        <v>11</v>
      </c>
      <c r="C47" s="250">
        <f>+B43*B47</f>
        <v>6.317142857142857</v>
      </c>
    </row>
    <row r="48" spans="1:3" ht="12.75">
      <c r="A48" s="34" t="s">
        <v>325</v>
      </c>
      <c r="B48" s="34">
        <v>0.203</v>
      </c>
      <c r="C48" s="250">
        <f>+B40*B48*24</f>
        <v>163.21200000000002</v>
      </c>
    </row>
    <row r="49" spans="1:3" ht="12.75">
      <c r="A49" s="34" t="s">
        <v>326</v>
      </c>
      <c r="B49" s="34">
        <v>0.01</v>
      </c>
      <c r="C49" s="250">
        <f>+B40*B49*24</f>
        <v>8.040000000000001</v>
      </c>
    </row>
    <row r="50" spans="1:3" ht="12.75">
      <c r="A50" s="251" t="s">
        <v>12</v>
      </c>
      <c r="B50" s="251">
        <v>7.5</v>
      </c>
      <c r="C50" s="252">
        <f>+B43*B50</f>
        <v>4.307142857142857</v>
      </c>
    </row>
    <row r="51" ht="12.75">
      <c r="A51" t="s">
        <v>340</v>
      </c>
    </row>
    <row r="52" spans="2:3" ht="12.75">
      <c r="B52" s="50"/>
      <c r="C52" s="253"/>
    </row>
    <row r="55" spans="1:5" ht="12.75">
      <c r="A55" s="402" t="s">
        <v>329</v>
      </c>
      <c r="B55" s="402"/>
      <c r="C55" s="402"/>
      <c r="D55" s="402"/>
      <c r="E55" s="402"/>
    </row>
    <row r="56" spans="1:5" ht="12.75">
      <c r="A56" s="242"/>
      <c r="B56" s="242"/>
      <c r="C56" s="242"/>
      <c r="D56" s="242"/>
      <c r="E56" s="242"/>
    </row>
    <row r="57" spans="1:5" ht="12.75">
      <c r="A57" s="244" t="s">
        <v>320</v>
      </c>
      <c r="B57" s="242">
        <v>33.5</v>
      </c>
      <c r="C57" s="242"/>
      <c r="D57" s="242"/>
      <c r="E57" s="242"/>
    </row>
    <row r="58" spans="1:5" ht="12.75">
      <c r="A58" s="244" t="s">
        <v>321</v>
      </c>
      <c r="B58" s="242">
        <v>24</v>
      </c>
      <c r="C58" s="242"/>
      <c r="D58" s="242"/>
      <c r="E58" s="242"/>
    </row>
    <row r="59" spans="1:5" ht="15">
      <c r="A59" s="244" t="s">
        <v>338</v>
      </c>
      <c r="B59" s="242">
        <v>1400</v>
      </c>
      <c r="C59" s="242"/>
      <c r="D59" s="242"/>
      <c r="E59" s="242"/>
    </row>
    <row r="60" spans="1:5" ht="15">
      <c r="A60" s="244" t="s">
        <v>339</v>
      </c>
      <c r="B60" s="246">
        <f>+B57*B58/B59</f>
        <v>0.5742857142857143</v>
      </c>
      <c r="C60" s="242"/>
      <c r="D60" s="242"/>
      <c r="E60" s="242"/>
    </row>
    <row r="61" ht="13.5" thickBot="1"/>
    <row r="62" spans="1:3" ht="27" thickBot="1" thickTop="1">
      <c r="A62" s="247" t="s">
        <v>322</v>
      </c>
      <c r="B62" s="248" t="s">
        <v>323</v>
      </c>
      <c r="C62" s="248" t="s">
        <v>330</v>
      </c>
    </row>
    <row r="63" spans="1:3" ht="13.5" thickTop="1">
      <c r="A63" s="150" t="s">
        <v>8</v>
      </c>
      <c r="B63" s="150">
        <v>84</v>
      </c>
      <c r="C63" s="249">
        <f>+B60*B63</f>
        <v>48.24</v>
      </c>
    </row>
    <row r="64" spans="1:3" ht="12.75">
      <c r="A64" s="34" t="s">
        <v>9</v>
      </c>
      <c r="B64" s="34">
        <v>11</v>
      </c>
      <c r="C64" s="250">
        <f>+B60*B64</f>
        <v>6.317142857142857</v>
      </c>
    </row>
    <row r="65" spans="1:3" ht="12.75">
      <c r="A65" s="34" t="s">
        <v>10</v>
      </c>
      <c r="B65" s="34">
        <v>0.203</v>
      </c>
      <c r="C65" s="250">
        <f>+B57*B65*B58</f>
        <v>163.21200000000002</v>
      </c>
    </row>
    <row r="66" spans="1:3" ht="12.75">
      <c r="A66" s="34" t="s">
        <v>11</v>
      </c>
      <c r="B66" s="34">
        <v>0.01</v>
      </c>
      <c r="C66" s="250">
        <f>+B57*B66*B58</f>
        <v>8.040000000000001</v>
      </c>
    </row>
    <row r="67" spans="1:3" ht="12.75">
      <c r="A67" s="251" t="s">
        <v>12</v>
      </c>
      <c r="B67" s="251">
        <v>7.5</v>
      </c>
      <c r="C67" s="252">
        <f>+B60*B67</f>
        <v>4.307142857142857</v>
      </c>
    </row>
    <row r="68" ht="12.75">
      <c r="A68" t="s">
        <v>340</v>
      </c>
    </row>
    <row r="70" spans="1:5" ht="12.75">
      <c r="A70" s="402" t="s">
        <v>331</v>
      </c>
      <c r="B70" s="402"/>
      <c r="C70" s="402"/>
      <c r="D70" s="402"/>
      <c r="E70" s="402"/>
    </row>
    <row r="71" spans="1:5" ht="12.75">
      <c r="A71" s="242"/>
      <c r="B71" s="242"/>
      <c r="C71" s="242"/>
      <c r="D71" s="242"/>
      <c r="E71" s="242"/>
    </row>
    <row r="72" ht="13.5" thickBot="1"/>
    <row r="73" spans="1:3" ht="27" thickBot="1" thickTop="1">
      <c r="A73" s="247" t="s">
        <v>322</v>
      </c>
      <c r="B73" s="254" t="s">
        <v>332</v>
      </c>
      <c r="C73" s="255" t="s">
        <v>5</v>
      </c>
    </row>
    <row r="74" spans="1:3" ht="13.5" thickTop="1">
      <c r="A74" s="150" t="s">
        <v>8</v>
      </c>
      <c r="B74" s="256">
        <f>+C12+C29+C46+C63</f>
        <v>192.96</v>
      </c>
      <c r="C74" s="253" t="s">
        <v>5</v>
      </c>
    </row>
    <row r="75" spans="1:3" ht="12.75">
      <c r="A75" s="34" t="s">
        <v>9</v>
      </c>
      <c r="B75" s="250">
        <f>+C13+C30+C47+C64</f>
        <v>25.268571428571427</v>
      </c>
      <c r="C75" s="253" t="s">
        <v>5</v>
      </c>
    </row>
    <row r="76" spans="1:3" ht="12.75">
      <c r="A76" s="34" t="s">
        <v>325</v>
      </c>
      <c r="B76" s="257">
        <f>+C14+C31+C48+C65</f>
        <v>652.8480000000001</v>
      </c>
      <c r="C76" s="253"/>
    </row>
    <row r="77" spans="1:3" ht="12.75">
      <c r="A77" s="34" t="s">
        <v>11</v>
      </c>
      <c r="B77" s="250">
        <f>+C15+C32+C49+C66</f>
        <v>32.160000000000004</v>
      </c>
      <c r="C77" s="253" t="s">
        <v>5</v>
      </c>
    </row>
    <row r="78" spans="1:3" ht="12.75">
      <c r="A78" s="251" t="s">
        <v>12</v>
      </c>
      <c r="B78" s="252">
        <f>+C16+C33+C50+C67</f>
        <v>17.228571428571428</v>
      </c>
      <c r="C78" s="253" t="s">
        <v>5</v>
      </c>
    </row>
    <row r="79" spans="1:3" ht="12.75">
      <c r="A79" s="50"/>
      <c r="B79" s="253"/>
      <c r="C79" s="253"/>
    </row>
    <row r="80" spans="1:3" ht="12.75">
      <c r="A80" s="258" t="s">
        <v>333</v>
      </c>
      <c r="B80" s="253"/>
      <c r="C80" s="253"/>
    </row>
    <row r="81" spans="1:3" ht="12.75">
      <c r="A81" s="258" t="s">
        <v>334</v>
      </c>
      <c r="B81" s="253"/>
      <c r="C81" s="253"/>
    </row>
    <row r="82" ht="12.75">
      <c r="A82" s="48" t="s">
        <v>335</v>
      </c>
    </row>
    <row r="83" ht="12.75">
      <c r="A83" s="48" t="s">
        <v>336</v>
      </c>
    </row>
    <row r="84" ht="12.75">
      <c r="A84" s="48"/>
    </row>
    <row r="85" spans="1:4" ht="12.75">
      <c r="A85" s="48" t="s">
        <v>337</v>
      </c>
      <c r="D85" s="88">
        <v>37067</v>
      </c>
    </row>
  </sheetData>
  <sheetProtection/>
  <mergeCells count="5">
    <mergeCell ref="A20:E20"/>
    <mergeCell ref="A70:E70"/>
    <mergeCell ref="A3:E3"/>
    <mergeCell ref="A37:E37"/>
    <mergeCell ref="A55:E55"/>
  </mergeCells>
  <printOptions horizontalCentered="1"/>
  <pageMargins left="1.78" right="0.75" top="1" bottom="1" header="0.5" footer="0.5"/>
  <pageSetup horizontalDpi="600" verticalDpi="600" orientation="portrait" scale="86" r:id="rId1"/>
  <headerFooter alignWithMargins="0">
    <oddHeader>&amp;C&amp;"Arial,Bold"&amp;12COMBUSTION EMISSIONS ASSOCIATED WITH INCREMENTAL INCREASES 
IN HEATER/BOILER FIRING RATES
</oddHeader>
  </headerFooter>
  <rowBreaks count="1" manualBreakCount="1">
    <brk id="5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4">
      <selection activeCell="K54" sqref="K54"/>
    </sheetView>
  </sheetViews>
  <sheetFormatPr defaultColWidth="9.140625" defaultRowHeight="12.75"/>
  <cols>
    <col min="1" max="2" width="16.7109375" style="0" customWidth="1"/>
    <col min="3" max="5" width="15.7109375" style="0" customWidth="1"/>
    <col min="6" max="7" width="12.7109375" style="0" customWidth="1"/>
  </cols>
  <sheetData>
    <row r="1" spans="1:5" ht="12.75">
      <c r="A1" s="402" t="s">
        <v>341</v>
      </c>
      <c r="B1" s="402"/>
      <c r="C1" s="402"/>
      <c r="D1" s="402"/>
      <c r="E1" s="402"/>
    </row>
    <row r="2" spans="1:5" ht="12.75">
      <c r="A2" s="402" t="s">
        <v>342</v>
      </c>
      <c r="B2" s="402"/>
      <c r="C2" s="402"/>
      <c r="D2" s="402"/>
      <c r="E2" s="402"/>
    </row>
    <row r="3" ht="13.5" thickBot="1"/>
    <row r="4" spans="1:6" s="143" customFormat="1" ht="27" thickBot="1" thickTop="1">
      <c r="A4" s="139" t="s">
        <v>155</v>
      </c>
      <c r="B4" s="140" t="s">
        <v>156</v>
      </c>
      <c r="C4" s="140" t="s">
        <v>157</v>
      </c>
      <c r="D4" s="140" t="s">
        <v>160</v>
      </c>
      <c r="E4" s="142" t="s">
        <v>161</v>
      </c>
      <c r="F4" s="143" t="s">
        <v>5</v>
      </c>
    </row>
    <row r="5" spans="1:6" ht="13.5" thickTop="1">
      <c r="A5" s="34" t="s">
        <v>343</v>
      </c>
      <c r="B5" s="34" t="s">
        <v>163</v>
      </c>
      <c r="C5" s="34">
        <v>2</v>
      </c>
      <c r="D5" s="34">
        <v>104</v>
      </c>
      <c r="E5" s="34">
        <f aca="true" t="shared" si="0" ref="E5:E11">C5*D5</f>
        <v>208</v>
      </c>
      <c r="F5" s="145"/>
    </row>
    <row r="6" spans="1:5" ht="12.75">
      <c r="A6" s="34" t="s">
        <v>5</v>
      </c>
      <c r="B6" s="34" t="s">
        <v>164</v>
      </c>
      <c r="C6" s="34">
        <v>100</v>
      </c>
      <c r="D6" s="34">
        <v>19</v>
      </c>
      <c r="E6" s="34">
        <f t="shared" si="0"/>
        <v>1900</v>
      </c>
    </row>
    <row r="7" spans="1:5" ht="12.75">
      <c r="A7" s="34"/>
      <c r="B7" s="34" t="s">
        <v>165</v>
      </c>
      <c r="C7" s="34">
        <v>250</v>
      </c>
      <c r="D7" s="34">
        <v>1.5</v>
      </c>
      <c r="E7" s="34">
        <f t="shared" si="0"/>
        <v>375</v>
      </c>
    </row>
    <row r="8" spans="1:5" ht="12.75">
      <c r="A8" s="34"/>
      <c r="B8" s="147" t="s">
        <v>166</v>
      </c>
      <c r="C8" s="34">
        <v>27</v>
      </c>
      <c r="D8" s="34">
        <v>23</v>
      </c>
      <c r="E8" s="34">
        <f t="shared" si="0"/>
        <v>621</v>
      </c>
    </row>
    <row r="9" spans="1:5" ht="12.75">
      <c r="A9" s="34"/>
      <c r="B9" s="34" t="s">
        <v>169</v>
      </c>
      <c r="C9" s="34">
        <v>0</v>
      </c>
      <c r="D9" s="34">
        <v>514</v>
      </c>
      <c r="E9" s="34">
        <f t="shared" si="0"/>
        <v>0</v>
      </c>
    </row>
    <row r="10" spans="1:5" ht="12.75">
      <c r="A10" s="34"/>
      <c r="B10" s="34" t="s">
        <v>170</v>
      </c>
      <c r="C10" s="34">
        <v>3</v>
      </c>
      <c r="D10" s="34">
        <v>80</v>
      </c>
      <c r="E10" s="34">
        <f t="shared" si="0"/>
        <v>240</v>
      </c>
    </row>
    <row r="11" spans="1:5" ht="13.5" thickBot="1">
      <c r="A11" s="34"/>
      <c r="B11" s="46" t="s">
        <v>171</v>
      </c>
      <c r="C11" s="46">
        <v>10</v>
      </c>
      <c r="D11" s="34">
        <v>0</v>
      </c>
      <c r="E11" s="34">
        <f t="shared" si="0"/>
        <v>0</v>
      </c>
    </row>
    <row r="12" spans="1:5" ht="14.25" thickBot="1" thickTop="1">
      <c r="A12" s="46"/>
      <c r="B12" s="46" t="s">
        <v>344</v>
      </c>
      <c r="C12" s="46">
        <f>SUM(C5:C11)</f>
        <v>392</v>
      </c>
      <c r="D12" s="149" t="s">
        <v>5</v>
      </c>
      <c r="E12" s="149">
        <f>SUM(E5:E11)</f>
        <v>3344</v>
      </c>
    </row>
    <row r="13" spans="1:5" ht="13.5" thickTop="1">
      <c r="A13" s="34" t="s">
        <v>345</v>
      </c>
      <c r="B13" s="34" t="s">
        <v>163</v>
      </c>
      <c r="C13" s="34">
        <v>3</v>
      </c>
      <c r="D13" s="34">
        <v>104</v>
      </c>
      <c r="E13" s="34">
        <f aca="true" t="shared" si="1" ref="E13:E19">C13*D13</f>
        <v>312</v>
      </c>
    </row>
    <row r="14" spans="1:5" ht="12.75">
      <c r="A14" s="34" t="s">
        <v>5</v>
      </c>
      <c r="B14" s="34" t="s">
        <v>164</v>
      </c>
      <c r="C14" s="34">
        <v>85</v>
      </c>
      <c r="D14" s="34">
        <v>19</v>
      </c>
      <c r="E14" s="34">
        <f t="shared" si="1"/>
        <v>1615</v>
      </c>
    </row>
    <row r="15" spans="1:5" ht="12.75">
      <c r="A15" s="34"/>
      <c r="B15" s="34" t="s">
        <v>165</v>
      </c>
      <c r="C15" s="34">
        <v>205</v>
      </c>
      <c r="D15" s="34">
        <v>1.5</v>
      </c>
      <c r="E15" s="34">
        <f t="shared" si="1"/>
        <v>307.5</v>
      </c>
    </row>
    <row r="16" spans="1:5" ht="12.75">
      <c r="A16" s="34"/>
      <c r="B16" s="34" t="s">
        <v>166</v>
      </c>
      <c r="C16" s="34">
        <v>12</v>
      </c>
      <c r="D16" s="34">
        <v>23</v>
      </c>
      <c r="E16" s="34">
        <f t="shared" si="1"/>
        <v>276</v>
      </c>
    </row>
    <row r="17" spans="1:5" ht="12.75">
      <c r="A17" s="34"/>
      <c r="B17" s="34" t="s">
        <v>169</v>
      </c>
      <c r="C17" s="34">
        <v>0</v>
      </c>
      <c r="D17" s="34">
        <v>514</v>
      </c>
      <c r="E17" s="34">
        <f t="shared" si="1"/>
        <v>0</v>
      </c>
    </row>
    <row r="18" spans="1:5" ht="12.75">
      <c r="A18" s="34"/>
      <c r="B18" s="34" t="s">
        <v>170</v>
      </c>
      <c r="C18" s="34">
        <v>5</v>
      </c>
      <c r="D18" s="34">
        <v>80</v>
      </c>
      <c r="E18" s="34">
        <f t="shared" si="1"/>
        <v>400</v>
      </c>
    </row>
    <row r="19" spans="1:5" ht="13.5" thickBot="1">
      <c r="A19" s="34"/>
      <c r="B19" s="46" t="s">
        <v>171</v>
      </c>
      <c r="C19" s="46">
        <v>20</v>
      </c>
      <c r="D19" s="34">
        <v>0</v>
      </c>
      <c r="E19" s="34">
        <f t="shared" si="1"/>
        <v>0</v>
      </c>
    </row>
    <row r="20" spans="1:5" ht="14.25" thickBot="1" thickTop="1">
      <c r="A20" s="46"/>
      <c r="B20" s="46" t="s">
        <v>344</v>
      </c>
      <c r="C20" s="46">
        <f>SUM(C13:C19)</f>
        <v>330</v>
      </c>
      <c r="D20" s="149" t="s">
        <v>5</v>
      </c>
      <c r="E20" s="149">
        <f>SUM(E13:E19)</f>
        <v>2910.5</v>
      </c>
    </row>
    <row r="21" spans="1:5" ht="13.5" thickTop="1">
      <c r="A21" s="34" t="s">
        <v>346</v>
      </c>
      <c r="B21" s="34" t="s">
        <v>163</v>
      </c>
      <c r="C21" s="34">
        <v>0</v>
      </c>
      <c r="D21" s="34">
        <v>104</v>
      </c>
      <c r="E21" s="34">
        <f aca="true" t="shared" si="2" ref="E21:E27">C21*D21</f>
        <v>0</v>
      </c>
    </row>
    <row r="22" spans="1:5" ht="12.75">
      <c r="A22" s="34" t="s">
        <v>5</v>
      </c>
      <c r="B22" s="34" t="s">
        <v>164</v>
      </c>
      <c r="C22" s="34">
        <v>0</v>
      </c>
      <c r="D22" s="34">
        <v>19</v>
      </c>
      <c r="E22" s="34">
        <f t="shared" si="2"/>
        <v>0</v>
      </c>
    </row>
    <row r="23" spans="1:5" ht="12.75">
      <c r="A23" s="34"/>
      <c r="B23" s="34" t="s">
        <v>165</v>
      </c>
      <c r="C23" s="34">
        <v>20</v>
      </c>
      <c r="D23" s="34">
        <v>1.5</v>
      </c>
      <c r="E23" s="34">
        <f t="shared" si="2"/>
        <v>30</v>
      </c>
    </row>
    <row r="24" spans="1:5" ht="12.75">
      <c r="A24" s="34"/>
      <c r="B24" s="147" t="s">
        <v>166</v>
      </c>
      <c r="C24" s="34">
        <v>8</v>
      </c>
      <c r="D24" s="34">
        <v>23</v>
      </c>
      <c r="E24" s="34">
        <f t="shared" si="2"/>
        <v>184</v>
      </c>
    </row>
    <row r="25" spans="1:5" ht="12.75">
      <c r="A25" s="34"/>
      <c r="B25" s="34" t="s">
        <v>169</v>
      </c>
      <c r="C25" s="34">
        <v>0</v>
      </c>
      <c r="D25" s="34">
        <v>514</v>
      </c>
      <c r="E25" s="34">
        <f t="shared" si="2"/>
        <v>0</v>
      </c>
    </row>
    <row r="26" spans="1:5" ht="12.75">
      <c r="A26" s="34" t="s">
        <v>5</v>
      </c>
      <c r="B26" s="34" t="s">
        <v>170</v>
      </c>
      <c r="C26" s="34">
        <v>0</v>
      </c>
      <c r="D26" s="34">
        <v>80</v>
      </c>
      <c r="E26" s="34">
        <f t="shared" si="2"/>
        <v>0</v>
      </c>
    </row>
    <row r="27" spans="1:5" ht="13.5" thickBot="1">
      <c r="A27" s="34"/>
      <c r="B27" s="46" t="s">
        <v>171</v>
      </c>
      <c r="C27" s="46">
        <v>3</v>
      </c>
      <c r="D27" s="34">
        <v>0</v>
      </c>
      <c r="E27" s="34">
        <f t="shared" si="2"/>
        <v>0</v>
      </c>
    </row>
    <row r="28" spans="1:5" ht="14.25" thickBot="1" thickTop="1">
      <c r="A28" s="46"/>
      <c r="B28" s="46" t="s">
        <v>344</v>
      </c>
      <c r="C28" s="46">
        <f>SUM(C21:C27)</f>
        <v>31</v>
      </c>
      <c r="D28" s="149" t="s">
        <v>5</v>
      </c>
      <c r="E28" s="149">
        <f>SUM(E21:E27)</f>
        <v>214</v>
      </c>
    </row>
    <row r="29" spans="1:5" ht="13.5" thickTop="1">
      <c r="A29" s="34" t="s">
        <v>347</v>
      </c>
      <c r="B29" s="34" t="s">
        <v>163</v>
      </c>
      <c r="C29" s="34">
        <v>0</v>
      </c>
      <c r="D29" s="34">
        <v>104</v>
      </c>
      <c r="E29" s="34">
        <f aca="true" t="shared" si="3" ref="E29:E35">C29*D29</f>
        <v>0</v>
      </c>
    </row>
    <row r="30" spans="1:5" ht="12.75">
      <c r="A30" s="34" t="s">
        <v>5</v>
      </c>
      <c r="B30" s="34" t="s">
        <v>164</v>
      </c>
      <c r="C30" s="34">
        <v>7</v>
      </c>
      <c r="D30" s="34">
        <v>19</v>
      </c>
      <c r="E30" s="34">
        <f t="shared" si="3"/>
        <v>133</v>
      </c>
    </row>
    <row r="31" spans="1:5" ht="12.75">
      <c r="A31" s="34"/>
      <c r="B31" s="34" t="s">
        <v>165</v>
      </c>
      <c r="C31" s="34">
        <v>77</v>
      </c>
      <c r="D31" s="34">
        <v>1.5</v>
      </c>
      <c r="E31" s="34">
        <f t="shared" si="3"/>
        <v>115.5</v>
      </c>
    </row>
    <row r="32" spans="1:5" ht="12.75">
      <c r="A32" s="34"/>
      <c r="B32" s="147" t="s">
        <v>166</v>
      </c>
      <c r="C32" s="34">
        <v>26</v>
      </c>
      <c r="D32" s="34">
        <v>23</v>
      </c>
      <c r="E32" s="34">
        <f t="shared" si="3"/>
        <v>598</v>
      </c>
    </row>
    <row r="33" spans="1:5" ht="12.75">
      <c r="A33" s="34"/>
      <c r="B33" s="34" t="s">
        <v>169</v>
      </c>
      <c r="C33" s="34">
        <v>1</v>
      </c>
      <c r="D33" s="34">
        <v>514</v>
      </c>
      <c r="E33" s="34">
        <f t="shared" si="3"/>
        <v>514</v>
      </c>
    </row>
    <row r="34" spans="1:5" ht="12.75">
      <c r="A34" s="34"/>
      <c r="B34" s="34" t="s">
        <v>170</v>
      </c>
      <c r="C34" s="34">
        <v>1</v>
      </c>
      <c r="D34" s="34">
        <v>80</v>
      </c>
      <c r="E34" s="34">
        <f t="shared" si="3"/>
        <v>80</v>
      </c>
    </row>
    <row r="35" spans="1:5" ht="13.5" thickBot="1">
      <c r="A35" s="34"/>
      <c r="B35" s="34" t="s">
        <v>171</v>
      </c>
      <c r="C35" s="34">
        <v>1</v>
      </c>
      <c r="D35" s="34">
        <v>0</v>
      </c>
      <c r="E35" s="34">
        <f t="shared" si="3"/>
        <v>0</v>
      </c>
    </row>
    <row r="36" spans="1:5" ht="14.25" thickBot="1" thickTop="1">
      <c r="A36" s="46"/>
      <c r="B36" s="149" t="s">
        <v>344</v>
      </c>
      <c r="C36" s="149">
        <f>SUM(C29:C35)</f>
        <v>113</v>
      </c>
      <c r="D36" s="149" t="s">
        <v>5</v>
      </c>
      <c r="E36" s="149">
        <f>SUM(E29:E35)</f>
        <v>1440.5</v>
      </c>
    </row>
    <row r="37" spans="1:5" ht="13.5" thickTop="1">
      <c r="A37" s="150" t="s">
        <v>348</v>
      </c>
      <c r="B37" s="150" t="s">
        <v>163</v>
      </c>
      <c r="C37" s="34">
        <v>0</v>
      </c>
      <c r="D37" s="150">
        <v>104</v>
      </c>
      <c r="E37" s="34">
        <f aca="true" t="shared" si="4" ref="E37:E43">C37*D37</f>
        <v>0</v>
      </c>
    </row>
    <row r="38" spans="1:5" ht="12.75">
      <c r="A38" s="34" t="s">
        <v>5</v>
      </c>
      <c r="B38" s="34" t="s">
        <v>164</v>
      </c>
      <c r="C38" s="34">
        <v>15</v>
      </c>
      <c r="D38" s="34">
        <v>19</v>
      </c>
      <c r="E38" s="34">
        <f t="shared" si="4"/>
        <v>285</v>
      </c>
    </row>
    <row r="39" spans="1:5" ht="12.75">
      <c r="A39" s="34"/>
      <c r="B39" s="34" t="s">
        <v>165</v>
      </c>
      <c r="C39" s="34">
        <v>45</v>
      </c>
      <c r="D39" s="34">
        <v>1.5</v>
      </c>
      <c r="E39" s="34">
        <f t="shared" si="4"/>
        <v>67.5</v>
      </c>
    </row>
    <row r="40" spans="1:5" ht="12.75">
      <c r="A40" s="34"/>
      <c r="B40" s="34" t="s">
        <v>166</v>
      </c>
      <c r="C40" s="34">
        <v>0</v>
      </c>
      <c r="D40" s="34">
        <v>23</v>
      </c>
      <c r="E40" s="34">
        <f t="shared" si="4"/>
        <v>0</v>
      </c>
    </row>
    <row r="41" spans="1:5" ht="12.75">
      <c r="A41" s="34"/>
      <c r="B41" s="34" t="s">
        <v>169</v>
      </c>
      <c r="C41" s="34">
        <v>0</v>
      </c>
      <c r="D41" s="34">
        <v>514</v>
      </c>
      <c r="E41" s="34">
        <f t="shared" si="4"/>
        <v>0</v>
      </c>
    </row>
    <row r="42" spans="1:5" ht="12.75">
      <c r="A42" s="34"/>
      <c r="B42" s="34" t="s">
        <v>170</v>
      </c>
      <c r="C42" s="34">
        <v>2</v>
      </c>
      <c r="D42" s="34">
        <v>80</v>
      </c>
      <c r="E42" s="34">
        <f t="shared" si="4"/>
        <v>160</v>
      </c>
    </row>
    <row r="43" spans="1:5" ht="13.5" thickBot="1">
      <c r="A43" s="34"/>
      <c r="B43" s="46" t="s">
        <v>171</v>
      </c>
      <c r="C43" s="46">
        <v>2</v>
      </c>
      <c r="D43" s="34">
        <v>0</v>
      </c>
      <c r="E43" s="34">
        <f t="shared" si="4"/>
        <v>0</v>
      </c>
    </row>
    <row r="44" spans="1:5" ht="14.25" thickBot="1" thickTop="1">
      <c r="A44" s="46"/>
      <c r="B44" s="46" t="s">
        <v>344</v>
      </c>
      <c r="C44" s="46">
        <f>SUM(C37:C43)</f>
        <v>64</v>
      </c>
      <c r="D44" s="149" t="s">
        <v>5</v>
      </c>
      <c r="E44" s="149">
        <f>SUM(E37:E43)</f>
        <v>512.5</v>
      </c>
    </row>
    <row r="45" spans="1:5" ht="13.5" thickTop="1">
      <c r="A45" s="160"/>
      <c r="B45" s="161" t="s">
        <v>195</v>
      </c>
      <c r="C45" s="50"/>
      <c r="D45" s="50"/>
      <c r="E45" s="162">
        <f>SUM(E5:E44)-E44-E36-E28-E20-E12</f>
        <v>8421.5</v>
      </c>
    </row>
    <row r="46" spans="1:5" ht="13.5" thickBot="1">
      <c r="A46" s="163"/>
      <c r="B46" s="164" t="s">
        <v>196</v>
      </c>
      <c r="C46" s="152"/>
      <c r="D46" s="152"/>
      <c r="E46" s="165">
        <f>+(E45/365)</f>
        <v>23.072602739726026</v>
      </c>
    </row>
    <row r="47" ht="13.5" thickTop="1"/>
    <row r="48" ht="12.75">
      <c r="A48" t="s">
        <v>197</v>
      </c>
    </row>
    <row r="51" spans="1:5" ht="12.75">
      <c r="A51" s="48" t="s">
        <v>198</v>
      </c>
      <c r="E51" s="88">
        <v>37067</v>
      </c>
    </row>
    <row r="52" ht="12.75">
      <c r="A52" s="48"/>
    </row>
    <row r="53" ht="12.75">
      <c r="A53" s="48"/>
    </row>
    <row r="54" ht="12.75">
      <c r="A54" s="48"/>
    </row>
    <row r="55" ht="12.75">
      <c r="A55" s="48"/>
    </row>
    <row r="56" ht="13.5" thickBot="1"/>
    <row r="57" spans="1:7" ht="12.75">
      <c r="A57" s="80"/>
      <c r="B57" s="119"/>
      <c r="C57" s="96" t="s">
        <v>349</v>
      </c>
      <c r="D57" s="62" t="s">
        <v>350</v>
      </c>
      <c r="E57" s="62" t="s">
        <v>346</v>
      </c>
      <c r="F57" s="62" t="s">
        <v>347</v>
      </c>
      <c r="G57" s="62" t="s">
        <v>348</v>
      </c>
    </row>
    <row r="58" spans="1:7" ht="13.5" thickBot="1">
      <c r="A58" s="69" t="s">
        <v>351</v>
      </c>
      <c r="B58" s="126" t="s">
        <v>352</v>
      </c>
      <c r="C58" s="73" t="s">
        <v>353</v>
      </c>
      <c r="D58" s="73" t="s">
        <v>353</v>
      </c>
      <c r="E58" s="73" t="s">
        <v>353</v>
      </c>
      <c r="F58" s="73" t="s">
        <v>353</v>
      </c>
      <c r="G58" s="73" t="s">
        <v>353</v>
      </c>
    </row>
    <row r="59" spans="1:7" ht="12.75">
      <c r="A59" s="259" t="s">
        <v>354</v>
      </c>
      <c r="B59" s="260">
        <v>0.000489</v>
      </c>
      <c r="C59" s="261">
        <f>+$E12*B59</f>
        <v>1.6352159999999998</v>
      </c>
      <c r="D59" s="261">
        <f>+E20*B59</f>
        <v>1.4232345</v>
      </c>
      <c r="E59" s="261">
        <f>+E28*B59</f>
        <v>0.10464599999999999</v>
      </c>
      <c r="F59" s="261">
        <f>+E36*B59</f>
        <v>0.7044045</v>
      </c>
      <c r="G59" s="261">
        <f>+E44*B59</f>
        <v>0.25061249999999996</v>
      </c>
    </row>
    <row r="60" spans="1:7" ht="12.75">
      <c r="A60" s="137" t="s">
        <v>355</v>
      </c>
      <c r="B60" s="262">
        <v>0.002577</v>
      </c>
      <c r="C60" s="263">
        <f>+$E12*B60</f>
        <v>8.617488</v>
      </c>
      <c r="D60" s="264">
        <f>+E20*B60</f>
        <v>7.5003585</v>
      </c>
      <c r="E60" s="264">
        <f>+E28*B60</f>
        <v>0.551478</v>
      </c>
      <c r="F60" s="264">
        <f>+E36*B60</f>
        <v>3.7121684999999998</v>
      </c>
      <c r="G60" s="264">
        <f>+E44*B60</f>
        <v>1.3207125</v>
      </c>
    </row>
    <row r="61" spans="1:7" ht="12.75">
      <c r="A61" s="137" t="s">
        <v>356</v>
      </c>
      <c r="B61" s="262">
        <v>3.76E-05</v>
      </c>
      <c r="C61" s="264">
        <f>+E12*B61</f>
        <v>0.1257344</v>
      </c>
      <c r="D61" s="264">
        <f>+E20*B61</f>
        <v>0.1094348</v>
      </c>
      <c r="E61" s="264">
        <f>+E28*B61</f>
        <v>0.0080464</v>
      </c>
      <c r="F61" s="264">
        <f>+E36*B61</f>
        <v>0.0541628</v>
      </c>
      <c r="G61" s="264">
        <f>+E44*B61</f>
        <v>0.01927</v>
      </c>
    </row>
    <row r="62" spans="1:7" ht="12.75">
      <c r="A62" s="265" t="s">
        <v>357</v>
      </c>
      <c r="B62" s="262">
        <v>0.7571</v>
      </c>
      <c r="C62" s="264">
        <f>+E12*B62</f>
        <v>2531.7424</v>
      </c>
      <c r="D62" s="264">
        <f>+E20*B62</f>
        <v>2203.53955</v>
      </c>
      <c r="E62" s="264">
        <f>+E28*B62</f>
        <v>162.0194</v>
      </c>
      <c r="F62" s="264">
        <f>+E36*B62</f>
        <v>1090.60255</v>
      </c>
      <c r="G62" s="264">
        <f>+E44*B62</f>
        <v>388.01375</v>
      </c>
    </row>
    <row r="63" spans="1:7" ht="12.75">
      <c r="A63" s="137" t="s">
        <v>358</v>
      </c>
      <c r="B63" s="262">
        <v>0.0004515</v>
      </c>
      <c r="C63" s="264">
        <f>+E12*B63</f>
        <v>1.509816</v>
      </c>
      <c r="D63" s="264">
        <f>+E20*B63</f>
        <v>1.31409075</v>
      </c>
      <c r="E63" s="264">
        <f>+E28*B63</f>
        <v>0.096621</v>
      </c>
      <c r="F63" s="264">
        <f>+E36*B63</f>
        <v>0.65038575</v>
      </c>
      <c r="G63" s="264">
        <f>+E44*B63</f>
        <v>0.23139375</v>
      </c>
    </row>
    <row r="64" spans="1:7" ht="12.75">
      <c r="A64" s="137" t="s">
        <v>359</v>
      </c>
      <c r="B64" s="262">
        <v>0.001543</v>
      </c>
      <c r="C64" s="264">
        <f>+E12*B64</f>
        <v>5.159792</v>
      </c>
      <c r="D64" s="264">
        <f>+E20*B64</f>
        <v>4.4909015000000005</v>
      </c>
      <c r="E64" s="264">
        <f>+E28*B64</f>
        <v>0.330202</v>
      </c>
      <c r="F64" s="264">
        <f>+E36*B64</f>
        <v>2.2226915000000003</v>
      </c>
      <c r="G64" s="264">
        <f>+E44*B64</f>
        <v>0.7907875000000001</v>
      </c>
    </row>
    <row r="65" spans="1:7" ht="12.75">
      <c r="A65" s="137" t="s">
        <v>360</v>
      </c>
      <c r="B65" s="262">
        <v>0.001768</v>
      </c>
      <c r="C65" s="264">
        <f>+E12*B65</f>
        <v>5.912192</v>
      </c>
      <c r="D65" s="264">
        <f>+E20*B65</f>
        <v>5.145764</v>
      </c>
      <c r="E65" s="264">
        <f>+E28*B65</f>
        <v>0.378352</v>
      </c>
      <c r="F65" s="264">
        <f>+E36*B65</f>
        <v>2.546804</v>
      </c>
      <c r="G65" s="264">
        <f>+E44*B65</f>
        <v>0.9061</v>
      </c>
    </row>
    <row r="66" spans="1:7" ht="12.75">
      <c r="A66" s="137" t="s">
        <v>361</v>
      </c>
      <c r="B66" s="262">
        <v>9.41E-05</v>
      </c>
      <c r="C66" s="264">
        <f>+E12*B66</f>
        <v>0.3146704</v>
      </c>
      <c r="D66" s="264">
        <f>+E20*B66</f>
        <v>0.27387805</v>
      </c>
      <c r="E66" s="264">
        <f>+E28*B66</f>
        <v>0.0201374</v>
      </c>
      <c r="F66" s="264">
        <f>+E36*B66</f>
        <v>0.13555105</v>
      </c>
      <c r="G66" s="264">
        <f>+E44*B66</f>
        <v>0.04822625</v>
      </c>
    </row>
    <row r="67" spans="1:7" ht="12.75">
      <c r="A67" s="137" t="s">
        <v>362</v>
      </c>
      <c r="B67" s="262">
        <v>0.002333</v>
      </c>
      <c r="C67" s="264">
        <f>+E12*B67</f>
        <v>7.801552</v>
      </c>
      <c r="D67" s="264">
        <f>+E20*B67</f>
        <v>6.7901965</v>
      </c>
      <c r="E67" s="264">
        <f>+E28*B67</f>
        <v>0.499262</v>
      </c>
      <c r="F67" s="264">
        <f>+E36*B67</f>
        <v>3.3606865</v>
      </c>
      <c r="G67" s="264">
        <f>+E44*B67</f>
        <v>1.1956625</v>
      </c>
    </row>
    <row r="68" spans="1:7" ht="12.75">
      <c r="A68" s="137" t="s">
        <v>363</v>
      </c>
      <c r="B68" s="262">
        <v>0.001505</v>
      </c>
      <c r="C68" s="264">
        <f>+E12*B68</f>
        <v>5.03272</v>
      </c>
      <c r="D68" s="264">
        <f>+E20*B68</f>
        <v>4.3803025</v>
      </c>
      <c r="E68" s="264">
        <f>+E28*B68</f>
        <v>0.32207</v>
      </c>
      <c r="F68" s="264">
        <f>+E36*B68</f>
        <v>2.1679525</v>
      </c>
      <c r="G68" s="264">
        <f>+E44*B68</f>
        <v>0.7713125000000001</v>
      </c>
    </row>
    <row r="69" spans="1:7" ht="12.75">
      <c r="A69" s="137" t="s">
        <v>364</v>
      </c>
      <c r="B69" s="262">
        <v>0.232</v>
      </c>
      <c r="C69" s="264">
        <f>+E12*B69</f>
        <v>775.808</v>
      </c>
      <c r="D69" s="264">
        <f>+E20*B69</f>
        <v>675.236</v>
      </c>
      <c r="E69" s="264">
        <f>+E28*B69</f>
        <v>49.648</v>
      </c>
      <c r="F69" s="264">
        <f>+E36*B69</f>
        <v>334.196</v>
      </c>
      <c r="G69" s="264">
        <f>+E44*B69</f>
        <v>118.9</v>
      </c>
    </row>
  </sheetData>
  <sheetProtection/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">
      <selection activeCell="F23" sqref="F23"/>
    </sheetView>
  </sheetViews>
  <sheetFormatPr defaultColWidth="9.140625" defaultRowHeight="12.75"/>
  <cols>
    <col min="1" max="1" width="36.57421875" style="0" bestFit="1" customWidth="1"/>
    <col min="2" max="2" width="10.7109375" style="285" customWidth="1"/>
    <col min="3" max="6" width="10.7109375" style="0" customWidth="1"/>
  </cols>
  <sheetData>
    <row r="1" spans="1:6" ht="12.75">
      <c r="A1" s="266"/>
      <c r="B1" s="267"/>
      <c r="C1" s="268"/>
      <c r="D1" s="268"/>
      <c r="E1" s="268"/>
      <c r="F1" s="268"/>
    </row>
    <row r="2" spans="1:6" ht="12.75">
      <c r="A2" s="269"/>
      <c r="B2" s="270" t="s">
        <v>365</v>
      </c>
      <c r="C2" s="271" t="s">
        <v>366</v>
      </c>
      <c r="D2" s="271" t="s">
        <v>367</v>
      </c>
      <c r="E2" s="271" t="s">
        <v>368</v>
      </c>
      <c r="F2" s="271" t="s">
        <v>369</v>
      </c>
    </row>
    <row r="3" spans="1:6" ht="12.75">
      <c r="A3" s="272"/>
      <c r="B3" s="273"/>
      <c r="C3" s="251"/>
      <c r="D3" s="251"/>
      <c r="E3" s="251"/>
      <c r="F3" s="251"/>
    </row>
    <row r="4" spans="1:6" ht="12.75">
      <c r="A4" s="274" t="s">
        <v>370</v>
      </c>
      <c r="B4" s="275"/>
      <c r="C4" s="137"/>
      <c r="D4" s="137"/>
      <c r="E4" s="137"/>
      <c r="F4" s="137"/>
    </row>
    <row r="5" spans="1:6" ht="12.75">
      <c r="A5" s="276" t="s">
        <v>371</v>
      </c>
      <c r="B5" s="275">
        <v>6276.34</v>
      </c>
      <c r="C5" s="277">
        <v>6658.74</v>
      </c>
      <c r="D5" s="277">
        <v>6658.2</v>
      </c>
      <c r="E5" s="277">
        <v>6276.32</v>
      </c>
      <c r="F5" s="277">
        <v>6276.3</v>
      </c>
    </row>
    <row r="6" spans="1:6" ht="12.75">
      <c r="A6" s="274"/>
      <c r="B6" s="275"/>
      <c r="C6" s="277"/>
      <c r="D6" s="277"/>
      <c r="E6" s="277"/>
      <c r="F6" s="277"/>
    </row>
    <row r="7" spans="1:6" ht="12.75">
      <c r="A7" s="274" t="s">
        <v>372</v>
      </c>
      <c r="B7" s="275"/>
      <c r="C7" s="277"/>
      <c r="D7" s="277"/>
      <c r="E7" s="277"/>
      <c r="F7" s="277"/>
    </row>
    <row r="8" spans="1:6" ht="12.75">
      <c r="A8" s="276" t="s">
        <v>371</v>
      </c>
      <c r="B8" s="275">
        <v>5330.46</v>
      </c>
      <c r="C8" s="277">
        <v>5460.11</v>
      </c>
      <c r="D8" s="277">
        <v>5460.11</v>
      </c>
      <c r="E8" s="277">
        <v>6344.6</v>
      </c>
      <c r="F8" s="277">
        <v>6344.6</v>
      </c>
    </row>
    <row r="9" spans="1:6" ht="12.75">
      <c r="A9" s="276"/>
      <c r="B9" s="275"/>
      <c r="C9" s="277"/>
      <c r="D9" s="277"/>
      <c r="E9" s="277"/>
      <c r="F9" s="277"/>
    </row>
    <row r="10" spans="1:6" ht="12.75">
      <c r="A10" s="276" t="s">
        <v>373</v>
      </c>
      <c r="B10" s="275">
        <f>+(B5+B8)/2</f>
        <v>5803.4</v>
      </c>
      <c r="C10" s="275">
        <f>+(C5+C8)/2</f>
        <v>6059.424999999999</v>
      </c>
      <c r="D10" s="275">
        <f>+(D5+D8)/2</f>
        <v>6059.155</v>
      </c>
      <c r="E10" s="275">
        <f>+(E5+E8)/2</f>
        <v>6310.46</v>
      </c>
      <c r="F10" s="275">
        <f>+(F5+F8)/2</f>
        <v>6310.450000000001</v>
      </c>
    </row>
    <row r="11" spans="1:6" ht="12.75">
      <c r="A11" s="274"/>
      <c r="B11" s="275"/>
      <c r="C11" s="137"/>
      <c r="D11" s="137"/>
      <c r="E11" s="137"/>
      <c r="F11" s="137"/>
    </row>
    <row r="12" spans="1:6" ht="12.75">
      <c r="A12" s="274" t="s">
        <v>374</v>
      </c>
      <c r="B12" s="275"/>
      <c r="C12" s="137"/>
      <c r="D12" s="137"/>
      <c r="E12" s="137"/>
      <c r="F12" s="137"/>
    </row>
    <row r="13" spans="1:6" ht="12.75">
      <c r="A13" s="276" t="s">
        <v>375</v>
      </c>
      <c r="B13" s="277">
        <f>669.65*1.7736/11.449</f>
        <v>103.73755262468339</v>
      </c>
      <c r="C13" s="277">
        <f>669.65*1.7736/11.449</f>
        <v>103.73755262468339</v>
      </c>
      <c r="D13" s="277">
        <f>669.65*1.7736/11.449</f>
        <v>103.73755262468339</v>
      </c>
      <c r="E13" s="277">
        <f>669.65*1.7736/11.449</f>
        <v>103.73755262468339</v>
      </c>
      <c r="F13" s="277">
        <f>669.65*1.7736/11.449</f>
        <v>103.73755262468339</v>
      </c>
    </row>
    <row r="14" spans="1:6" ht="12.75">
      <c r="A14" s="276" t="s">
        <v>376</v>
      </c>
      <c r="B14" s="277">
        <v>669.65</v>
      </c>
      <c r="C14" s="277">
        <v>669.65</v>
      </c>
      <c r="D14" s="277">
        <v>669.65</v>
      </c>
      <c r="E14" s="277">
        <v>669.65</v>
      </c>
      <c r="F14" s="277">
        <v>669.65</v>
      </c>
    </row>
    <row r="15" spans="1:6" ht="12.75">
      <c r="A15" s="274"/>
      <c r="B15" s="275"/>
      <c r="C15" s="137"/>
      <c r="D15" s="137"/>
      <c r="E15" s="137"/>
      <c r="F15" s="137"/>
    </row>
    <row r="16" spans="1:6" ht="12.75">
      <c r="A16" s="274" t="s">
        <v>377</v>
      </c>
      <c r="B16" s="275"/>
      <c r="C16" s="137"/>
      <c r="D16" s="137"/>
      <c r="E16" s="137"/>
      <c r="F16" s="137"/>
    </row>
    <row r="17" spans="1:6" ht="12.75">
      <c r="A17" s="276" t="s">
        <v>375</v>
      </c>
      <c r="B17" s="277">
        <f>1326.97*1.7736/11.449</f>
        <v>205.56502681456897</v>
      </c>
      <c r="C17" s="277">
        <f>1326.97*1.7736/11.449</f>
        <v>205.56502681456897</v>
      </c>
      <c r="D17" s="277">
        <f>1326.97*1.7736/11.449</f>
        <v>205.56502681456897</v>
      </c>
      <c r="E17" s="277">
        <f>1326.97*1.7736/11.449</f>
        <v>205.56502681456897</v>
      </c>
      <c r="F17" s="277">
        <f>1326.97*1.7736/11.449</f>
        <v>205.56502681456897</v>
      </c>
    </row>
    <row r="18" spans="1:6" ht="12.75">
      <c r="A18" s="276" t="s">
        <v>376</v>
      </c>
      <c r="B18" s="277">
        <v>1326.97</v>
      </c>
      <c r="C18" s="277">
        <v>1326.97</v>
      </c>
      <c r="D18" s="277">
        <v>1326.97</v>
      </c>
      <c r="E18" s="277">
        <v>1326.97</v>
      </c>
      <c r="F18" s="277">
        <v>1326.97</v>
      </c>
    </row>
    <row r="19" spans="1:6" ht="12.75">
      <c r="A19" s="278" t="s">
        <v>378</v>
      </c>
      <c r="B19" s="279"/>
      <c r="C19" s="280"/>
      <c r="D19" s="280"/>
      <c r="E19" s="280"/>
      <c r="F19" s="281"/>
    </row>
    <row r="20" spans="1:6" ht="15">
      <c r="A20" s="282" t="s">
        <v>384</v>
      </c>
      <c r="B20" s="283">
        <f>+B18-B10</f>
        <v>-4476.429999999999</v>
      </c>
      <c r="C20" s="283">
        <f>+C18-C10</f>
        <v>-4732.454999999999</v>
      </c>
      <c r="D20" s="283">
        <f>+D18-D10</f>
        <v>-4732.1849999999995</v>
      </c>
      <c r="E20" s="283">
        <f>+E18-E10</f>
        <v>-4983.49</v>
      </c>
      <c r="F20" s="284">
        <f>+F18-F10</f>
        <v>-4983.4800000000005</v>
      </c>
    </row>
    <row r="22" spans="1:6" ht="12.75">
      <c r="A22" s="48" t="s">
        <v>379</v>
      </c>
      <c r="F22" s="88">
        <v>37067</v>
      </c>
    </row>
    <row r="25" ht="13.5" thickBot="1"/>
    <row r="26" spans="1:4" ht="12.75">
      <c r="A26" s="80"/>
      <c r="B26" s="403" t="s">
        <v>352</v>
      </c>
      <c r="C26" s="62" t="s">
        <v>380</v>
      </c>
      <c r="D26" s="62" t="s">
        <v>381</v>
      </c>
    </row>
    <row r="27" spans="1:4" ht="13.5" thickBot="1">
      <c r="A27" s="69" t="s">
        <v>351</v>
      </c>
      <c r="B27" s="404"/>
      <c r="C27" s="73" t="s">
        <v>353</v>
      </c>
      <c r="D27" s="73" t="s">
        <v>353</v>
      </c>
    </row>
    <row r="28" spans="1:4" ht="12.75">
      <c r="A28" s="259" t="s">
        <v>354</v>
      </c>
      <c r="B28" s="260">
        <v>0.000489</v>
      </c>
      <c r="C28" s="286">
        <f>+B18*B28</f>
        <v>0.64888833</v>
      </c>
      <c r="D28" s="287">
        <f aca="true" t="shared" si="0" ref="D28:D38">+C28*5</f>
        <v>3.24444165</v>
      </c>
    </row>
    <row r="29" spans="1:4" ht="12.75">
      <c r="A29" s="137" t="s">
        <v>355</v>
      </c>
      <c r="B29" s="262">
        <v>0.002577</v>
      </c>
      <c r="C29" s="264">
        <f>+B18*B29</f>
        <v>3.41960169</v>
      </c>
      <c r="D29" s="22">
        <f t="shared" si="0"/>
        <v>17.09800845</v>
      </c>
    </row>
    <row r="30" spans="1:4" ht="12.75">
      <c r="A30" s="137" t="s">
        <v>356</v>
      </c>
      <c r="B30" s="262">
        <v>3.76E-05</v>
      </c>
      <c r="C30" s="264">
        <f>+B18*B30</f>
        <v>0.049894072</v>
      </c>
      <c r="D30" s="22">
        <f t="shared" si="0"/>
        <v>0.24947036</v>
      </c>
    </row>
    <row r="31" spans="1:4" ht="12.75">
      <c r="A31" s="288" t="s">
        <v>382</v>
      </c>
      <c r="B31" s="262">
        <v>0.7571</v>
      </c>
      <c r="C31" s="264">
        <f>+B18*B31</f>
        <v>1004.648987</v>
      </c>
      <c r="D31" s="22">
        <f t="shared" si="0"/>
        <v>5023.244935000001</v>
      </c>
    </row>
    <row r="32" spans="1:4" ht="12.75">
      <c r="A32" s="137" t="s">
        <v>358</v>
      </c>
      <c r="B32" s="262">
        <v>0.0004515</v>
      </c>
      <c r="C32" s="264">
        <f>+B18*B32</f>
        <v>0.599126955</v>
      </c>
      <c r="D32" s="22">
        <f t="shared" si="0"/>
        <v>2.995634775</v>
      </c>
    </row>
    <row r="33" spans="1:4" ht="12.75">
      <c r="A33" s="137" t="s">
        <v>359</v>
      </c>
      <c r="B33" s="262">
        <v>0.001543</v>
      </c>
      <c r="C33" s="264">
        <f>+B18*B33</f>
        <v>2.04751471</v>
      </c>
      <c r="D33" s="22">
        <f t="shared" si="0"/>
        <v>10.23757355</v>
      </c>
    </row>
    <row r="34" spans="1:4" ht="12.75">
      <c r="A34" s="137" t="s">
        <v>360</v>
      </c>
      <c r="B34" s="262">
        <v>0.001768</v>
      </c>
      <c r="C34" s="264">
        <f>+B18*B34</f>
        <v>2.34608296</v>
      </c>
      <c r="D34" s="22">
        <f t="shared" si="0"/>
        <v>11.7304148</v>
      </c>
    </row>
    <row r="35" spans="1:4" ht="12.75">
      <c r="A35" s="137" t="s">
        <v>361</v>
      </c>
      <c r="B35" s="262">
        <v>9.41E-05</v>
      </c>
      <c r="C35" s="264">
        <f>+B18*B35</f>
        <v>0.124867877</v>
      </c>
      <c r="D35" s="22">
        <f t="shared" si="0"/>
        <v>0.624339385</v>
      </c>
    </row>
    <row r="36" spans="1:4" ht="12.75">
      <c r="A36" s="137" t="s">
        <v>362</v>
      </c>
      <c r="B36" s="262">
        <v>0.002333</v>
      </c>
      <c r="C36" s="264">
        <f>+B18*B36</f>
        <v>3.09582101</v>
      </c>
      <c r="D36" s="22">
        <f t="shared" si="0"/>
        <v>15.47910505</v>
      </c>
    </row>
    <row r="37" spans="1:4" ht="12.75">
      <c r="A37" s="137" t="s">
        <v>363</v>
      </c>
      <c r="B37" s="262">
        <v>0.001505</v>
      </c>
      <c r="C37" s="264">
        <f>+B18*B37</f>
        <v>1.99708985</v>
      </c>
      <c r="D37" s="22">
        <f t="shared" si="0"/>
        <v>9.98544925</v>
      </c>
    </row>
    <row r="38" spans="1:4" ht="12.75">
      <c r="A38" s="137" t="s">
        <v>364</v>
      </c>
      <c r="B38" s="262">
        <v>0.232</v>
      </c>
      <c r="C38" s="264">
        <f>+B18*B38</f>
        <v>307.85704000000004</v>
      </c>
      <c r="D38" s="22">
        <f t="shared" si="0"/>
        <v>1539.2852000000003</v>
      </c>
    </row>
    <row r="39" ht="12.75">
      <c r="B39"/>
    </row>
    <row r="42" ht="12.75">
      <c r="A42" s="48" t="s">
        <v>383</v>
      </c>
    </row>
  </sheetData>
  <sheetProtection/>
  <mergeCells count="1">
    <mergeCell ref="B26:B27"/>
  </mergeCells>
  <printOptions/>
  <pageMargins left="0.75" right="0.35" top="1.53" bottom="0.57" header="0.5" footer="0.5"/>
  <pageSetup horizontalDpi="300" verticalDpi="300" orientation="portrait" r:id="rId1"/>
  <headerFooter alignWithMargins="0">
    <oddHeader xml:space="preserve">&amp;C&amp;"Arial,Bold"&amp;12Reformulated Fuels Project
Carson Tank Emissions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6">
      <selection activeCell="D18" sqref="A18:D33"/>
    </sheetView>
  </sheetViews>
  <sheetFormatPr defaultColWidth="9.140625" defaultRowHeight="12.75"/>
  <cols>
    <col min="1" max="1" width="20.7109375" style="0" customWidth="1"/>
    <col min="2" max="2" width="10.00390625" style="0" bestFit="1" customWidth="1"/>
    <col min="3" max="3" width="25.7109375" style="0" customWidth="1"/>
    <col min="4" max="4" width="10.00390625" style="0" bestFit="1" customWidth="1"/>
  </cols>
  <sheetData>
    <row r="2" ht="12.75">
      <c r="A2" t="s">
        <v>385</v>
      </c>
    </row>
    <row r="3" ht="13.5" thickBot="1"/>
    <row r="4" spans="1:3" ht="15" customHeight="1" thickBot="1">
      <c r="A4" s="68" t="s">
        <v>386</v>
      </c>
      <c r="B4" s="68" t="s">
        <v>387</v>
      </c>
      <c r="C4" s="68" t="s">
        <v>388</v>
      </c>
    </row>
    <row r="5" spans="1:3" ht="30" customHeight="1">
      <c r="A5" s="289" t="s">
        <v>389</v>
      </c>
      <c r="B5" s="259">
        <v>1</v>
      </c>
      <c r="C5" s="259" t="s">
        <v>390</v>
      </c>
    </row>
    <row r="6" spans="1:3" ht="26.25">
      <c r="A6" s="290" t="s">
        <v>391</v>
      </c>
      <c r="B6" s="137">
        <v>1.15</v>
      </c>
      <c r="C6" s="137"/>
    </row>
    <row r="7" spans="1:3" ht="34.5" customHeight="1">
      <c r="A7" s="290" t="s">
        <v>392</v>
      </c>
      <c r="B7" s="137">
        <v>48.16</v>
      </c>
      <c r="C7" s="137"/>
    </row>
    <row r="8" spans="1:3" ht="28.5">
      <c r="A8" s="290" t="s">
        <v>405</v>
      </c>
      <c r="B8" s="137">
        <v>524</v>
      </c>
      <c r="C8" s="137" t="s">
        <v>406</v>
      </c>
    </row>
    <row r="9" spans="1:3" ht="26.25">
      <c r="A9" s="290" t="s">
        <v>393</v>
      </c>
      <c r="B9" s="291">
        <f>(12.46*B5*B6*B7)/B8</f>
        <v>1.3169554198473283</v>
      </c>
      <c r="C9" s="137" t="s">
        <v>394</v>
      </c>
    </row>
    <row r="10" spans="1:3" ht="26.25">
      <c r="A10" s="290" t="s">
        <v>395</v>
      </c>
      <c r="B10" s="292">
        <v>30000</v>
      </c>
      <c r="C10" s="137" t="s">
        <v>396</v>
      </c>
    </row>
    <row r="11" spans="1:3" ht="26.25">
      <c r="A11" s="290" t="s">
        <v>397</v>
      </c>
      <c r="B11" s="292">
        <f>+B10*42</f>
        <v>1260000</v>
      </c>
      <c r="C11" s="137" t="s">
        <v>5</v>
      </c>
    </row>
    <row r="12" spans="1:3" ht="34.5" customHeight="1">
      <c r="A12" s="290" t="s">
        <v>398</v>
      </c>
      <c r="B12" s="291">
        <f>+(B11*B9)/1000</f>
        <v>1659.3638290076337</v>
      </c>
      <c r="C12" s="137"/>
    </row>
    <row r="13" spans="1:3" ht="26.25">
      <c r="A13" s="290" t="s">
        <v>399</v>
      </c>
      <c r="B13" s="291">
        <f>+B12*0.01</f>
        <v>16.59363829007634</v>
      </c>
      <c r="C13" s="290" t="s">
        <v>400</v>
      </c>
    </row>
    <row r="14" spans="1:3" ht="26.25">
      <c r="A14" s="290" t="s">
        <v>401</v>
      </c>
      <c r="B14" s="292">
        <v>216000</v>
      </c>
      <c r="C14" s="137" t="s">
        <v>402</v>
      </c>
    </row>
    <row r="15" spans="1:3" ht="26.25">
      <c r="A15" s="290" t="s">
        <v>403</v>
      </c>
      <c r="B15" s="291">
        <f>+(B14*B9)/1000</f>
        <v>284.46237068702294</v>
      </c>
      <c r="C15" s="137"/>
    </row>
    <row r="16" spans="1:3" ht="26.25">
      <c r="A16" s="290" t="s">
        <v>404</v>
      </c>
      <c r="B16" s="291">
        <f>+B15*0.01</f>
        <v>2.8446237068702294</v>
      </c>
      <c r="C16" s="290" t="s">
        <v>400</v>
      </c>
    </row>
    <row r="17" spans="1:3" ht="13.5" thickBot="1">
      <c r="A17" s="121"/>
      <c r="B17" s="253"/>
      <c r="C17" s="121"/>
    </row>
    <row r="18" spans="1:4" ht="13.5" thickBot="1">
      <c r="A18" s="68"/>
      <c r="B18" s="107"/>
      <c r="C18" s="65"/>
      <c r="D18" s="107"/>
    </row>
    <row r="19" spans="1:4" ht="12.75">
      <c r="A19" s="259"/>
      <c r="B19" s="260"/>
      <c r="C19" s="286"/>
      <c r="D19" s="261"/>
    </row>
    <row r="20" spans="1:4" ht="12.75">
      <c r="A20" s="137"/>
      <c r="B20" s="262"/>
      <c r="C20" s="264"/>
      <c r="D20" s="264"/>
    </row>
    <row r="21" spans="1:4" ht="12.75">
      <c r="A21" s="137"/>
      <c r="B21" s="262"/>
      <c r="C21" s="264"/>
      <c r="D21" s="264"/>
    </row>
    <row r="22" spans="1:4" ht="12.75">
      <c r="A22" s="288"/>
      <c r="B22" s="262"/>
      <c r="C22" s="264"/>
      <c r="D22" s="264"/>
    </row>
    <row r="23" spans="1:4" ht="12.75">
      <c r="A23" s="137"/>
      <c r="B23" s="262"/>
      <c r="C23" s="264"/>
      <c r="D23" s="264"/>
    </row>
    <row r="24" spans="1:4" ht="12.75">
      <c r="A24" s="137"/>
      <c r="B24" s="262"/>
      <c r="C24" s="264"/>
      <c r="D24" s="264"/>
    </row>
    <row r="25" spans="1:4" ht="12.75">
      <c r="A25" s="137"/>
      <c r="B25" s="262"/>
      <c r="C25" s="264"/>
      <c r="D25" s="264"/>
    </row>
    <row r="26" spans="1:4" ht="12.75">
      <c r="A26" s="137"/>
      <c r="B26" s="262"/>
      <c r="C26" s="264"/>
      <c r="D26" s="264"/>
    </row>
    <row r="27" spans="1:4" ht="12.75">
      <c r="A27" s="137"/>
      <c r="B27" s="262"/>
      <c r="C27" s="264"/>
      <c r="D27" s="264"/>
    </row>
    <row r="28" spans="1:4" ht="12.75">
      <c r="A28" s="137"/>
      <c r="B28" s="262"/>
      <c r="C28" s="264"/>
      <c r="D28" s="264"/>
    </row>
    <row r="29" spans="1:4" ht="12.75">
      <c r="A29" s="137"/>
      <c r="B29" s="262"/>
      <c r="C29" s="264"/>
      <c r="D29" s="264"/>
    </row>
    <row r="33" spans="1:4" ht="12.75">
      <c r="A33" s="48"/>
      <c r="D33" s="88"/>
    </row>
  </sheetData>
  <sheetProtection/>
  <printOptions horizontalCentered="1"/>
  <pageMargins left="0.75" right="0.75" top="1" bottom="1" header="0.5" footer="0.5"/>
  <pageSetup horizontalDpi="400" verticalDpi="400" orientation="portrait" r:id="rId1"/>
  <headerFooter alignWithMargins="0">
    <oddHeader>&amp;C&amp;"Arial,Bold"&amp;12CARSON TERMINAL
TRUCK LOADING EMISSIONS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6.28125" style="0" customWidth="1"/>
    <col min="2" max="2" width="19.140625" style="0" customWidth="1"/>
  </cols>
  <sheetData>
    <row r="1" spans="1:2" s="90" customFormat="1" ht="27.75" customHeight="1">
      <c r="A1" s="20"/>
      <c r="B1" s="293" t="s">
        <v>407</v>
      </c>
    </row>
    <row r="2" spans="1:3" ht="12.75">
      <c r="A2" s="137" t="s">
        <v>408</v>
      </c>
      <c r="B2" s="137"/>
      <c r="C2" s="90" t="s">
        <v>5</v>
      </c>
    </row>
    <row r="3" spans="1:3" ht="12.75">
      <c r="A3" s="276" t="s">
        <v>11</v>
      </c>
      <c r="B3" s="294">
        <v>0.001</v>
      </c>
      <c r="C3" t="s">
        <v>5</v>
      </c>
    </row>
    <row r="4" spans="1:3" ht="12.75">
      <c r="A4" s="276" t="s">
        <v>10</v>
      </c>
      <c r="B4" s="294">
        <v>0.168</v>
      </c>
      <c r="C4" t="s">
        <v>5</v>
      </c>
    </row>
    <row r="5" spans="1:3" ht="12.75">
      <c r="A5" s="276" t="s">
        <v>8</v>
      </c>
      <c r="B5" s="294">
        <v>0.103</v>
      </c>
      <c r="C5" t="s">
        <v>5</v>
      </c>
    </row>
    <row r="6" spans="1:3" ht="12.75">
      <c r="A6" s="276" t="s">
        <v>409</v>
      </c>
      <c r="B6" s="294">
        <v>0.035</v>
      </c>
      <c r="C6" t="s">
        <v>410</v>
      </c>
    </row>
    <row r="7" spans="1:3" ht="12.75">
      <c r="A7" s="276" t="s">
        <v>9</v>
      </c>
      <c r="B7" s="294">
        <v>0.027</v>
      </c>
      <c r="C7" t="s">
        <v>5</v>
      </c>
    </row>
    <row r="8" spans="1:2" ht="12.75">
      <c r="A8" s="137"/>
      <c r="B8" s="294"/>
    </row>
    <row r="9" spans="1:2" ht="12.75">
      <c r="A9" s="137" t="s">
        <v>411</v>
      </c>
      <c r="B9" s="294"/>
    </row>
    <row r="10" spans="1:3" ht="12.75">
      <c r="A10" s="276" t="s">
        <v>11</v>
      </c>
      <c r="B10" s="294">
        <v>0.001</v>
      </c>
      <c r="C10" t="s">
        <v>5</v>
      </c>
    </row>
    <row r="11" spans="1:3" ht="12.75">
      <c r="A11" s="276" t="s">
        <v>10</v>
      </c>
      <c r="B11" s="294">
        <v>0.168</v>
      </c>
      <c r="C11" t="s">
        <v>5</v>
      </c>
    </row>
    <row r="12" spans="1:3" ht="12.75">
      <c r="A12" s="276" t="s">
        <v>8</v>
      </c>
      <c r="B12" s="294">
        <v>0.103</v>
      </c>
      <c r="C12" t="s">
        <v>5</v>
      </c>
    </row>
    <row r="13" spans="1:3" ht="12.75">
      <c r="A13" s="276" t="s">
        <v>409</v>
      </c>
      <c r="B13" s="294">
        <v>0.035</v>
      </c>
      <c r="C13" t="s">
        <v>5</v>
      </c>
    </row>
    <row r="14" spans="1:3" ht="12.75">
      <c r="A14" s="276" t="s">
        <v>9</v>
      </c>
      <c r="B14" s="294">
        <v>0.027</v>
      </c>
      <c r="C14" t="s">
        <v>5</v>
      </c>
    </row>
    <row r="15" spans="1:2" ht="12.75">
      <c r="A15" s="137"/>
      <c r="B15" s="294"/>
    </row>
    <row r="16" spans="1:2" ht="12.75">
      <c r="A16" s="137" t="s">
        <v>412</v>
      </c>
      <c r="B16" s="294"/>
    </row>
    <row r="17" spans="1:3" ht="12.75">
      <c r="A17" s="276" t="s">
        <v>11</v>
      </c>
      <c r="B17" s="294">
        <v>0.008</v>
      </c>
      <c r="C17" t="s">
        <v>5</v>
      </c>
    </row>
    <row r="18" spans="1:3" ht="12.75">
      <c r="A18" s="276" t="s">
        <v>10</v>
      </c>
      <c r="B18" s="294">
        <v>1.839</v>
      </c>
      <c r="C18" t="s">
        <v>5</v>
      </c>
    </row>
    <row r="19" spans="1:3" ht="12.75">
      <c r="A19" s="276" t="s">
        <v>8</v>
      </c>
      <c r="B19" s="294">
        <v>0.619</v>
      </c>
      <c r="C19" t="s">
        <v>5</v>
      </c>
    </row>
    <row r="20" spans="1:3" ht="12.75">
      <c r="A20" s="276" t="s">
        <v>409</v>
      </c>
      <c r="B20" s="294">
        <v>0.211</v>
      </c>
      <c r="C20" t="s">
        <v>5</v>
      </c>
    </row>
    <row r="21" spans="1:3" ht="12.75">
      <c r="A21" s="276" t="s">
        <v>9</v>
      </c>
      <c r="B21" s="294">
        <v>0.027</v>
      </c>
      <c r="C21" t="s">
        <v>5</v>
      </c>
    </row>
    <row r="22" spans="1:2" ht="12.75">
      <c r="A22" s="137"/>
      <c r="B22" s="294"/>
    </row>
    <row r="23" spans="1:2" ht="12.75">
      <c r="A23" s="137" t="s">
        <v>413</v>
      </c>
      <c r="B23" s="294"/>
    </row>
    <row r="24" spans="1:3" ht="12.75">
      <c r="A24" s="276" t="s">
        <v>11</v>
      </c>
      <c r="B24" s="294">
        <v>0.008</v>
      </c>
      <c r="C24" t="s">
        <v>5</v>
      </c>
    </row>
    <row r="25" spans="1:3" ht="12.75">
      <c r="A25" s="276" t="s">
        <v>10</v>
      </c>
      <c r="B25" s="294">
        <v>1.839</v>
      </c>
      <c r="C25" t="s">
        <v>5</v>
      </c>
    </row>
    <row r="26" spans="1:3" ht="12.75">
      <c r="A26" s="276" t="s">
        <v>8</v>
      </c>
      <c r="B26" s="294">
        <v>0.619</v>
      </c>
      <c r="C26" t="s">
        <v>5</v>
      </c>
    </row>
    <row r="27" spans="1:3" ht="12.75">
      <c r="A27" s="276" t="s">
        <v>409</v>
      </c>
      <c r="B27" s="294">
        <v>0.211</v>
      </c>
      <c r="C27" t="s">
        <v>5</v>
      </c>
    </row>
    <row r="28" spans="1:3" ht="12.75">
      <c r="A28" s="276" t="s">
        <v>9</v>
      </c>
      <c r="B28" s="294">
        <v>0.027</v>
      </c>
      <c r="C28" t="s">
        <v>5</v>
      </c>
    </row>
    <row r="29" spans="1:2" ht="12.75">
      <c r="A29" s="137"/>
      <c r="B29" s="294"/>
    </row>
    <row r="30" spans="1:2" ht="12.75">
      <c r="A30" s="137" t="s">
        <v>414</v>
      </c>
      <c r="B30" s="294"/>
    </row>
    <row r="31" spans="1:3" ht="12.75">
      <c r="A31" s="276" t="s">
        <v>11</v>
      </c>
      <c r="B31" s="294">
        <v>0.032</v>
      </c>
      <c r="C31" t="s">
        <v>5</v>
      </c>
    </row>
    <row r="32" spans="1:3" ht="12.75">
      <c r="A32" s="276" t="s">
        <v>10</v>
      </c>
      <c r="B32" s="294">
        <v>4.036</v>
      </c>
      <c r="C32" t="s">
        <v>5</v>
      </c>
    </row>
    <row r="33" spans="1:3" ht="12.75">
      <c r="A33" s="276" t="s">
        <v>8</v>
      </c>
      <c r="B33" s="294">
        <v>2.476</v>
      </c>
      <c r="C33" t="s">
        <v>5</v>
      </c>
    </row>
    <row r="34" spans="1:3" ht="12.75">
      <c r="A34" s="276" t="s">
        <v>409</v>
      </c>
      <c r="B34" s="294">
        <v>0.846</v>
      </c>
      <c r="C34" t="s">
        <v>5</v>
      </c>
    </row>
    <row r="35" spans="1:3" ht="12.75">
      <c r="A35" s="276" t="s">
        <v>9</v>
      </c>
      <c r="B35" s="294">
        <v>0.111</v>
      </c>
      <c r="C35" t="s">
        <v>5</v>
      </c>
    </row>
    <row r="36" spans="1:2" ht="12.75">
      <c r="A36" s="137"/>
      <c r="B36" s="294"/>
    </row>
    <row r="37" spans="1:2" ht="12.75">
      <c r="A37" s="137" t="s">
        <v>415</v>
      </c>
      <c r="B37" s="294"/>
    </row>
    <row r="38" spans="1:2" ht="12.75">
      <c r="A38" s="276" t="s">
        <v>11</v>
      </c>
      <c r="B38" s="294">
        <v>0.032</v>
      </c>
    </row>
    <row r="39" spans="1:2" ht="12.75">
      <c r="A39" s="276" t="s">
        <v>10</v>
      </c>
      <c r="B39" s="294">
        <v>4.036</v>
      </c>
    </row>
    <row r="40" spans="1:2" ht="12.75">
      <c r="A40" s="276" t="s">
        <v>8</v>
      </c>
      <c r="B40" s="294">
        <v>2.476</v>
      </c>
    </row>
    <row r="41" spans="1:2" ht="12.75">
      <c r="A41" s="276" t="s">
        <v>409</v>
      </c>
      <c r="B41" s="294">
        <v>0.846</v>
      </c>
    </row>
    <row r="42" spans="1:2" ht="12.75">
      <c r="A42" s="276" t="s">
        <v>9</v>
      </c>
      <c r="B42" s="294">
        <v>0.111</v>
      </c>
    </row>
    <row r="43" spans="1:2" ht="12.75">
      <c r="A43" s="137"/>
      <c r="B43" s="294"/>
    </row>
    <row r="44" spans="1:2" ht="12.75">
      <c r="A44" s="137" t="s">
        <v>416</v>
      </c>
      <c r="B44" s="294"/>
    </row>
    <row r="45" spans="1:2" ht="12.75">
      <c r="A45" s="276" t="s">
        <v>11</v>
      </c>
      <c r="B45" s="294">
        <f>B38*365</f>
        <v>11.68</v>
      </c>
    </row>
    <row r="46" spans="1:2" ht="12.75">
      <c r="A46" s="276" t="s">
        <v>10</v>
      </c>
      <c r="B46" s="294">
        <f>B39*365</f>
        <v>1473.1399999999999</v>
      </c>
    </row>
    <row r="47" spans="1:2" ht="12.75">
      <c r="A47" s="276" t="s">
        <v>8</v>
      </c>
      <c r="B47" s="294">
        <f>B40*365</f>
        <v>903.74</v>
      </c>
    </row>
    <row r="48" spans="1:2" ht="12.75">
      <c r="A48" s="276" t="s">
        <v>409</v>
      </c>
      <c r="B48" s="294">
        <f>B41*365</f>
        <v>308.78999999999996</v>
      </c>
    </row>
    <row r="49" spans="1:2" ht="12.75">
      <c r="A49" s="276" t="s">
        <v>9</v>
      </c>
      <c r="B49" s="294">
        <f>B42*365</f>
        <v>40.515</v>
      </c>
    </row>
    <row r="50" spans="1:2" ht="12.75">
      <c r="A50" s="137"/>
      <c r="B50" s="294"/>
    </row>
    <row r="51" spans="1:2" ht="12.75">
      <c r="A51" s="137" t="s">
        <v>417</v>
      </c>
      <c r="B51" s="294"/>
    </row>
    <row r="52" spans="1:2" ht="12.75">
      <c r="A52" s="276" t="s">
        <v>11</v>
      </c>
      <c r="B52" s="294">
        <v>0.032</v>
      </c>
    </row>
    <row r="53" spans="1:2" ht="12.75">
      <c r="A53" s="276" t="s">
        <v>10</v>
      </c>
      <c r="B53" s="294">
        <v>4.036</v>
      </c>
    </row>
    <row r="54" spans="1:2" ht="12.75">
      <c r="A54" s="276" t="s">
        <v>8</v>
      </c>
      <c r="B54" s="294">
        <v>2.476</v>
      </c>
    </row>
    <row r="55" spans="1:2" ht="12.75">
      <c r="A55" s="276" t="s">
        <v>409</v>
      </c>
      <c r="B55" s="294">
        <v>0.846</v>
      </c>
    </row>
    <row r="56" spans="1:2" ht="12.75">
      <c r="A56" s="276" t="s">
        <v>9</v>
      </c>
      <c r="B56" s="294">
        <v>0.111</v>
      </c>
    </row>
  </sheetData>
  <sheetProtection/>
  <printOptions horizontalCentered="1"/>
  <pageMargins left="1.26" right="0.75" top="0.49" bottom="0.51" header="0.23" footer="0.51"/>
  <pageSetup fitToHeight="1" fitToWidth="1" horizontalDpi="300" verticalDpi="300" orientation="portrait" scale="97" r:id="rId1"/>
  <headerFooter alignWithMargins="0">
    <oddHeader>&amp;CEmission Rates for Afterburner Combustion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2.7109375" style="0" customWidth="1"/>
    <col min="2" max="2" width="10.7109375" style="0" customWidth="1"/>
    <col min="5" max="5" width="30.7109375" style="0" customWidth="1"/>
  </cols>
  <sheetData>
    <row r="3" ht="13.5" thickBot="1"/>
    <row r="4" spans="1:5" ht="27" thickBot="1">
      <c r="A4" s="68" t="s">
        <v>418</v>
      </c>
      <c r="B4" s="68" t="s">
        <v>419</v>
      </c>
      <c r="C4" s="71" t="s">
        <v>420</v>
      </c>
      <c r="D4" s="71" t="s">
        <v>421</v>
      </c>
      <c r="E4" s="68" t="s">
        <v>136</v>
      </c>
    </row>
    <row r="5" spans="1:5" ht="35.25" thickBot="1">
      <c r="A5" s="295" t="s">
        <v>422</v>
      </c>
      <c r="B5" s="296">
        <v>150</v>
      </c>
      <c r="C5" s="297" t="s">
        <v>423</v>
      </c>
      <c r="D5" s="296"/>
      <c r="E5" s="298" t="s">
        <v>424</v>
      </c>
    </row>
    <row r="6" spans="1:5" ht="23.25">
      <c r="A6" s="299" t="s">
        <v>425</v>
      </c>
      <c r="B6" s="300">
        <v>0</v>
      </c>
      <c r="C6" s="300">
        <v>0</v>
      </c>
      <c r="D6" s="300">
        <v>0</v>
      </c>
      <c r="E6" s="301" t="s">
        <v>426</v>
      </c>
    </row>
    <row r="7" spans="1:5" ht="12.75">
      <c r="A7" s="302" t="s">
        <v>427</v>
      </c>
      <c r="B7" s="20">
        <v>5</v>
      </c>
      <c r="C7" s="20">
        <v>5</v>
      </c>
      <c r="D7" s="20">
        <f>+B7*C7</f>
        <v>25</v>
      </c>
      <c r="E7" s="303" t="s">
        <v>428</v>
      </c>
    </row>
    <row r="8" spans="1:5" ht="12.75">
      <c r="A8" s="304" t="s">
        <v>429</v>
      </c>
      <c r="B8" s="20">
        <v>18</v>
      </c>
      <c r="C8" s="20">
        <v>8</v>
      </c>
      <c r="D8" s="20">
        <f>+B8*C8</f>
        <v>144</v>
      </c>
      <c r="E8" s="303" t="s">
        <v>430</v>
      </c>
    </row>
    <row r="9" spans="1:5" ht="12.75">
      <c r="A9" s="304" t="s">
        <v>431</v>
      </c>
      <c r="B9" s="20">
        <v>8</v>
      </c>
      <c r="C9" s="20">
        <v>36</v>
      </c>
      <c r="D9" s="20">
        <f>+B9*C9</f>
        <v>288</v>
      </c>
      <c r="E9" s="303" t="s">
        <v>432</v>
      </c>
    </row>
    <row r="10" spans="1:5" ht="12.75">
      <c r="A10" s="304" t="s">
        <v>433</v>
      </c>
      <c r="B10" s="20">
        <v>3</v>
      </c>
      <c r="C10" s="20">
        <v>63</v>
      </c>
      <c r="D10" s="20">
        <f>+B10*C10</f>
        <v>189</v>
      </c>
      <c r="E10" s="303" t="s">
        <v>434</v>
      </c>
    </row>
    <row r="11" spans="1:5" ht="13.5" thickBot="1">
      <c r="A11" s="305" t="s">
        <v>435</v>
      </c>
      <c r="B11" s="306">
        <v>5</v>
      </c>
      <c r="C11" s="306">
        <v>63</v>
      </c>
      <c r="D11" s="306">
        <f>+B11*C11</f>
        <v>315</v>
      </c>
      <c r="E11" s="307" t="s">
        <v>436</v>
      </c>
    </row>
    <row r="12" spans="1:5" ht="23.25">
      <c r="A12" s="308" t="s">
        <v>437</v>
      </c>
      <c r="B12" s="300">
        <v>111</v>
      </c>
      <c r="C12" s="309" t="s">
        <v>423</v>
      </c>
      <c r="D12" s="300"/>
      <c r="E12" s="301" t="s">
        <v>438</v>
      </c>
    </row>
    <row r="13" spans="1:5" ht="23.25">
      <c r="A13" s="304" t="s">
        <v>439</v>
      </c>
      <c r="B13" s="20">
        <v>111</v>
      </c>
      <c r="C13" s="20">
        <v>70</v>
      </c>
      <c r="D13" s="310">
        <f>+B12*C13</f>
        <v>7770</v>
      </c>
      <c r="E13" s="311" t="s">
        <v>440</v>
      </c>
    </row>
    <row r="14" spans="1:5" ht="13.5" thickBot="1">
      <c r="A14" s="305" t="s">
        <v>441</v>
      </c>
      <c r="B14" s="306">
        <v>111</v>
      </c>
      <c r="C14" s="306">
        <v>75</v>
      </c>
      <c r="D14" s="312">
        <f>+B12*C14</f>
        <v>8325</v>
      </c>
      <c r="E14" s="307"/>
    </row>
    <row r="15" spans="1:5" ht="12.75">
      <c r="A15" s="80" t="s">
        <v>442</v>
      </c>
      <c r="B15" s="63"/>
      <c r="C15" s="63"/>
      <c r="D15" s="313" t="s">
        <v>5</v>
      </c>
      <c r="E15" s="119"/>
    </row>
    <row r="16" spans="1:5" ht="13.5" thickBot="1">
      <c r="A16" s="69" t="s">
        <v>443</v>
      </c>
      <c r="B16" s="314"/>
      <c r="C16" s="314"/>
      <c r="D16" s="315">
        <f>+SUM(D6:D15)</f>
        <v>17056</v>
      </c>
      <c r="E16" s="126"/>
    </row>
    <row r="19" spans="1:5" ht="12.75">
      <c r="A19" s="48" t="s">
        <v>198</v>
      </c>
      <c r="E19" s="88">
        <f ca="1">TODAY()</f>
        <v>41879</v>
      </c>
    </row>
  </sheetData>
  <sheetProtection/>
  <printOptions horizontalCentered="1"/>
  <pageMargins left="0.75" right="0.75" top="1" bottom="1" header="0.5" footer="0.5"/>
  <pageSetup horizontalDpi="400" verticalDpi="400" orientation="portrait" r:id="rId1"/>
  <headerFooter alignWithMargins="0">
    <oddHeader>&amp;C&amp;"Arial,Bold"Ethanol Truck Transport Information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J24">
      <selection activeCell="L34" sqref="L34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13.5" thickBot="1">
      <c r="A4" s="61" t="s">
        <v>444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445</v>
      </c>
      <c r="B12" s="354">
        <v>2</v>
      </c>
      <c r="C12" s="354">
        <f>B12*2</f>
        <v>4</v>
      </c>
      <c r="D12" s="354">
        <v>11.5</v>
      </c>
      <c r="E12" s="350">
        <f>C12*D12*B$4/453.6</f>
        <v>0.9116843033509701</v>
      </c>
      <c r="F12" s="350">
        <f>C12*C$4/453.6</f>
        <v>0.1037037037037037</v>
      </c>
      <c r="G12" s="350">
        <f>C12*D12*(D$4+H$4)/453.6</f>
        <v>0.0943121693121693</v>
      </c>
      <c r="H12" s="350">
        <f>C12*(E$4+F$4)/453.6</f>
        <v>0.013668430335097</v>
      </c>
      <c r="I12" s="350">
        <f>B12*8*G$4/453.6</f>
        <v>0.00599647266313933</v>
      </c>
      <c r="J12" s="350">
        <f>C12*D12*I$4/453.6</f>
        <v>0.0892416225749559</v>
      </c>
      <c r="K12" s="352">
        <f>C12*J$4/453.6</f>
        <v>0.006349206349206348</v>
      </c>
      <c r="L12" s="350">
        <f>C12*D12*K$4/453.6</f>
        <v>0.0050705467372134045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3.5" thickBot="1">
      <c r="A14" s="316" t="s">
        <v>446</v>
      </c>
      <c r="B14" s="317">
        <v>5</v>
      </c>
      <c r="C14" s="73">
        <f aca="true" t="shared" si="0" ref="C14:C20">+B14*2</f>
        <v>10</v>
      </c>
      <c r="D14" s="73">
        <v>5</v>
      </c>
      <c r="E14" s="78">
        <f aca="true" t="shared" si="1" ref="E14:E20">C14*D14*B$6/453.6</f>
        <v>5.373677248677248</v>
      </c>
      <c r="F14" s="74" t="s">
        <v>42</v>
      </c>
      <c r="G14" s="78">
        <f aca="true" t="shared" si="2" ref="G14:G20">C14*D14*(D$6+H$6)/453.6</f>
        <v>0.16534391534391535</v>
      </c>
      <c r="H14" s="78">
        <f aca="true" t="shared" si="3" ref="H14:H20">C14*(E$6+F$6)/453.6</f>
        <v>0.0582010582010582</v>
      </c>
      <c r="I14" s="78" t="s">
        <v>42</v>
      </c>
      <c r="J14" s="74">
        <f aca="true" t="shared" si="4" ref="J14:J20">+C14*D14*I$6/453.6</f>
        <v>2.100970017636684</v>
      </c>
      <c r="K14" s="75">
        <f aca="true" t="shared" si="5" ref="K14:K20">+C14*J$6/453.6</f>
        <v>0.03461199294532628</v>
      </c>
      <c r="L14" s="74">
        <f aca="true" t="shared" si="6" ref="L14:L20">+C14*D14*K$6/453.6</f>
        <v>0.06723985890652558</v>
      </c>
    </row>
    <row r="15" spans="1:12" ht="13.5" thickBot="1">
      <c r="A15" s="318" t="s">
        <v>447</v>
      </c>
      <c r="B15" s="319">
        <v>18</v>
      </c>
      <c r="C15" s="73">
        <f t="shared" si="0"/>
        <v>36</v>
      </c>
      <c r="D15" s="73">
        <v>8</v>
      </c>
      <c r="E15" s="78">
        <f t="shared" si="1"/>
        <v>30.952380952380953</v>
      </c>
      <c r="F15" s="74" t="s">
        <v>42</v>
      </c>
      <c r="G15" s="78">
        <f t="shared" si="2"/>
        <v>0.9523809523809523</v>
      </c>
      <c r="H15" s="78">
        <f t="shared" si="3"/>
        <v>0.2095238095238095</v>
      </c>
      <c r="I15" s="78" t="s">
        <v>42</v>
      </c>
      <c r="J15" s="74">
        <f t="shared" si="4"/>
        <v>12.101587301587301</v>
      </c>
      <c r="K15" s="75">
        <f t="shared" si="5"/>
        <v>0.1246031746031746</v>
      </c>
      <c r="L15" s="74">
        <f t="shared" si="6"/>
        <v>0.3873015873015873</v>
      </c>
    </row>
    <row r="16" spans="1:12" ht="13.5" thickBot="1">
      <c r="A16" s="318" t="s">
        <v>448</v>
      </c>
      <c r="B16" s="319">
        <v>8</v>
      </c>
      <c r="C16" s="73">
        <f t="shared" si="0"/>
        <v>16</v>
      </c>
      <c r="D16" s="73">
        <v>36</v>
      </c>
      <c r="E16" s="78">
        <f t="shared" si="1"/>
        <v>61.904761904761905</v>
      </c>
      <c r="F16" s="74" t="s">
        <v>42</v>
      </c>
      <c r="G16" s="78">
        <f t="shared" si="2"/>
        <v>1.9047619047619047</v>
      </c>
      <c r="H16" s="78">
        <f t="shared" si="3"/>
        <v>0.0931216931216931</v>
      </c>
      <c r="I16" s="78" t="s">
        <v>42</v>
      </c>
      <c r="J16" s="74">
        <f t="shared" si="4"/>
        <v>24.203174603174602</v>
      </c>
      <c r="K16" s="75">
        <f t="shared" si="5"/>
        <v>0.055379188712522044</v>
      </c>
      <c r="L16" s="74">
        <f t="shared" si="6"/>
        <v>0.7746031746031746</v>
      </c>
    </row>
    <row r="17" spans="1:12" ht="13.5" thickBot="1">
      <c r="A17" s="318" t="s">
        <v>449</v>
      </c>
      <c r="B17" s="319">
        <v>3</v>
      </c>
      <c r="C17" s="73">
        <f t="shared" si="0"/>
        <v>6</v>
      </c>
      <c r="D17" s="73">
        <v>63</v>
      </c>
      <c r="E17" s="78">
        <f t="shared" si="1"/>
        <v>40.625</v>
      </c>
      <c r="F17" s="74" t="s">
        <v>42</v>
      </c>
      <c r="G17" s="78">
        <f t="shared" si="2"/>
        <v>1.25</v>
      </c>
      <c r="H17" s="78">
        <f t="shared" si="3"/>
        <v>0.034920634920634915</v>
      </c>
      <c r="I17" s="78" t="s">
        <v>42</v>
      </c>
      <c r="J17" s="74">
        <f t="shared" si="4"/>
        <v>15.883333333333331</v>
      </c>
      <c r="K17" s="75">
        <f t="shared" si="5"/>
        <v>0.020767195767195767</v>
      </c>
      <c r="L17" s="74">
        <f t="shared" si="6"/>
        <v>0.5083333333333333</v>
      </c>
    </row>
    <row r="18" spans="1:12" ht="13.5" thickBot="1">
      <c r="A18" s="318" t="s">
        <v>450</v>
      </c>
      <c r="B18" s="319">
        <v>5</v>
      </c>
      <c r="C18" s="73">
        <f t="shared" si="0"/>
        <v>10</v>
      </c>
      <c r="D18" s="73">
        <v>63</v>
      </c>
      <c r="E18" s="78">
        <f t="shared" si="1"/>
        <v>67.70833333333333</v>
      </c>
      <c r="F18" s="74" t="s">
        <v>42</v>
      </c>
      <c r="G18" s="78">
        <f t="shared" si="2"/>
        <v>2.083333333333333</v>
      </c>
      <c r="H18" s="78">
        <f t="shared" si="3"/>
        <v>0.0582010582010582</v>
      </c>
      <c r="I18" s="78" t="s">
        <v>42</v>
      </c>
      <c r="J18" s="74">
        <f t="shared" si="4"/>
        <v>26.472222222222218</v>
      </c>
      <c r="K18" s="75">
        <f t="shared" si="5"/>
        <v>0.03461199294532628</v>
      </c>
      <c r="L18" s="74">
        <f t="shared" si="6"/>
        <v>0.8472222222222222</v>
      </c>
    </row>
    <row r="19" spans="1:12" ht="39.75" thickBot="1">
      <c r="A19" s="318" t="s">
        <v>451</v>
      </c>
      <c r="B19" s="319">
        <v>111</v>
      </c>
      <c r="C19" s="73">
        <f t="shared" si="0"/>
        <v>222</v>
      </c>
      <c r="D19" s="73">
        <v>70</v>
      </c>
      <c r="E19" s="78">
        <f t="shared" si="1"/>
        <v>1670.138888888889</v>
      </c>
      <c r="F19" s="74" t="s">
        <v>42</v>
      </c>
      <c r="G19" s="78">
        <f t="shared" si="2"/>
        <v>51.388888888888886</v>
      </c>
      <c r="H19" s="78">
        <f t="shared" si="3"/>
        <v>1.292063492063492</v>
      </c>
      <c r="I19" s="78" t="s">
        <v>42</v>
      </c>
      <c r="J19" s="74">
        <f t="shared" si="4"/>
        <v>652.9814814814814</v>
      </c>
      <c r="K19" s="75">
        <f t="shared" si="5"/>
        <v>0.7683862433862434</v>
      </c>
      <c r="L19" s="74">
        <f t="shared" si="6"/>
        <v>20.898148148148145</v>
      </c>
    </row>
    <row r="20" spans="1:12" ht="39.75" thickBot="1">
      <c r="A20" s="320" t="s">
        <v>452</v>
      </c>
      <c r="B20" s="321">
        <v>111</v>
      </c>
      <c r="C20" s="73">
        <f t="shared" si="0"/>
        <v>222</v>
      </c>
      <c r="D20" s="73">
        <v>75</v>
      </c>
      <c r="E20" s="78">
        <f t="shared" si="1"/>
        <v>1789.4345238095236</v>
      </c>
      <c r="F20" s="74" t="s">
        <v>42</v>
      </c>
      <c r="G20" s="78">
        <f t="shared" si="2"/>
        <v>55.05952380952381</v>
      </c>
      <c r="H20" s="78">
        <f t="shared" si="3"/>
        <v>1.292063492063492</v>
      </c>
      <c r="I20" s="78" t="s">
        <v>42</v>
      </c>
      <c r="J20" s="74">
        <f t="shared" si="4"/>
        <v>699.6230158730158</v>
      </c>
      <c r="K20" s="75">
        <f t="shared" si="5"/>
        <v>0.7683862433862434</v>
      </c>
      <c r="L20" s="74">
        <f t="shared" si="6"/>
        <v>22.390873015873016</v>
      </c>
    </row>
    <row r="21" spans="1:12" ht="13.5" thickBot="1">
      <c r="A21" s="80" t="s">
        <v>41</v>
      </c>
      <c r="B21" s="62">
        <f>SUM(B14:B19)</f>
        <v>150</v>
      </c>
      <c r="C21" s="65">
        <f>+B21*2</f>
        <v>300</v>
      </c>
      <c r="D21" s="65" t="s">
        <v>5</v>
      </c>
      <c r="E21" s="78" t="s">
        <v>5</v>
      </c>
      <c r="F21" s="78" t="s">
        <v>5</v>
      </c>
      <c r="G21" s="78" t="s">
        <v>5</v>
      </c>
      <c r="H21" s="78" t="s">
        <v>5</v>
      </c>
      <c r="I21" s="78" t="s">
        <v>5</v>
      </c>
      <c r="J21" s="78" t="s">
        <v>5</v>
      </c>
      <c r="K21" s="78" t="s">
        <v>5</v>
      </c>
      <c r="L21" s="79" t="s">
        <v>5</v>
      </c>
    </row>
    <row r="22" spans="1:12" ht="13.5" thickBot="1">
      <c r="A22" s="81"/>
      <c r="B22" s="53"/>
      <c r="C22" s="53"/>
      <c r="D22" s="53"/>
      <c r="E22" s="82"/>
      <c r="F22" s="82"/>
      <c r="G22" s="82"/>
      <c r="H22" s="82"/>
      <c r="I22" s="82"/>
      <c r="J22" s="82"/>
      <c r="K22" s="82"/>
      <c r="L22" s="82"/>
    </row>
    <row r="23" spans="1:12" ht="13.5" thickBot="1">
      <c r="A23" s="67" t="s">
        <v>48</v>
      </c>
      <c r="B23" s="370" t="s">
        <v>43</v>
      </c>
      <c r="C23" s="358"/>
      <c r="D23" s="357"/>
      <c r="E23" s="371" t="s">
        <v>8</v>
      </c>
      <c r="F23" s="372"/>
      <c r="G23" s="371" t="s">
        <v>9</v>
      </c>
      <c r="H23" s="373"/>
      <c r="I23" s="372"/>
      <c r="J23" s="371" t="s">
        <v>10</v>
      </c>
      <c r="K23" s="372"/>
      <c r="L23" s="83" t="s">
        <v>12</v>
      </c>
    </row>
    <row r="24" spans="1:12" ht="12.75" customHeight="1">
      <c r="A24" s="367" t="s">
        <v>453</v>
      </c>
      <c r="B24" s="354">
        <f>B12</f>
        <v>2</v>
      </c>
      <c r="C24" s="354">
        <f>C12</f>
        <v>4</v>
      </c>
      <c r="D24" s="354">
        <f>+D12</f>
        <v>11.5</v>
      </c>
      <c r="E24" s="374">
        <f>E12+F12</f>
        <v>1.0153880070546737</v>
      </c>
      <c r="F24" s="352"/>
      <c r="G24" s="374">
        <f>G12+H12+I12</f>
        <v>0.11397707231040563</v>
      </c>
      <c r="H24" s="376"/>
      <c r="I24" s="377"/>
      <c r="J24" s="374">
        <f>J12+K12</f>
        <v>0.09559082892416225</v>
      </c>
      <c r="K24" s="352"/>
      <c r="L24" s="350">
        <f>L12</f>
        <v>0.0050705467372134045</v>
      </c>
    </row>
    <row r="25" spans="1:12" ht="13.5" thickBot="1">
      <c r="A25" s="368"/>
      <c r="B25" s="355"/>
      <c r="C25" s="355"/>
      <c r="D25" s="355"/>
      <c r="E25" s="375"/>
      <c r="F25" s="353"/>
      <c r="G25" s="375"/>
      <c r="H25" s="378"/>
      <c r="I25" s="379"/>
      <c r="J25" s="375"/>
      <c r="K25" s="353"/>
      <c r="L25" s="351"/>
    </row>
    <row r="26" spans="1:12" ht="39.75" customHeight="1" thickBot="1">
      <c r="A26" s="322" t="s">
        <v>454</v>
      </c>
      <c r="B26" s="77">
        <f>+B14+B15+B16+B17+B18+B19</f>
        <v>150</v>
      </c>
      <c r="C26" s="73">
        <f>+C21</f>
        <v>300</v>
      </c>
      <c r="D26" s="73">
        <f>+D14+D15+D16+D17+D18+D19</f>
        <v>245</v>
      </c>
      <c r="E26" s="371">
        <f>+E14+E15+E16+E17+E18+E19</f>
        <v>1876.7030423280423</v>
      </c>
      <c r="F26" s="357"/>
      <c r="G26" s="371">
        <f>+G14+G15+G16+G17+G18+G19+H14+H15+H16+H17+H18+H19</f>
        <v>59.49074074074074</v>
      </c>
      <c r="H26" s="380"/>
      <c r="I26" s="381"/>
      <c r="J26" s="371">
        <f>+J14+J15+J16+J17+J18+J19+K14+K15+K16+K17+K18+K19</f>
        <v>734.7811287477954</v>
      </c>
      <c r="K26" s="357"/>
      <c r="L26" s="75">
        <f>+L14+L15+L16+L17+L18+L19</f>
        <v>23.48284832451499</v>
      </c>
    </row>
    <row r="27" spans="1:12" ht="39.75" customHeight="1" thickBot="1">
      <c r="A27" s="86" t="s">
        <v>455</v>
      </c>
      <c r="B27" s="65">
        <f>+B20</f>
        <v>111</v>
      </c>
      <c r="C27" s="65">
        <f>+C20</f>
        <v>222</v>
      </c>
      <c r="D27" s="65">
        <f>+D20</f>
        <v>75</v>
      </c>
      <c r="E27" s="371">
        <f>+E20</f>
        <v>1789.4345238095236</v>
      </c>
      <c r="F27" s="372"/>
      <c r="G27" s="371">
        <f>+G20+H20</f>
        <v>56.3515873015873</v>
      </c>
      <c r="H27" s="373"/>
      <c r="I27" s="372"/>
      <c r="J27" s="371">
        <f>J20+K20</f>
        <v>700.391402116402</v>
      </c>
      <c r="K27" s="372"/>
      <c r="L27" s="79">
        <f>L20</f>
        <v>22.390873015873016</v>
      </c>
    </row>
    <row r="29" ht="12.75">
      <c r="A29" s="48" t="s">
        <v>64</v>
      </c>
    </row>
    <row r="30" ht="12.75">
      <c r="A30" s="48" t="s">
        <v>65</v>
      </c>
    </row>
    <row r="31" ht="12.75">
      <c r="A31" s="48" t="s">
        <v>66</v>
      </c>
    </row>
    <row r="32" ht="12.75">
      <c r="A32" s="48" t="s">
        <v>67</v>
      </c>
    </row>
    <row r="33" ht="12.75">
      <c r="L33" s="88">
        <v>37067</v>
      </c>
    </row>
    <row r="34" ht="12.75">
      <c r="A34" s="48"/>
    </row>
    <row r="36" ht="12.75">
      <c r="A36" s="48" t="s">
        <v>198</v>
      </c>
    </row>
    <row r="37" ht="12.75">
      <c r="L37" s="88"/>
    </row>
  </sheetData>
  <sheetProtection/>
  <mergeCells count="41">
    <mergeCell ref="G26:I26"/>
    <mergeCell ref="J26:K26"/>
    <mergeCell ref="E26:F26"/>
    <mergeCell ref="E27:F27"/>
    <mergeCell ref="G27:I27"/>
    <mergeCell ref="J27:K27"/>
    <mergeCell ref="E24:F25"/>
    <mergeCell ref="G24:I25"/>
    <mergeCell ref="J24:K25"/>
    <mergeCell ref="L24:L25"/>
    <mergeCell ref="A24:A25"/>
    <mergeCell ref="B24:B25"/>
    <mergeCell ref="C24:C25"/>
    <mergeCell ref="D24:D25"/>
    <mergeCell ref="J12:J13"/>
    <mergeCell ref="K12:K13"/>
    <mergeCell ref="L12:L13"/>
    <mergeCell ref="B23:D23"/>
    <mergeCell ref="E23:F23"/>
    <mergeCell ref="G23:I23"/>
    <mergeCell ref="J23:K23"/>
    <mergeCell ref="E12:E13"/>
    <mergeCell ref="F12:F13"/>
    <mergeCell ref="A2:A3"/>
    <mergeCell ref="B2:C2"/>
    <mergeCell ref="D2:H2"/>
    <mergeCell ref="B9:D9"/>
    <mergeCell ref="B10:B11"/>
    <mergeCell ref="G12:G13"/>
    <mergeCell ref="H12:H13"/>
    <mergeCell ref="I12:I13"/>
    <mergeCell ref="A12:A13"/>
    <mergeCell ref="B12:B13"/>
    <mergeCell ref="C12:C13"/>
    <mergeCell ref="D12:D13"/>
    <mergeCell ref="C10:C11"/>
    <mergeCell ref="D10:D11"/>
    <mergeCell ref="E9:L9"/>
    <mergeCell ref="E10:F10"/>
    <mergeCell ref="G10:I10"/>
    <mergeCell ref="J10:K10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68" r:id="rId1"/>
  <headerFooter alignWithMargins="0">
    <oddHeader>&amp;C&amp;"Arial,Bold"&amp;12Indirect Emissions 
New Workers and Ethanol Truck Transport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3" ht="13.5" thickBot="1">
      <c r="A1" s="406" t="s">
        <v>456</v>
      </c>
      <c r="B1" s="358"/>
      <c r="C1" s="357"/>
    </row>
    <row r="2" spans="1:3" ht="12.75">
      <c r="A2" s="137" t="s">
        <v>457</v>
      </c>
      <c r="B2" s="137">
        <v>459900000</v>
      </c>
      <c r="C2" s="137" t="s">
        <v>458</v>
      </c>
    </row>
    <row r="3" spans="1:3" ht="12.75">
      <c r="A3" s="137" t="s">
        <v>459</v>
      </c>
      <c r="B3" s="292">
        <v>25000</v>
      </c>
      <c r="C3" s="137" t="s">
        <v>460</v>
      </c>
    </row>
    <row r="4" spans="1:3" ht="12.75">
      <c r="A4" s="137" t="s">
        <v>461</v>
      </c>
      <c r="B4" s="137">
        <f>+B2/B3</f>
        <v>18396</v>
      </c>
      <c r="C4" s="137" t="s">
        <v>462</v>
      </c>
    </row>
    <row r="5" spans="1:3" ht="12.75">
      <c r="A5" s="137" t="s">
        <v>463</v>
      </c>
      <c r="B5" s="137">
        <v>34.25</v>
      </c>
      <c r="C5" s="137" t="s">
        <v>464</v>
      </c>
    </row>
    <row r="6" spans="1:4" ht="12.75">
      <c r="A6" s="137" t="s">
        <v>465</v>
      </c>
      <c r="B6" s="137">
        <f>+B4*B5</f>
        <v>630063</v>
      </c>
      <c r="C6" s="137" t="s">
        <v>466</v>
      </c>
      <c r="D6" t="s">
        <v>5</v>
      </c>
    </row>
    <row r="7" spans="1:3" ht="12.75">
      <c r="A7" s="137" t="s">
        <v>467</v>
      </c>
      <c r="B7" s="137">
        <f>+B2*6.59/2000</f>
        <v>1515370.5</v>
      </c>
      <c r="C7" s="137" t="s">
        <v>466</v>
      </c>
    </row>
    <row r="8" spans="1:3" ht="13.5" thickBot="1">
      <c r="A8" s="268" t="s">
        <v>468</v>
      </c>
      <c r="B8" s="268">
        <f>+B7+B6</f>
        <v>2145433.5</v>
      </c>
      <c r="C8" s="268" t="s">
        <v>469</v>
      </c>
    </row>
    <row r="9" spans="1:3" ht="13.5" thickBot="1">
      <c r="A9" s="406" t="s">
        <v>470</v>
      </c>
      <c r="B9" s="407"/>
      <c r="C9" s="408"/>
    </row>
    <row r="10" spans="1:3" ht="24.75" customHeight="1">
      <c r="A10" s="289" t="s">
        <v>471</v>
      </c>
      <c r="B10" s="259">
        <v>160</v>
      </c>
      <c r="C10" s="259" t="s">
        <v>472</v>
      </c>
    </row>
    <row r="11" spans="1:3" ht="12.75">
      <c r="A11" s="137" t="s">
        <v>473</v>
      </c>
      <c r="B11" s="137">
        <f>+B10*B8</f>
        <v>343269360</v>
      </c>
      <c r="C11" s="137" t="s">
        <v>474</v>
      </c>
    </row>
    <row r="12" spans="1:3" ht="12.75">
      <c r="A12" s="137" t="s">
        <v>475</v>
      </c>
      <c r="B12" s="137">
        <v>401</v>
      </c>
      <c r="C12" s="137" t="s">
        <v>476</v>
      </c>
    </row>
    <row r="13" spans="1:3" ht="12.75">
      <c r="A13" s="137" t="s">
        <v>477</v>
      </c>
      <c r="B13" s="137">
        <f>+B11/B12</f>
        <v>856033.3167082295</v>
      </c>
      <c r="C13" s="137" t="s">
        <v>478</v>
      </c>
    </row>
    <row r="14" spans="1:3" ht="12.75">
      <c r="A14" s="137"/>
      <c r="B14" s="137"/>
      <c r="C14" s="137"/>
    </row>
    <row r="15" spans="1:3" ht="26.25">
      <c r="A15" s="290" t="s">
        <v>479</v>
      </c>
      <c r="B15" s="137">
        <v>70</v>
      </c>
      <c r="C15" s="137" t="s">
        <v>472</v>
      </c>
    </row>
    <row r="16" spans="1:3" ht="12.75">
      <c r="A16" s="137" t="s">
        <v>473</v>
      </c>
      <c r="B16" s="137">
        <f>+B8*B15</f>
        <v>150180345</v>
      </c>
      <c r="C16" s="137" t="s">
        <v>474</v>
      </c>
    </row>
    <row r="17" spans="1:3" ht="12.75">
      <c r="A17" s="137" t="s">
        <v>475</v>
      </c>
      <c r="B17" s="137">
        <v>401</v>
      </c>
      <c r="C17" s="137" t="s">
        <v>476</v>
      </c>
    </row>
    <row r="18" spans="1:3" ht="12.75">
      <c r="A18" s="137" t="s">
        <v>477</v>
      </c>
      <c r="B18" s="137">
        <f>+B16/B17</f>
        <v>374514.5760598504</v>
      </c>
      <c r="C18" s="137" t="s">
        <v>478</v>
      </c>
    </row>
    <row r="20" ht="10.5" customHeight="1" thickBot="1"/>
    <row r="21" spans="1:6" ht="18" customHeight="1" thickBot="1">
      <c r="A21" s="131" t="s">
        <v>491</v>
      </c>
      <c r="B21" s="65" t="s">
        <v>8</v>
      </c>
      <c r="C21" s="65" t="s">
        <v>9</v>
      </c>
      <c r="D21" s="65" t="s">
        <v>10</v>
      </c>
      <c r="E21" s="65" t="s">
        <v>11</v>
      </c>
      <c r="F21" s="65" t="s">
        <v>12</v>
      </c>
    </row>
    <row r="22" spans="1:6" ht="12.75">
      <c r="A22" s="259" t="s">
        <v>480</v>
      </c>
      <c r="B22" s="259">
        <v>26.6</v>
      </c>
      <c r="C22" s="259">
        <v>10</v>
      </c>
      <c r="D22" s="259">
        <v>270</v>
      </c>
      <c r="E22" s="259">
        <v>17</v>
      </c>
      <c r="F22" s="259">
        <v>6.7</v>
      </c>
    </row>
    <row r="23" spans="1:6" ht="12.75">
      <c r="A23" s="137" t="s">
        <v>481</v>
      </c>
      <c r="B23" s="323">
        <f>+B22/453.6</f>
        <v>0.05864197530864197</v>
      </c>
      <c r="C23" s="323">
        <f>+C22/453.6</f>
        <v>0.02204585537918871</v>
      </c>
      <c r="D23" s="323">
        <f>+D22/453.6</f>
        <v>0.5952380952380952</v>
      </c>
      <c r="E23" s="323">
        <f>+E22/453.6</f>
        <v>0.03747795414462081</v>
      </c>
      <c r="F23" s="323">
        <f>+F22/453.6</f>
        <v>0.014770723104056437</v>
      </c>
    </row>
    <row r="24" ht="13.5" thickBot="1"/>
    <row r="25" spans="1:6" ht="13.5" thickBot="1">
      <c r="A25" s="405" t="s">
        <v>482</v>
      </c>
      <c r="B25" s="405" t="s">
        <v>483</v>
      </c>
      <c r="C25" s="405"/>
      <c r="D25" s="405"/>
      <c r="E25" s="405"/>
      <c r="F25" s="405"/>
    </row>
    <row r="26" spans="1:6" ht="13.5" thickBot="1">
      <c r="A26" s="400"/>
      <c r="B26" s="65" t="s">
        <v>8</v>
      </c>
      <c r="C26" s="65" t="s">
        <v>9</v>
      </c>
      <c r="D26" s="65" t="s">
        <v>10</v>
      </c>
      <c r="E26" s="65" t="s">
        <v>11</v>
      </c>
      <c r="F26" s="65" t="s">
        <v>12</v>
      </c>
    </row>
    <row r="27" spans="1:6" ht="12.75">
      <c r="A27" s="133" t="s">
        <v>484</v>
      </c>
      <c r="B27" s="324">
        <f>+B18*B23</f>
        <v>21962.274522028263</v>
      </c>
      <c r="C27" s="324">
        <f>+B18*C23</f>
        <v>8256.494181213633</v>
      </c>
      <c r="D27" s="324">
        <f>+B18*D23</f>
        <v>222925.3428927681</v>
      </c>
      <c r="E27" s="324">
        <f>+B18*E23</f>
        <v>14036.040108063176</v>
      </c>
      <c r="F27" s="324">
        <f>+B18*F23</f>
        <v>5531.851101413134</v>
      </c>
    </row>
    <row r="28" spans="1:6" ht="12.75">
      <c r="A28" s="137" t="s">
        <v>485</v>
      </c>
      <c r="B28" s="22">
        <f>+B27/2000</f>
        <v>10.981137261014132</v>
      </c>
      <c r="C28" s="22">
        <f>+C27/2000</f>
        <v>4.128247090606816</v>
      </c>
      <c r="D28" s="22">
        <f>+D27/2000</f>
        <v>111.46267144638405</v>
      </c>
      <c r="E28" s="22">
        <f>+E27/2000</f>
        <v>7.018020054031588</v>
      </c>
      <c r="F28" s="22">
        <f>+F27/2000</f>
        <v>2.7659255507065668</v>
      </c>
    </row>
    <row r="29" spans="1:6" ht="12.75">
      <c r="A29" s="137" t="s">
        <v>486</v>
      </c>
      <c r="B29" s="22">
        <f>+B27/365</f>
        <v>60.17061512884456</v>
      </c>
      <c r="C29" s="22">
        <f>+C27/365</f>
        <v>22.62053200332502</v>
      </c>
      <c r="D29" s="22">
        <f>+D27/365</f>
        <v>610.7543640897755</v>
      </c>
      <c r="E29" s="22">
        <f>+E27/365</f>
        <v>38.454904405652535</v>
      </c>
      <c r="F29" s="22">
        <f>+F27/365</f>
        <v>15.155756442227764</v>
      </c>
    </row>
    <row r="30" spans="1:6" ht="12.75">
      <c r="A30" s="137"/>
      <c r="B30" s="137"/>
      <c r="C30" s="137"/>
      <c r="D30" s="137"/>
      <c r="E30" s="137"/>
      <c r="F30" s="137"/>
    </row>
    <row r="31" spans="1:6" ht="12.75">
      <c r="A31" s="137" t="s">
        <v>487</v>
      </c>
      <c r="B31" s="22">
        <f>+B13*B23</f>
        <v>50199.48462177889</v>
      </c>
      <c r="C31" s="22">
        <f>+B13*C23</f>
        <v>18871.986699916873</v>
      </c>
      <c r="D31" s="22">
        <f>+B13*D23</f>
        <v>509543.6408977556</v>
      </c>
      <c r="E31" s="22">
        <f>+B13*E23</f>
        <v>32082.377389858688</v>
      </c>
      <c r="F31" s="22">
        <f>+B13*F23</f>
        <v>12644.231088944305</v>
      </c>
    </row>
    <row r="32" spans="1:6" ht="12.75">
      <c r="A32" s="137" t="s">
        <v>488</v>
      </c>
      <c r="B32" s="22">
        <f>+B31/2000</f>
        <v>25.099742310889443</v>
      </c>
      <c r="C32" s="22">
        <f>+C31/2000</f>
        <v>9.435993349958437</v>
      </c>
      <c r="D32" s="22">
        <f>+D31/2000</f>
        <v>254.7718204488778</v>
      </c>
      <c r="E32" s="22">
        <f>+E31/2000</f>
        <v>16.041188694929343</v>
      </c>
      <c r="F32" s="22">
        <f>+F31/2000</f>
        <v>6.322115544472153</v>
      </c>
    </row>
    <row r="33" spans="1:6" ht="12.75">
      <c r="A33" s="137" t="s">
        <v>489</v>
      </c>
      <c r="B33" s="22">
        <f>+B31/365</f>
        <v>137.53283458021613</v>
      </c>
      <c r="C33" s="22">
        <f>+C31/365</f>
        <v>51.70407315045719</v>
      </c>
      <c r="D33" s="22">
        <f>+D31/365</f>
        <v>1396.0099750623442</v>
      </c>
      <c r="E33" s="22">
        <f>+E31/365</f>
        <v>87.89692435577723</v>
      </c>
      <c r="F33" s="22">
        <f>+F31/365</f>
        <v>34.641729010806316</v>
      </c>
    </row>
    <row r="34" spans="1:6" ht="12.75">
      <c r="A34" s="50"/>
      <c r="B34" s="325"/>
      <c r="C34" s="325"/>
      <c r="D34" s="325"/>
      <c r="E34" s="325"/>
      <c r="F34" s="325"/>
    </row>
    <row r="35" spans="1:6" ht="12.75">
      <c r="A35" s="258" t="s">
        <v>490</v>
      </c>
      <c r="B35" s="325"/>
      <c r="C35" s="325"/>
      <c r="D35" s="325"/>
      <c r="E35" s="325"/>
      <c r="F35" s="325"/>
    </row>
    <row r="37" spans="1:6" ht="12.75">
      <c r="A37" s="48" t="s">
        <v>383</v>
      </c>
      <c r="F37" s="88">
        <v>37067</v>
      </c>
    </row>
  </sheetData>
  <sheetProtection/>
  <mergeCells count="4">
    <mergeCell ref="B25:F25"/>
    <mergeCell ref="A25:A26"/>
    <mergeCell ref="A1:C1"/>
    <mergeCell ref="A9:C9"/>
  </mergeCells>
  <printOptions horizont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&amp;C&amp;"Arial,Bold"INCREASED RAIL CAR EMISSIONS
ASSOCIATED WITH ETHANOL TRANSPORT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A28" sqref="A28:IV40"/>
    </sheetView>
  </sheetViews>
  <sheetFormatPr defaultColWidth="9.140625" defaultRowHeight="12.75"/>
  <cols>
    <col min="1" max="2" width="16.7109375" style="0" customWidth="1"/>
    <col min="3" max="5" width="15.7109375" style="0" customWidth="1"/>
    <col min="6" max="7" width="12.7109375" style="0" customWidth="1"/>
  </cols>
  <sheetData>
    <row r="1" spans="1:5" ht="12.75">
      <c r="A1" s="402" t="s">
        <v>425</v>
      </c>
      <c r="B1" s="396"/>
      <c r="C1" s="396"/>
      <c r="D1" s="396"/>
      <c r="E1" s="396"/>
    </row>
    <row r="2" spans="1:5" ht="12.75">
      <c r="A2" s="402" t="s">
        <v>342</v>
      </c>
      <c r="B2" s="402"/>
      <c r="C2" s="402"/>
      <c r="D2" s="402"/>
      <c r="E2" s="402"/>
    </row>
    <row r="3" ht="13.5" thickBot="1"/>
    <row r="4" spans="1:6" s="143" customFormat="1" ht="27" thickBot="1" thickTop="1">
      <c r="A4" s="139" t="s">
        <v>155</v>
      </c>
      <c r="B4" s="140" t="s">
        <v>156</v>
      </c>
      <c r="C4" s="140" t="s">
        <v>157</v>
      </c>
      <c r="D4" s="140" t="s">
        <v>160</v>
      </c>
      <c r="E4" s="142" t="s">
        <v>161</v>
      </c>
      <c r="F4" s="143" t="s">
        <v>5</v>
      </c>
    </row>
    <row r="5" spans="1:6" ht="13.5" thickTop="1">
      <c r="A5" s="34" t="s">
        <v>492</v>
      </c>
      <c r="B5" s="34" t="s">
        <v>163</v>
      </c>
      <c r="C5" s="34">
        <v>0</v>
      </c>
      <c r="D5" s="34">
        <v>104</v>
      </c>
      <c r="E5" s="34">
        <f aca="true" t="shared" si="0" ref="E5:E11">C5*D5</f>
        <v>0</v>
      </c>
      <c r="F5" s="145" t="s">
        <v>5</v>
      </c>
    </row>
    <row r="6" spans="1:5" ht="12.75">
      <c r="A6" s="34" t="s">
        <v>5</v>
      </c>
      <c r="B6" s="34" t="s">
        <v>164</v>
      </c>
      <c r="C6" s="34">
        <v>90</v>
      </c>
      <c r="D6" s="34">
        <v>19</v>
      </c>
      <c r="E6" s="34">
        <f t="shared" si="0"/>
        <v>1710</v>
      </c>
    </row>
    <row r="7" spans="1:5" ht="12.75">
      <c r="A7" s="34"/>
      <c r="B7" s="34" t="s">
        <v>165</v>
      </c>
      <c r="C7" s="34">
        <v>250</v>
      </c>
      <c r="D7" s="34">
        <v>1.5</v>
      </c>
      <c r="E7" s="34">
        <f t="shared" si="0"/>
        <v>375</v>
      </c>
    </row>
    <row r="8" spans="1:5" ht="12.75">
      <c r="A8" s="34"/>
      <c r="B8" s="147" t="s">
        <v>166</v>
      </c>
      <c r="C8" s="34">
        <v>0</v>
      </c>
      <c r="D8" s="34">
        <v>23</v>
      </c>
      <c r="E8" s="34">
        <f t="shared" si="0"/>
        <v>0</v>
      </c>
    </row>
    <row r="9" spans="1:5" ht="12.75">
      <c r="A9" s="34"/>
      <c r="B9" s="34" t="s">
        <v>169</v>
      </c>
      <c r="C9" s="34">
        <v>0</v>
      </c>
      <c r="D9" s="34">
        <v>514</v>
      </c>
      <c r="E9" s="34">
        <f t="shared" si="0"/>
        <v>0</v>
      </c>
    </row>
    <row r="10" spans="1:5" ht="12.75">
      <c r="A10" s="34"/>
      <c r="B10" s="34" t="s">
        <v>170</v>
      </c>
      <c r="C10" s="34">
        <v>5</v>
      </c>
      <c r="D10" s="34">
        <v>80</v>
      </c>
      <c r="E10" s="34">
        <f t="shared" si="0"/>
        <v>400</v>
      </c>
    </row>
    <row r="11" spans="1:5" ht="13.5" thickBot="1">
      <c r="A11" s="34"/>
      <c r="B11" s="46" t="s">
        <v>171</v>
      </c>
      <c r="C11" s="46">
        <v>20</v>
      </c>
      <c r="D11" s="34">
        <v>0</v>
      </c>
      <c r="E11" s="34">
        <f t="shared" si="0"/>
        <v>0</v>
      </c>
    </row>
    <row r="12" spans="1:5" ht="14.25" thickBot="1" thickTop="1">
      <c r="A12" s="46"/>
      <c r="B12" s="46" t="s">
        <v>344</v>
      </c>
      <c r="C12" s="46">
        <f>SUM(C5:C11)</f>
        <v>365</v>
      </c>
      <c r="D12" s="149" t="s">
        <v>5</v>
      </c>
      <c r="E12" s="149">
        <f>SUM(E5:E11)</f>
        <v>2485</v>
      </c>
    </row>
    <row r="13" spans="1:5" ht="13.5" hidden="1" thickTop="1">
      <c r="A13" s="34" t="s">
        <v>493</v>
      </c>
      <c r="B13" s="34" t="s">
        <v>163</v>
      </c>
      <c r="C13" s="34">
        <v>0</v>
      </c>
      <c r="D13" s="34">
        <v>104</v>
      </c>
      <c r="E13" s="34">
        <f aca="true" t="shared" si="1" ref="E13:E19">C13*D13</f>
        <v>0</v>
      </c>
    </row>
    <row r="14" spans="1:6" ht="12.75" hidden="1">
      <c r="A14" s="34" t="s">
        <v>5</v>
      </c>
      <c r="B14" s="34" t="s">
        <v>164</v>
      </c>
      <c r="C14" s="34">
        <v>4</v>
      </c>
      <c r="D14" s="34">
        <v>19</v>
      </c>
      <c r="E14" s="34">
        <f t="shared" si="1"/>
        <v>76</v>
      </c>
      <c r="F14" t="s">
        <v>5</v>
      </c>
    </row>
    <row r="15" spans="1:6" ht="12.75" hidden="1">
      <c r="A15" s="34"/>
      <c r="B15" s="34" t="s">
        <v>165</v>
      </c>
      <c r="C15" s="34">
        <v>15</v>
      </c>
      <c r="D15" s="34">
        <v>1.5</v>
      </c>
      <c r="E15" s="34">
        <f t="shared" si="1"/>
        <v>22.5</v>
      </c>
      <c r="F15" t="s">
        <v>5</v>
      </c>
    </row>
    <row r="16" spans="1:5" ht="12.75" hidden="1">
      <c r="A16" s="34"/>
      <c r="B16" s="34" t="s">
        <v>166</v>
      </c>
      <c r="C16" s="34">
        <v>0</v>
      </c>
      <c r="D16" s="34">
        <v>23</v>
      </c>
      <c r="E16" s="34">
        <f t="shared" si="1"/>
        <v>0</v>
      </c>
    </row>
    <row r="17" spans="1:5" ht="12.75" hidden="1">
      <c r="A17" s="34"/>
      <c r="B17" s="34" t="s">
        <v>169</v>
      </c>
      <c r="C17" s="34">
        <v>0</v>
      </c>
      <c r="D17" s="34">
        <v>514</v>
      </c>
      <c r="E17" s="34">
        <f t="shared" si="1"/>
        <v>0</v>
      </c>
    </row>
    <row r="18" spans="1:5" ht="12.75" hidden="1">
      <c r="A18" s="34"/>
      <c r="B18" s="34" t="s">
        <v>170</v>
      </c>
      <c r="C18" s="34">
        <v>2</v>
      </c>
      <c r="D18" s="34">
        <v>80</v>
      </c>
      <c r="E18" s="34">
        <f t="shared" si="1"/>
        <v>160</v>
      </c>
    </row>
    <row r="19" spans="1:5" ht="13.5" hidden="1" thickBot="1">
      <c r="A19" s="34"/>
      <c r="B19" s="46" t="s">
        <v>171</v>
      </c>
      <c r="C19" s="46">
        <v>2</v>
      </c>
      <c r="D19" s="34">
        <v>0</v>
      </c>
      <c r="E19" s="34">
        <f t="shared" si="1"/>
        <v>0</v>
      </c>
    </row>
    <row r="20" spans="1:5" ht="14.25" hidden="1" thickBot="1" thickTop="1">
      <c r="A20" s="46"/>
      <c r="B20" s="46" t="s">
        <v>344</v>
      </c>
      <c r="C20" s="46">
        <f>SUM(C13:C19)</f>
        <v>23</v>
      </c>
      <c r="D20" s="149" t="s">
        <v>5</v>
      </c>
      <c r="E20" s="149">
        <f>SUM(E13:E19)</f>
        <v>258.5</v>
      </c>
    </row>
    <row r="21" spans="1:5" ht="13.5" thickTop="1">
      <c r="A21" s="160"/>
      <c r="B21" s="161" t="s">
        <v>195</v>
      </c>
      <c r="C21" s="50"/>
      <c r="D21" s="50"/>
      <c r="E21" s="162">
        <f>E12</f>
        <v>2485</v>
      </c>
    </row>
    <row r="22" spans="1:5" ht="13.5" thickBot="1">
      <c r="A22" s="163"/>
      <c r="B22" s="164" t="s">
        <v>196</v>
      </c>
      <c r="C22" s="152"/>
      <c r="D22" s="152"/>
      <c r="E22" s="165">
        <f>+(E21/365)</f>
        <v>6.808219178082192</v>
      </c>
    </row>
    <row r="23" ht="13.5" thickTop="1"/>
    <row r="24" ht="12.75">
      <c r="A24" t="s">
        <v>197</v>
      </c>
    </row>
    <row r="25" ht="12.75">
      <c r="E25" s="88">
        <v>37067</v>
      </c>
    </row>
    <row r="26" ht="12.75">
      <c r="A26" s="48" t="s">
        <v>494</v>
      </c>
    </row>
    <row r="27" spans="1:7" ht="12.75">
      <c r="A27" s="50"/>
      <c r="B27" s="326"/>
      <c r="C27" s="326"/>
      <c r="D27" s="326"/>
      <c r="E27" s="326"/>
      <c r="F27" s="326"/>
      <c r="G27" s="326"/>
    </row>
  </sheetData>
  <sheetProtection/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0.7109375" style="0" customWidth="1"/>
    <col min="2" max="3" width="20.7109375" style="0" customWidth="1"/>
  </cols>
  <sheetData>
    <row r="2" spans="1:3" ht="24.75" customHeight="1">
      <c r="A2" s="327" t="s">
        <v>495</v>
      </c>
      <c r="B2" s="293" t="s">
        <v>496</v>
      </c>
      <c r="C2" s="293" t="s">
        <v>497</v>
      </c>
    </row>
    <row r="3" spans="1:3" ht="12.75">
      <c r="A3" s="137" t="s">
        <v>370</v>
      </c>
      <c r="B3" s="137"/>
      <c r="C3" s="137"/>
    </row>
    <row r="4" spans="1:3" ht="12.75">
      <c r="A4" s="137" t="s">
        <v>498</v>
      </c>
      <c r="B4" s="277">
        <v>13859.6</v>
      </c>
      <c r="C4" s="137">
        <v>200.18</v>
      </c>
    </row>
    <row r="5" spans="1:3" ht="12.75">
      <c r="A5" s="137"/>
      <c r="B5" s="137"/>
      <c r="C5" s="137"/>
    </row>
    <row r="6" spans="1:3" ht="12.75">
      <c r="A6" s="137" t="s">
        <v>372</v>
      </c>
      <c r="B6" s="137"/>
      <c r="C6" s="137"/>
    </row>
    <row r="7" spans="1:3" ht="12.75">
      <c r="A7" s="137" t="s">
        <v>498</v>
      </c>
      <c r="B7" s="277">
        <v>11219.82</v>
      </c>
      <c r="C7" s="137">
        <v>165.88</v>
      </c>
    </row>
    <row r="8" spans="1:3" ht="12.75">
      <c r="A8" s="137"/>
      <c r="B8" s="137"/>
      <c r="C8" s="137"/>
    </row>
    <row r="9" spans="1:3" ht="12.75">
      <c r="A9" s="137" t="s">
        <v>373</v>
      </c>
      <c r="B9" s="137">
        <f>+(B4+B7)/2</f>
        <v>12539.71</v>
      </c>
      <c r="C9" s="137">
        <f>+(C4+C7)/2</f>
        <v>183.03</v>
      </c>
    </row>
    <row r="10" spans="1:3" ht="12.75">
      <c r="A10" s="137"/>
      <c r="B10" s="137"/>
      <c r="C10" s="137"/>
    </row>
    <row r="11" spans="1:3" ht="12.75">
      <c r="A11" s="137" t="s">
        <v>499</v>
      </c>
      <c r="B11" s="137"/>
      <c r="C11" s="137"/>
    </row>
    <row r="12" spans="1:3" ht="12.75">
      <c r="A12" s="137" t="s">
        <v>500</v>
      </c>
      <c r="B12" s="137">
        <v>929.28</v>
      </c>
      <c r="C12" s="137">
        <v>938.36</v>
      </c>
    </row>
    <row r="13" spans="1:3" ht="12.75">
      <c r="A13" s="137"/>
      <c r="B13" s="137"/>
      <c r="C13" s="137"/>
    </row>
    <row r="14" spans="1:3" ht="12.75">
      <c r="A14" s="137" t="s">
        <v>501</v>
      </c>
      <c r="B14" s="137"/>
      <c r="C14" s="137"/>
    </row>
    <row r="15" spans="1:3" ht="12.75">
      <c r="A15" s="137" t="s">
        <v>500</v>
      </c>
      <c r="B15" s="277">
        <v>2257.46</v>
      </c>
      <c r="C15" s="137">
        <v>2060.13</v>
      </c>
    </row>
    <row r="16" spans="1:3" ht="26.25">
      <c r="A16" s="328" t="s">
        <v>502</v>
      </c>
      <c r="B16" s="277">
        <f>+B15-B9</f>
        <v>-10282.25</v>
      </c>
      <c r="C16" s="277">
        <f>+C15-C9</f>
        <v>1877.1000000000001</v>
      </c>
    </row>
    <row r="17" ht="12.75">
      <c r="A17" s="48" t="s">
        <v>503</v>
      </c>
    </row>
    <row r="19" spans="1:2" ht="12.75">
      <c r="A19" s="48" t="s">
        <v>494</v>
      </c>
      <c r="B19" s="88">
        <v>37067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&amp;C&amp;"Arial,Bold"CARB Phase 3 Reformulated Fuels Project
Mormon Island Tank Emissions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6">
      <selection activeCell="D18" sqref="D18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68</v>
      </c>
      <c r="D1" s="1"/>
    </row>
    <row r="2" spans="6:9" ht="17.25">
      <c r="F2" s="89" t="s">
        <v>69</v>
      </c>
      <c r="G2" s="90"/>
      <c r="H2" s="90"/>
      <c r="I2" s="90"/>
    </row>
    <row r="3" spans="6:9" ht="17.25">
      <c r="F3" s="89"/>
      <c r="G3" s="90"/>
      <c r="H3" s="90"/>
      <c r="I3" s="90"/>
    </row>
    <row r="4" spans="3:9" ht="15">
      <c r="C4" s="382" t="s">
        <v>70</v>
      </c>
      <c r="D4" s="382"/>
      <c r="E4" s="382"/>
      <c r="F4" s="382"/>
      <c r="G4" s="382"/>
      <c r="H4" s="382"/>
      <c r="I4" s="382"/>
    </row>
    <row r="5" ht="13.5" thickBot="1"/>
    <row r="6" spans="1:10" ht="39.75" thickBot="1">
      <c r="A6" s="356" t="s">
        <v>71</v>
      </c>
      <c r="B6" s="358"/>
      <c r="C6" s="81"/>
      <c r="D6" s="52" t="s">
        <v>72</v>
      </c>
      <c r="E6" s="53"/>
      <c r="F6" s="53" t="s">
        <v>73</v>
      </c>
      <c r="G6" s="92" t="s">
        <v>74</v>
      </c>
      <c r="H6" s="92" t="s">
        <v>75</v>
      </c>
      <c r="I6" s="93" t="s">
        <v>76</v>
      </c>
      <c r="J6" s="94" t="s">
        <v>77</v>
      </c>
    </row>
    <row r="7" spans="1:10" ht="12.75">
      <c r="A7" s="80"/>
      <c r="B7" s="50"/>
      <c r="C7" s="50"/>
      <c r="D7" s="95"/>
      <c r="E7" s="50"/>
      <c r="F7" s="50"/>
      <c r="G7" s="50"/>
      <c r="H7" s="50"/>
      <c r="I7" s="50"/>
      <c r="J7" s="96"/>
    </row>
    <row r="8" spans="1:10" ht="12.75">
      <c r="A8" s="67" t="s">
        <v>78</v>
      </c>
      <c r="B8" s="50"/>
      <c r="C8" s="50"/>
      <c r="D8" s="95"/>
      <c r="E8" s="50"/>
      <c r="F8" s="50"/>
      <c r="G8" s="50"/>
      <c r="H8" s="50"/>
      <c r="I8" s="50"/>
      <c r="J8" s="97"/>
    </row>
    <row r="9" spans="1:10" ht="12.75">
      <c r="A9" s="67" t="s">
        <v>79</v>
      </c>
      <c r="B9" s="50"/>
      <c r="D9" s="98">
        <v>410</v>
      </c>
      <c r="E9" s="99"/>
      <c r="F9" s="99" t="s">
        <v>80</v>
      </c>
      <c r="G9" s="99">
        <v>2</v>
      </c>
      <c r="H9" s="99">
        <v>11.5</v>
      </c>
      <c r="I9" s="50">
        <v>0.0012</v>
      </c>
      <c r="J9" s="77">
        <f>D9*G9*H9*I9</f>
        <v>11.315999999999999</v>
      </c>
    </row>
    <row r="10" spans="1:10" ht="12.75">
      <c r="A10" s="67" t="s">
        <v>81</v>
      </c>
      <c r="B10" s="50"/>
      <c r="C10" s="50"/>
      <c r="D10" s="95"/>
      <c r="E10" s="50"/>
      <c r="F10" s="50"/>
      <c r="G10" s="50"/>
      <c r="H10" s="50"/>
      <c r="I10" s="50"/>
      <c r="J10" s="97"/>
    </row>
    <row r="11" spans="1:10" ht="12.75">
      <c r="A11" s="67"/>
      <c r="B11" s="50"/>
      <c r="C11" s="50"/>
      <c r="D11" s="95"/>
      <c r="E11" s="50"/>
      <c r="F11" s="50"/>
      <c r="G11" s="50"/>
      <c r="H11" s="50"/>
      <c r="I11" s="50"/>
      <c r="J11" s="97"/>
    </row>
    <row r="12" spans="1:10" ht="12.75">
      <c r="A12" s="67" t="s">
        <v>82</v>
      </c>
      <c r="B12" s="50"/>
      <c r="C12" s="50"/>
      <c r="D12" s="98">
        <v>1</v>
      </c>
      <c r="E12" s="99"/>
      <c r="F12" s="99" t="s">
        <v>83</v>
      </c>
      <c r="G12" s="99"/>
      <c r="H12" s="99">
        <v>6</v>
      </c>
      <c r="I12" s="50">
        <v>0.0288</v>
      </c>
      <c r="J12" s="77">
        <f>D12*H12*I12</f>
        <v>0.1728</v>
      </c>
    </row>
    <row r="13" spans="1:10" ht="12.75">
      <c r="A13" s="67" t="s">
        <v>81</v>
      </c>
      <c r="B13" s="50"/>
      <c r="C13" s="50"/>
      <c r="D13" s="98"/>
      <c r="E13" s="99"/>
      <c r="F13" s="99"/>
      <c r="G13" s="99"/>
      <c r="H13" s="99"/>
      <c r="I13" s="50"/>
      <c r="J13" s="77"/>
    </row>
    <row r="14" spans="1:10" ht="12.75">
      <c r="A14" s="67"/>
      <c r="B14" s="50"/>
      <c r="C14" s="50"/>
      <c r="D14" s="95"/>
      <c r="E14" s="50"/>
      <c r="F14" s="50"/>
      <c r="G14" s="50"/>
      <c r="H14" s="50"/>
      <c r="I14" s="50"/>
      <c r="J14" s="97"/>
    </row>
    <row r="15" spans="1:10" ht="12.75">
      <c r="A15" s="67" t="s">
        <v>84</v>
      </c>
      <c r="B15" s="50"/>
      <c r="C15" s="50"/>
      <c r="D15" s="98">
        <v>13</v>
      </c>
      <c r="E15" s="99"/>
      <c r="F15" s="99" t="s">
        <v>80</v>
      </c>
      <c r="G15" s="99">
        <v>2</v>
      </c>
      <c r="H15" s="99">
        <v>11.5</v>
      </c>
      <c r="I15" s="50">
        <v>0.0288</v>
      </c>
      <c r="J15" s="77">
        <f>D15*G15*H15*I15</f>
        <v>8.6112</v>
      </c>
    </row>
    <row r="16" spans="1:10" ht="12.75">
      <c r="A16" s="67" t="s">
        <v>81</v>
      </c>
      <c r="B16" s="50"/>
      <c r="C16" s="50"/>
      <c r="D16" s="95"/>
      <c r="E16" s="50"/>
      <c r="F16" s="50"/>
      <c r="G16" s="50"/>
      <c r="H16" s="50"/>
      <c r="I16" s="50"/>
      <c r="J16" s="97"/>
    </row>
    <row r="17" spans="1:10" ht="12.75">
      <c r="A17" s="67"/>
      <c r="B17" s="50"/>
      <c r="C17" s="50"/>
      <c r="D17" s="95"/>
      <c r="E17" s="50"/>
      <c r="F17" s="50"/>
      <c r="G17" s="50"/>
      <c r="H17" s="50"/>
      <c r="I17" s="50"/>
      <c r="J17" s="97"/>
    </row>
    <row r="18" spans="1:10" ht="12.75">
      <c r="A18" s="67" t="s">
        <v>85</v>
      </c>
      <c r="B18" s="50"/>
      <c r="C18" s="50"/>
      <c r="D18" s="98">
        <v>10</v>
      </c>
      <c r="E18" s="99"/>
      <c r="F18" s="99" t="s">
        <v>83</v>
      </c>
      <c r="G18" s="99">
        <v>1</v>
      </c>
      <c r="H18" s="99">
        <v>50</v>
      </c>
      <c r="I18" s="50">
        <v>0.0288</v>
      </c>
      <c r="J18" s="77">
        <f>D18*G18*H18*I18</f>
        <v>14.4</v>
      </c>
    </row>
    <row r="19" spans="1:10" ht="12.75">
      <c r="A19" s="67" t="s">
        <v>81</v>
      </c>
      <c r="B19" s="50"/>
      <c r="C19" s="50"/>
      <c r="D19" s="95"/>
      <c r="E19" s="50"/>
      <c r="F19" s="50"/>
      <c r="G19" s="50"/>
      <c r="H19" s="50"/>
      <c r="I19" s="50"/>
      <c r="J19" s="97"/>
    </row>
    <row r="20" spans="1:10" ht="12.75">
      <c r="A20" s="67"/>
      <c r="B20" s="50"/>
      <c r="C20" s="50"/>
      <c r="D20" s="95"/>
      <c r="E20" s="50"/>
      <c r="F20" s="50"/>
      <c r="G20" s="50"/>
      <c r="H20" s="50"/>
      <c r="I20" s="50"/>
      <c r="J20" s="97"/>
    </row>
    <row r="21" spans="1:10" ht="12.75">
      <c r="A21" s="67" t="s">
        <v>86</v>
      </c>
      <c r="B21" s="50"/>
      <c r="C21" s="50"/>
      <c r="D21" s="98">
        <v>0</v>
      </c>
      <c r="E21" s="99"/>
      <c r="F21" s="99" t="s">
        <v>80</v>
      </c>
      <c r="G21" s="99">
        <v>1</v>
      </c>
      <c r="H21" s="99">
        <v>0</v>
      </c>
      <c r="I21" s="50">
        <v>17.82</v>
      </c>
      <c r="J21" s="77">
        <f>D21*G21*H21*I21</f>
        <v>0</v>
      </c>
    </row>
    <row r="22" spans="1:10" ht="12.75">
      <c r="A22" s="67"/>
      <c r="B22" s="50"/>
      <c r="C22" s="50"/>
      <c r="D22" s="98"/>
      <c r="E22" s="99"/>
      <c r="F22" s="99"/>
      <c r="G22" s="99"/>
      <c r="H22" s="99"/>
      <c r="I22" s="50"/>
      <c r="J22" s="77"/>
    </row>
    <row r="23" spans="1:10" ht="13.5" thickBot="1">
      <c r="A23" s="67" t="s">
        <v>86</v>
      </c>
      <c r="B23" s="50"/>
      <c r="C23" s="50"/>
      <c r="D23" s="98">
        <v>1</v>
      </c>
      <c r="E23" s="99"/>
      <c r="F23" s="99" t="s">
        <v>83</v>
      </c>
      <c r="G23" s="99">
        <v>1</v>
      </c>
      <c r="H23" s="99">
        <v>0.5</v>
      </c>
      <c r="I23" s="50">
        <v>17.82</v>
      </c>
      <c r="J23" s="77">
        <f>D23*G23*H23*I23</f>
        <v>8.91</v>
      </c>
    </row>
    <row r="24" spans="1:10" ht="13.5" thickBot="1">
      <c r="A24" s="64" t="s">
        <v>87</v>
      </c>
      <c r="B24" s="81"/>
      <c r="C24" s="81"/>
      <c r="D24" s="52">
        <f>SUM(D9:D23)</f>
        <v>435</v>
      </c>
      <c r="E24" s="81"/>
      <c r="F24" s="81"/>
      <c r="G24" s="81"/>
      <c r="H24" s="81"/>
      <c r="I24" s="81"/>
      <c r="J24" s="65">
        <f>SUM(J9:J23)</f>
        <v>43.41</v>
      </c>
    </row>
    <row r="26" ht="12.75">
      <c r="A26" s="48" t="s">
        <v>88</v>
      </c>
    </row>
    <row r="27" ht="12.75">
      <c r="A27" s="48"/>
    </row>
    <row r="28" ht="12.75">
      <c r="A28" s="48" t="s">
        <v>89</v>
      </c>
    </row>
  </sheetData>
  <sheetProtection/>
  <mergeCells count="2">
    <mergeCell ref="A6:B6"/>
    <mergeCell ref="C4:I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"/>
  <dimension ref="A1:T49"/>
  <sheetViews>
    <sheetView zoomScalePageLayoutView="0" workbookViewId="0" topLeftCell="D42">
      <selection activeCell="K50" sqref="K50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13.00390625" style="0" customWidth="1"/>
    <col min="4" max="4" width="12.57421875" style="0" customWidth="1"/>
    <col min="5" max="5" width="12.421875" style="0" customWidth="1"/>
    <col min="6" max="6" width="10.851562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00390625" style="0" customWidth="1"/>
    <col min="11" max="11" width="11.00390625" style="0" customWidth="1"/>
    <col min="12" max="12" width="10.140625" style="0" customWidth="1"/>
    <col min="13" max="13" width="9.8515625" style="0" customWidth="1"/>
    <col min="14" max="15" width="13.7109375" style="0" bestFit="1" customWidth="1"/>
    <col min="19" max="19" width="9.57421875" style="0" bestFit="1" customWidth="1"/>
  </cols>
  <sheetData>
    <row r="1" spans="2:13" ht="12.75">
      <c r="B1" s="166" t="s">
        <v>504</v>
      </c>
      <c r="G1" s="329" t="s">
        <v>505</v>
      </c>
      <c r="H1" s="329"/>
      <c r="I1" s="329"/>
      <c r="J1" s="329"/>
      <c r="K1" s="329"/>
      <c r="L1" s="329"/>
      <c r="M1" s="329"/>
    </row>
    <row r="2" spans="2:13" ht="12.75">
      <c r="B2" s="166" t="s">
        <v>506</v>
      </c>
      <c r="G2" s="330"/>
      <c r="H2" s="137" t="s">
        <v>507</v>
      </c>
      <c r="I2" s="20" t="s">
        <v>10</v>
      </c>
      <c r="J2" s="20" t="s">
        <v>508</v>
      </c>
      <c r="K2" s="20" t="s">
        <v>8</v>
      </c>
      <c r="L2" s="20" t="s">
        <v>409</v>
      </c>
      <c r="M2" s="20" t="s">
        <v>11</v>
      </c>
    </row>
    <row r="3" spans="2:20" ht="12.75">
      <c r="B3" s="137" t="s">
        <v>509</v>
      </c>
      <c r="C3" s="137" t="s">
        <v>510</v>
      </c>
      <c r="D3" s="137" t="s">
        <v>511</v>
      </c>
      <c r="E3" s="137" t="s">
        <v>512</v>
      </c>
      <c r="G3" s="409" t="s">
        <v>513</v>
      </c>
      <c r="H3" s="410"/>
      <c r="I3" s="410"/>
      <c r="J3" s="410"/>
      <c r="K3" s="410"/>
      <c r="L3" s="410"/>
      <c r="M3" s="411"/>
      <c r="P3" s="331"/>
      <c r="Q3" s="331"/>
      <c r="R3" s="331"/>
      <c r="S3" s="331"/>
      <c r="T3" s="331"/>
    </row>
    <row r="4" spans="2:13" ht="12.75">
      <c r="B4" s="251" t="s">
        <v>211</v>
      </c>
      <c r="C4" s="251">
        <v>24</v>
      </c>
      <c r="D4" s="251">
        <v>0</v>
      </c>
      <c r="E4" s="251">
        <v>12</v>
      </c>
      <c r="G4" s="137" t="s">
        <v>514</v>
      </c>
      <c r="H4" s="20">
        <v>0</v>
      </c>
      <c r="I4" s="332">
        <f>'[6]Ship Emission Assumptions '!B43*$H$4</f>
        <v>0</v>
      </c>
      <c r="J4" s="332">
        <f>'[6]Ship Emission Assumptions '!C43*$H$4</f>
        <v>0</v>
      </c>
      <c r="K4" s="332">
        <f>'[6]Ship Emission Assumptions '!D43*$H$4</f>
        <v>0</v>
      </c>
      <c r="L4" s="332">
        <f>'[6]Ship Emission Assumptions '!E43*$H$4</f>
        <v>0</v>
      </c>
      <c r="M4" s="332">
        <f>'[6]Ship Emission Assumptions '!F43*$H$4</f>
        <v>0</v>
      </c>
    </row>
    <row r="5" spans="2:20" ht="12.75">
      <c r="B5" s="137" t="s">
        <v>515</v>
      </c>
      <c r="C5" s="137">
        <v>6</v>
      </c>
      <c r="D5" s="137">
        <v>12</v>
      </c>
      <c r="E5" s="137">
        <v>12</v>
      </c>
      <c r="G5" s="137" t="s">
        <v>516</v>
      </c>
      <c r="H5" s="20">
        <v>0</v>
      </c>
      <c r="I5" s="332">
        <f>'[6]Ship Emission Assumptions '!B44*$H$5</f>
        <v>0</v>
      </c>
      <c r="J5" s="332">
        <f>'[6]Ship Emission Assumptions '!C44*$H$5</f>
        <v>0</v>
      </c>
      <c r="K5" s="332">
        <f>'[6]Ship Emission Assumptions '!D44*$H$5</f>
        <v>0</v>
      </c>
      <c r="L5" s="332">
        <f>'[6]Ship Emission Assumptions '!E44*$H$5</f>
        <v>0</v>
      </c>
      <c r="M5" s="332">
        <f>'[6]Ship Emission Assumptions '!F44*$H$5</f>
        <v>0</v>
      </c>
      <c r="P5" s="331"/>
      <c r="Q5" s="331"/>
      <c r="R5" s="331"/>
      <c r="S5" s="331"/>
      <c r="T5" s="331"/>
    </row>
    <row r="6" spans="2:13" ht="12.75">
      <c r="B6" s="137" t="s">
        <v>517</v>
      </c>
      <c r="C6" s="137">
        <v>0</v>
      </c>
      <c r="D6" s="137">
        <v>24</v>
      </c>
      <c r="E6" s="137">
        <v>12</v>
      </c>
      <c r="G6" s="137" t="s">
        <v>518</v>
      </c>
      <c r="H6" s="20">
        <v>0</v>
      </c>
      <c r="I6" s="332">
        <f>SUM(I4:I5)</f>
        <v>0</v>
      </c>
      <c r="J6" s="332">
        <f>SUM(J4:J5)</f>
        <v>0</v>
      </c>
      <c r="K6" s="332">
        <f>SUM(K4:K5)</f>
        <v>0</v>
      </c>
      <c r="L6" s="332">
        <f>SUM(L4:L5)</f>
        <v>0</v>
      </c>
      <c r="M6" s="332">
        <f>SUM(M4:M5)</f>
        <v>0</v>
      </c>
    </row>
    <row r="7" spans="7:13" ht="12.75">
      <c r="G7" s="409" t="s">
        <v>519</v>
      </c>
      <c r="H7" s="410"/>
      <c r="I7" s="410"/>
      <c r="J7" s="410"/>
      <c r="K7" s="410"/>
      <c r="L7" s="410"/>
      <c r="M7" s="411"/>
    </row>
    <row r="8" spans="2:13" ht="12.75">
      <c r="B8" t="s">
        <v>520</v>
      </c>
      <c r="G8" s="137" t="s">
        <v>514</v>
      </c>
      <c r="H8" s="20">
        <v>3</v>
      </c>
      <c r="I8" s="332">
        <f>'[6]Ship Emission Assumptions '!B43*$H$8</f>
        <v>6018.4215</v>
      </c>
      <c r="J8" s="332">
        <f>'[6]Ship Emission Assumptions '!C43*$H$8</f>
        <v>169.53300000000002</v>
      </c>
      <c r="K8" s="332">
        <f>'[6]Ship Emission Assumptions '!D43*$H$8</f>
        <v>518.0175</v>
      </c>
      <c r="L8" s="332">
        <f>'[6]Ship Emission Assumptions '!E43*$H$8</f>
        <v>536.8545</v>
      </c>
      <c r="M8" s="332">
        <f>'[6]Ship Emission Assumptions '!F43*$H$8</f>
        <v>3418.9155</v>
      </c>
    </row>
    <row r="9" spans="7:13" ht="12.75">
      <c r="G9" s="137" t="s">
        <v>516</v>
      </c>
      <c r="H9" s="20">
        <v>3</v>
      </c>
      <c r="I9" s="332">
        <f>'[6]Ship Emission Assumptions '!B44*$H$9</f>
        <v>1387.7759999999998</v>
      </c>
      <c r="J9" s="332">
        <f>'[6]Ship Emission Assumptions '!C44*$H$9</f>
        <v>43.367999999999995</v>
      </c>
      <c r="K9" s="332">
        <f>'[6]Ship Emission Assumptions '!D44*$H$9</f>
        <v>151.78799999999998</v>
      </c>
      <c r="L9" s="332">
        <f>'[6]Ship Emission Assumptions '!E44*$H$9</f>
        <v>1235.9879999999998</v>
      </c>
      <c r="M9" s="332">
        <f>'[6]Ship Emission Assumptions '!F44*$H$9</f>
        <v>7871.292</v>
      </c>
    </row>
    <row r="10" spans="7:13" ht="12.75">
      <c r="G10" s="137" t="s">
        <v>518</v>
      </c>
      <c r="H10" s="20">
        <f aca="true" t="shared" si="0" ref="H10:M10">SUM(H8:H9)</f>
        <v>6</v>
      </c>
      <c r="I10" s="332">
        <f t="shared" si="0"/>
        <v>7406.1975</v>
      </c>
      <c r="J10" s="332">
        <f t="shared" si="0"/>
        <v>212.901</v>
      </c>
      <c r="K10" s="332">
        <f t="shared" si="0"/>
        <v>669.8055</v>
      </c>
      <c r="L10" s="332">
        <f t="shared" si="0"/>
        <v>1772.8424999999997</v>
      </c>
      <c r="M10" s="332">
        <f t="shared" si="0"/>
        <v>11290.2075</v>
      </c>
    </row>
    <row r="11" spans="7:13" ht="12.75">
      <c r="G11" s="50"/>
      <c r="H11" s="50"/>
      <c r="I11" s="50"/>
      <c r="J11" s="50"/>
      <c r="K11" s="50"/>
      <c r="L11" s="50"/>
      <c r="M11" s="50"/>
    </row>
    <row r="12" spans="1:13" ht="12.75">
      <c r="A12" s="166" t="str">
        <f>'[6]Ship Emission Assumptions '!A60</f>
        <v>Fuel Consumption per Year, gals</v>
      </c>
      <c r="G12" s="333" t="s">
        <v>521</v>
      </c>
      <c r="H12" s="334">
        <f aca="true" t="shared" si="1" ref="H12:M12">H10-H6</f>
        <v>6</v>
      </c>
      <c r="I12" s="335">
        <f t="shared" si="1"/>
        <v>7406.1975</v>
      </c>
      <c r="J12" s="335">
        <f t="shared" si="1"/>
        <v>212.901</v>
      </c>
      <c r="K12" s="335">
        <f t="shared" si="1"/>
        <v>669.8055</v>
      </c>
      <c r="L12" s="335">
        <f t="shared" si="1"/>
        <v>1772.8424999999997</v>
      </c>
      <c r="M12" s="335">
        <f t="shared" si="1"/>
        <v>11290.2075</v>
      </c>
    </row>
    <row r="13" spans="1:5" s="50" customFormat="1" ht="26.25">
      <c r="A13" s="290" t="s">
        <v>522</v>
      </c>
      <c r="B13" s="20" t="str">
        <f>'[6]Ship Emission Assumptions '!B61</f>
        <v>No. Ships</v>
      </c>
      <c r="C13" s="336" t="str">
        <f>'[6]Ship Emission Assumptions '!C61</f>
        <v>Cruising &amp; Maneuvering</v>
      </c>
      <c r="D13" s="20" t="str">
        <f>'[6]Ship Emission Assumptions '!D61</f>
        <v>Tug Boats</v>
      </c>
      <c r="E13" s="20" t="str">
        <f>'[6]Ship Emission Assumptions '!E61</f>
        <v>Total</v>
      </c>
    </row>
    <row r="14" spans="1:13" ht="12.75">
      <c r="A14" s="415" t="str">
        <f>'[6]Ship Emission Assumptions '!A62</f>
        <v>Currently</v>
      </c>
      <c r="B14" s="415"/>
      <c r="C14" s="415"/>
      <c r="D14" s="415"/>
      <c r="E14" s="415"/>
      <c r="G14" s="329" t="s">
        <v>523</v>
      </c>
      <c r="H14" s="329"/>
      <c r="I14" s="329"/>
      <c r="J14" s="329"/>
      <c r="K14" s="329"/>
      <c r="L14" s="329"/>
      <c r="M14" s="329"/>
    </row>
    <row r="15" spans="1:13" ht="12.75">
      <c r="A15" s="137" t="str">
        <f>'[6]Ship Emission Assumptions '!A63</f>
        <v>Motor</v>
      </c>
      <c r="B15" s="137">
        <v>0</v>
      </c>
      <c r="C15" s="137">
        <f>'[6]Ship Emission Assumptions '!C63</f>
        <v>0</v>
      </c>
      <c r="D15" s="137">
        <f>'[6]Ship Emission Assumptions '!D63</f>
        <v>0</v>
      </c>
      <c r="E15" s="137">
        <f>'[6]Ship Emission Assumptions '!E63</f>
        <v>0</v>
      </c>
      <c r="G15" s="50"/>
      <c r="H15" s="137" t="s">
        <v>507</v>
      </c>
      <c r="I15" s="268" t="s">
        <v>10</v>
      </c>
      <c r="J15" s="268" t="s">
        <v>508</v>
      </c>
      <c r="K15" s="268" t="s">
        <v>8</v>
      </c>
      <c r="L15" s="268" t="s">
        <v>409</v>
      </c>
      <c r="M15" s="268" t="s">
        <v>11</v>
      </c>
    </row>
    <row r="16" spans="1:13" ht="12.75">
      <c r="A16" s="137" t="str">
        <f>'[6]Ship Emission Assumptions '!A64</f>
        <v>Steam</v>
      </c>
      <c r="B16" s="137">
        <v>0</v>
      </c>
      <c r="C16" s="137">
        <f>'[6]Ship Emission Assumptions '!C64</f>
        <v>0</v>
      </c>
      <c r="D16" s="137">
        <f>'[6]Ship Emission Assumptions '!D64</f>
        <v>0</v>
      </c>
      <c r="E16" s="137">
        <f>'[6]Ship Emission Assumptions '!E64</f>
        <v>0</v>
      </c>
      <c r="G16" s="409" t="s">
        <v>513</v>
      </c>
      <c r="H16" s="410"/>
      <c r="I16" s="410"/>
      <c r="J16" s="410"/>
      <c r="K16" s="410"/>
      <c r="L16" s="410"/>
      <c r="M16" s="411"/>
    </row>
    <row r="17" spans="1:13" ht="12.75">
      <c r="A17" s="137" t="str">
        <f>'[6]Ship Emission Assumptions '!A65</f>
        <v>Total </v>
      </c>
      <c r="B17" s="137">
        <v>0</v>
      </c>
      <c r="C17" s="137">
        <f>'[6]Ship Emission Assumptions '!C65</f>
        <v>0</v>
      </c>
      <c r="D17" s="137">
        <f>'[6]Ship Emission Assumptions '!D65</f>
        <v>0</v>
      </c>
      <c r="E17" s="137">
        <f>'[6]Ship Emission Assumptions '!E65</f>
        <v>0</v>
      </c>
      <c r="G17" s="137" t="s">
        <v>514</v>
      </c>
      <c r="H17" s="20">
        <v>0</v>
      </c>
      <c r="I17" s="332">
        <f>'[6]Ship Emission Assumptions '!D11*'[6]Ship Emission Assumptions '!$F$31/1000*$H$17</f>
        <v>0</v>
      </c>
      <c r="J17" s="332">
        <f>'[6]Ship Emission Assumptions '!E11*'[6]Ship Emission Assumptions '!$F$31/1000*$H$17</f>
        <v>0</v>
      </c>
      <c r="K17" s="332">
        <f>'[6]Ship Emission Assumptions '!F11*'[6]Ship Emission Assumptions '!$F$31/1000*$H$17</f>
        <v>0</v>
      </c>
      <c r="L17" s="332">
        <f>'[6]Ship Emission Assumptions '!G11*'[6]Ship Emission Assumptions '!$F$31/1000*$H$17</f>
        <v>0</v>
      </c>
      <c r="M17" s="332">
        <f>'[6]Ship Emission Assumptions '!H11*'[6]Ship Emission Assumptions '!$F$31/1000*$H$17</f>
        <v>0</v>
      </c>
    </row>
    <row r="18" spans="1:13" ht="12.75">
      <c r="A18" s="415" t="str">
        <f>'[6]Ship Emission Assumptions '!A66</f>
        <v>Proposed</v>
      </c>
      <c r="B18" s="415"/>
      <c r="C18" s="415"/>
      <c r="D18" s="415"/>
      <c r="E18" s="415"/>
      <c r="G18" s="137" t="s">
        <v>516</v>
      </c>
      <c r="H18" s="20">
        <v>0</v>
      </c>
      <c r="I18" s="332">
        <f>'[6]Ship Emission Assumptions '!D12*'[6]Ship Emission Assumptions '!$F$32/1000*$H$18</f>
        <v>0</v>
      </c>
      <c r="J18" s="332">
        <f>'[6]Ship Emission Assumptions '!E12*'[6]Ship Emission Assumptions '!$F$32/1000*$H$18</f>
        <v>0</v>
      </c>
      <c r="K18" s="332">
        <f>'[6]Ship Emission Assumptions '!F12*'[6]Ship Emission Assumptions '!$F$32/1000*$H$18</f>
        <v>0</v>
      </c>
      <c r="L18" s="332">
        <f>'[6]Ship Emission Assumptions '!G12*'[6]Ship Emission Assumptions '!$F$32/1000*$H$18</f>
        <v>0</v>
      </c>
      <c r="M18" s="332">
        <f>'[6]Ship Emission Assumptions '!H12*'[6]Ship Emission Assumptions '!$F$32/1000*$H$18</f>
        <v>0</v>
      </c>
    </row>
    <row r="19" spans="1:13" ht="12.75">
      <c r="A19" s="137" t="str">
        <f>'[6]Ship Emission Assumptions '!A67</f>
        <v>Motor</v>
      </c>
      <c r="B19" s="137">
        <v>3</v>
      </c>
      <c r="C19" s="137">
        <f>'[6]Ship Emission Assumptions '!C67</f>
        <v>41055</v>
      </c>
      <c r="D19" s="137">
        <f>'[6]Ship Emission Assumptions '!D67</f>
        <v>900</v>
      </c>
      <c r="E19" s="137">
        <f>'[6]Ship Emission Assumptions '!E67</f>
        <v>41955</v>
      </c>
      <c r="G19" s="137" t="s">
        <v>87</v>
      </c>
      <c r="H19" s="20">
        <v>0</v>
      </c>
      <c r="I19" s="332">
        <f>SUM(I17:I18)</f>
        <v>0</v>
      </c>
      <c r="J19" s="332">
        <f>SUM(J17:J18)</f>
        <v>0</v>
      </c>
      <c r="K19" s="332">
        <f>SUM(K17:K18)</f>
        <v>0</v>
      </c>
      <c r="L19" s="332">
        <f>SUM(L17:L18)</f>
        <v>0</v>
      </c>
      <c r="M19" s="332">
        <f>SUM(M17:M18)</f>
        <v>0</v>
      </c>
    </row>
    <row r="20" spans="1:13" ht="12.75">
      <c r="A20" s="137" t="str">
        <f>'[6]Ship Emission Assumptions '!A68</f>
        <v>Steam</v>
      </c>
      <c r="B20" s="137">
        <v>3</v>
      </c>
      <c r="C20" s="137">
        <f>'[6]Ship Emission Assumptions '!C68</f>
        <v>94520</v>
      </c>
      <c r="D20" s="137">
        <f>'[6]Ship Emission Assumptions '!D68</f>
        <v>900</v>
      </c>
      <c r="E20" s="137">
        <f>'[6]Ship Emission Assumptions '!E68</f>
        <v>95420</v>
      </c>
      <c r="G20" s="409" t="s">
        <v>519</v>
      </c>
      <c r="H20" s="410"/>
      <c r="I20" s="410"/>
      <c r="J20" s="410"/>
      <c r="K20" s="410"/>
      <c r="L20" s="410"/>
      <c r="M20" s="411"/>
    </row>
    <row r="21" spans="1:13" ht="12.75">
      <c r="A21" s="137" t="str">
        <f>'[6]Ship Emission Assumptions '!A69</f>
        <v>Total </v>
      </c>
      <c r="B21" s="137">
        <v>6</v>
      </c>
      <c r="C21" s="137">
        <f>'[6]Ship Emission Assumptions '!C69</f>
        <v>135575</v>
      </c>
      <c r="D21" s="137">
        <f>'[6]Ship Emission Assumptions '!D69</f>
        <v>1800</v>
      </c>
      <c r="E21" s="137">
        <f>'[6]Ship Emission Assumptions '!E69</f>
        <v>137375</v>
      </c>
      <c r="G21" s="137" t="s">
        <v>514</v>
      </c>
      <c r="H21" s="20">
        <v>3</v>
      </c>
      <c r="I21" s="291">
        <f>'[6]Ship Emission Assumptions '!D11*'[6]Ship Emission Assumptions '!$F$31/1000*$H$21</f>
        <v>1851.8220000000001</v>
      </c>
      <c r="J21" s="291">
        <f>'[6]Ship Emission Assumptions '!E11*'[6]Ship Emission Assumptions '!$F$31/1000*$H$21</f>
        <v>55.062</v>
      </c>
      <c r="K21" s="291">
        <f>'[6]Ship Emission Assumptions '!F11*'[6]Ship Emission Assumptions '!$F$31/1000*$H$21</f>
        <v>168.084</v>
      </c>
      <c r="L21" s="291">
        <f>'[6]Ship Emission Assumptions '!G11*'[6]Ship Emission Assumptions '!$F$31/1000*$H$21</f>
        <v>165.18599999999998</v>
      </c>
      <c r="M21" s="291">
        <f>'[6]Ship Emission Assumptions '!H11*'[6]Ship Emission Assumptions '!$F$31/1000*$H$21</f>
        <v>1051.9740000000002</v>
      </c>
    </row>
    <row r="22" spans="7:13" ht="12.75">
      <c r="G22" s="137" t="s">
        <v>516</v>
      </c>
      <c r="H22" s="20">
        <v>3</v>
      </c>
      <c r="I22" s="291">
        <f>'[6]Ship Emission Assumptions '!D12*'[6]Ship Emission Assumptions '!$F$32/1000*$H$22</f>
        <v>373.632</v>
      </c>
      <c r="J22" s="291">
        <f>'[6]Ship Emission Assumptions '!E12*'[6]Ship Emission Assumptions '!$F$32/1000*$H$22</f>
        <v>4.6704</v>
      </c>
      <c r="K22" s="291">
        <f>'[6]Ship Emission Assumptions '!F12*'[6]Ship Emission Assumptions '!$F$32/1000*$H$22</f>
        <v>23.352</v>
      </c>
      <c r="L22" s="291">
        <f>'[6]Ship Emission Assumptions '!G12*'[6]Ship Emission Assumptions '!$F$32/1000*$H$22</f>
        <v>133.44</v>
      </c>
      <c r="M22" s="291">
        <f>'[6]Ship Emission Assumptions '!H12*'[6]Ship Emission Assumptions '!$F$32/1000*$H$22</f>
        <v>2421.936</v>
      </c>
    </row>
    <row r="23" spans="1:13" ht="12.75">
      <c r="A23" s="337" t="s">
        <v>524</v>
      </c>
      <c r="B23" s="337">
        <v>6</v>
      </c>
      <c r="C23" s="337">
        <f>'[6]Ship Emission Assumptions '!C71</f>
        <v>135575</v>
      </c>
      <c r="D23" s="337">
        <f>'[6]Ship Emission Assumptions '!D71</f>
        <v>1800</v>
      </c>
      <c r="E23" s="337">
        <f>'[6]Ship Emission Assumptions '!E71</f>
        <v>137375</v>
      </c>
      <c r="G23" s="137" t="s">
        <v>87</v>
      </c>
      <c r="H23" s="20">
        <f>H21+H22</f>
        <v>6</v>
      </c>
      <c r="I23" s="291">
        <f>SUM(I21:I22)</f>
        <v>2225.454</v>
      </c>
      <c r="J23" s="291">
        <f>SUM(J21:J22)</f>
        <v>59.7324</v>
      </c>
      <c r="K23" s="291">
        <f>SUM(K21:K22)</f>
        <v>191.436</v>
      </c>
      <c r="L23" s="291">
        <f>SUM(L21:L22)</f>
        <v>298.626</v>
      </c>
      <c r="M23" s="291">
        <f>SUM(M21:M22)</f>
        <v>3473.9100000000003</v>
      </c>
    </row>
    <row r="24" spans="7:13" ht="12.75">
      <c r="G24" s="50"/>
      <c r="H24" s="50"/>
      <c r="I24" s="50"/>
      <c r="J24" s="50"/>
      <c r="K24" s="50"/>
      <c r="L24" s="50"/>
      <c r="M24" s="50"/>
    </row>
    <row r="25" spans="7:13" ht="12.75">
      <c r="G25" s="333" t="s">
        <v>521</v>
      </c>
      <c r="H25" s="334">
        <f aca="true" t="shared" si="2" ref="H25:M25">H23-H19</f>
        <v>6</v>
      </c>
      <c r="I25" s="338">
        <f t="shared" si="2"/>
        <v>2225.454</v>
      </c>
      <c r="J25" s="338">
        <f t="shared" si="2"/>
        <v>59.7324</v>
      </c>
      <c r="K25" s="338">
        <f t="shared" si="2"/>
        <v>191.436</v>
      </c>
      <c r="L25" s="338">
        <f t="shared" si="2"/>
        <v>298.626</v>
      </c>
      <c r="M25" s="338">
        <f t="shared" si="2"/>
        <v>3473.9100000000003</v>
      </c>
    </row>
    <row r="26" spans="4:13" ht="12.75"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4:13" ht="12.75">
      <c r="D27" s="414" t="s">
        <v>525</v>
      </c>
      <c r="E27" s="414"/>
      <c r="F27" s="414"/>
      <c r="G27" s="414"/>
      <c r="H27" s="414"/>
      <c r="I27" s="414"/>
      <c r="J27" s="414"/>
      <c r="K27" s="414"/>
      <c r="L27" s="414"/>
      <c r="M27" s="414"/>
    </row>
    <row r="28" spans="4:13" ht="26.25">
      <c r="D28" s="290" t="s">
        <v>522</v>
      </c>
      <c r="E28" s="290" t="s">
        <v>526</v>
      </c>
      <c r="F28" s="290" t="s">
        <v>527</v>
      </c>
      <c r="G28" s="290" t="s">
        <v>507</v>
      </c>
      <c r="H28" s="290" t="s">
        <v>528</v>
      </c>
      <c r="I28" s="336" t="s">
        <v>10</v>
      </c>
      <c r="J28" s="336" t="s">
        <v>508</v>
      </c>
      <c r="K28" s="336" t="s">
        <v>8</v>
      </c>
      <c r="L28" s="336" t="s">
        <v>409</v>
      </c>
      <c r="M28" s="336" t="s">
        <v>11</v>
      </c>
    </row>
    <row r="29" spans="4:13" ht="12.75">
      <c r="D29" s="412" t="s">
        <v>519</v>
      </c>
      <c r="E29" s="413"/>
      <c r="F29" s="413"/>
      <c r="G29" s="413"/>
      <c r="H29" s="410"/>
      <c r="I29" s="410"/>
      <c r="J29" s="410"/>
      <c r="K29" s="410"/>
      <c r="L29" s="410"/>
      <c r="M29" s="411"/>
    </row>
    <row r="30" spans="4:13" ht="12.75">
      <c r="D30" s="268" t="s">
        <v>514</v>
      </c>
      <c r="E30" s="339" t="s">
        <v>517</v>
      </c>
      <c r="F30" s="20">
        <v>12</v>
      </c>
      <c r="G30" s="20">
        <v>3</v>
      </c>
      <c r="H30" s="20">
        <f>F30*G30</f>
        <v>36</v>
      </c>
      <c r="I30" s="332">
        <f>('[6]Ship Emission Assumptions '!D18+'[6]Ship Emission Assumptions '!D19)*$H$30</f>
        <v>626.4</v>
      </c>
      <c r="J30" s="332">
        <f>('[6]Ship Emission Assumptions '!E18+'[6]Ship Emission Assumptions '!E19)*$H$30</f>
        <v>104.39999999999999</v>
      </c>
      <c r="K30" s="332">
        <f>('[6]Ship Emission Assumptions '!F18+'[6]Ship Emission Assumptions '!F19)*$H$30</f>
        <v>97.2</v>
      </c>
      <c r="L30" s="332">
        <f>('[6]Ship Emission Assumptions '!G18+'[6]Ship Emission Assumptions '!G19)*$H$30</f>
        <v>32.4</v>
      </c>
      <c r="M30" s="332">
        <f>('[6]Ship Emission Assumptions '!H18+'[6]Ship Emission Assumptions '!H19)*$H$30</f>
        <v>532.8000000000001</v>
      </c>
    </row>
    <row r="31" spans="4:13" ht="12.75">
      <c r="D31" s="34" t="s">
        <v>516</v>
      </c>
      <c r="E31" s="339" t="s">
        <v>517</v>
      </c>
      <c r="F31" s="20">
        <v>12</v>
      </c>
      <c r="G31" s="20">
        <v>3</v>
      </c>
      <c r="H31" s="20">
        <f>F31*G31</f>
        <v>36</v>
      </c>
      <c r="I31" s="332">
        <f>'[6]Ship Emission Assumptions '!D20*$H$31</f>
        <v>705.6</v>
      </c>
      <c r="J31" s="332">
        <f>'[6]Ship Emission Assumptions '!E20*$H$31</f>
        <v>28.8</v>
      </c>
      <c r="K31" s="332">
        <f>'[6]Ship Emission Assumptions '!F20*$H$31</f>
        <v>36</v>
      </c>
      <c r="L31" s="332">
        <f>'[6]Ship Emission Assumptions '!G20*$H$31</f>
        <v>97.2</v>
      </c>
      <c r="M31" s="332">
        <f>'[6]Ship Emission Assumptions '!H20*$H$31</f>
        <v>752.4</v>
      </c>
    </row>
    <row r="32" spans="4:13" ht="12.75">
      <c r="D32" s="137" t="s">
        <v>87</v>
      </c>
      <c r="E32" s="137"/>
      <c r="F32" s="20"/>
      <c r="G32" s="20"/>
      <c r="H32" s="20">
        <f aca="true" t="shared" si="3" ref="H32:M32">SUM(H30:H31)</f>
        <v>72</v>
      </c>
      <c r="I32" s="332">
        <f t="shared" si="3"/>
        <v>1332</v>
      </c>
      <c r="J32" s="332">
        <f t="shared" si="3"/>
        <v>133.2</v>
      </c>
      <c r="K32" s="332">
        <f t="shared" si="3"/>
        <v>133.2</v>
      </c>
      <c r="L32" s="332">
        <f t="shared" si="3"/>
        <v>129.6</v>
      </c>
      <c r="M32" s="332">
        <f t="shared" si="3"/>
        <v>1285.2</v>
      </c>
    </row>
    <row r="33" spans="4:13" ht="12.75">
      <c r="D33" s="50"/>
      <c r="E33" s="50"/>
      <c r="F33" s="50"/>
      <c r="G33" s="50"/>
      <c r="H33" s="50"/>
      <c r="I33" s="253"/>
      <c r="J33" s="253"/>
      <c r="K33" s="253"/>
      <c r="L33" s="253"/>
      <c r="M33" s="253"/>
    </row>
    <row r="34" spans="4:13" ht="12.75">
      <c r="D34" s="50" t="s">
        <v>521</v>
      </c>
      <c r="E34" s="50"/>
      <c r="F34" s="50"/>
      <c r="G34" s="50"/>
      <c r="H34" s="99">
        <f aca="true" t="shared" si="4" ref="H34:M34">H32</f>
        <v>72</v>
      </c>
      <c r="I34" s="340">
        <f t="shared" si="4"/>
        <v>1332</v>
      </c>
      <c r="J34" s="340">
        <f t="shared" si="4"/>
        <v>133.2</v>
      </c>
      <c r="K34" s="340">
        <f t="shared" si="4"/>
        <v>133.2</v>
      </c>
      <c r="L34" s="340">
        <f t="shared" si="4"/>
        <v>129.6</v>
      </c>
      <c r="M34" s="340">
        <f t="shared" si="4"/>
        <v>1285.2</v>
      </c>
    </row>
    <row r="35" spans="2:13" ht="12.75">
      <c r="B35" s="161" t="s">
        <v>529</v>
      </c>
      <c r="C35" s="50"/>
      <c r="D35" s="50"/>
      <c r="E35" s="50"/>
      <c r="F35" s="99"/>
      <c r="G35" s="340"/>
      <c r="H35" s="340"/>
      <c r="I35" s="340"/>
      <c r="J35" s="340"/>
      <c r="K35" s="340"/>
      <c r="L35" s="340"/>
      <c r="M35" s="340"/>
    </row>
    <row r="36" spans="2:11" ht="26.25">
      <c r="B36" s="341"/>
      <c r="C36" s="339" t="s">
        <v>530</v>
      </c>
      <c r="D36" s="336" t="s">
        <v>531</v>
      </c>
      <c r="E36" s="336" t="s">
        <v>532</v>
      </c>
      <c r="F36" s="336" t="s">
        <v>533</v>
      </c>
      <c r="G36" s="336" t="s">
        <v>10</v>
      </c>
      <c r="H36" s="336" t="s">
        <v>508</v>
      </c>
      <c r="I36" s="336" t="s">
        <v>8</v>
      </c>
      <c r="J36" s="336" t="s">
        <v>409</v>
      </c>
      <c r="K36" s="336" t="s">
        <v>11</v>
      </c>
    </row>
    <row r="37" spans="2:11" ht="12.75">
      <c r="B37" s="409" t="s">
        <v>534</v>
      </c>
      <c r="C37" s="410"/>
      <c r="D37" s="410"/>
      <c r="E37" s="410"/>
      <c r="F37" s="410"/>
      <c r="G37" s="410"/>
      <c r="H37" s="410"/>
      <c r="I37" s="410"/>
      <c r="J37" s="410"/>
      <c r="K37" s="411"/>
    </row>
    <row r="38" spans="2:11" ht="12.75">
      <c r="B38" s="137" t="s">
        <v>535</v>
      </c>
      <c r="C38" s="20" t="s">
        <v>5</v>
      </c>
      <c r="D38" s="20">
        <v>2</v>
      </c>
      <c r="E38" s="20">
        <v>1</v>
      </c>
      <c r="F38" s="20">
        <v>46</v>
      </c>
      <c r="G38" s="332">
        <v>817</v>
      </c>
      <c r="H38" s="332">
        <v>37</v>
      </c>
      <c r="I38" s="332">
        <v>111</v>
      </c>
      <c r="J38" s="332">
        <v>18</v>
      </c>
      <c r="K38" s="332">
        <v>146</v>
      </c>
    </row>
    <row r="39" spans="2:11" ht="12.75">
      <c r="B39" s="137" t="s">
        <v>536</v>
      </c>
      <c r="C39" s="137"/>
      <c r="D39" s="137"/>
      <c r="E39" s="137"/>
      <c r="F39" s="20"/>
      <c r="G39" s="332">
        <f>ROUND(G38/$F38,2)</f>
        <v>17.76</v>
      </c>
      <c r="H39" s="332">
        <f>ROUND(H38/$F38,2)</f>
        <v>0.8</v>
      </c>
      <c r="I39" s="332">
        <f>ROUND(I38/$F38,2)</f>
        <v>2.41</v>
      </c>
      <c r="J39" s="332">
        <f>ROUND(J38/$F38,2)</f>
        <v>0.39</v>
      </c>
      <c r="K39" s="332">
        <f>ROUND(K38/$F38,2)</f>
        <v>3.17</v>
      </c>
    </row>
    <row r="40" spans="2:11" ht="12.75">
      <c r="B40" s="409" t="s">
        <v>537</v>
      </c>
      <c r="C40" s="410"/>
      <c r="D40" s="410"/>
      <c r="E40" s="410"/>
      <c r="F40" s="410"/>
      <c r="G40" s="410"/>
      <c r="H40" s="410"/>
      <c r="I40" s="410"/>
      <c r="J40" s="410"/>
      <c r="K40" s="411"/>
    </row>
    <row r="41" spans="2:11" ht="12.75">
      <c r="B41" s="409" t="s">
        <v>538</v>
      </c>
      <c r="C41" s="410"/>
      <c r="D41" s="410"/>
      <c r="E41" s="410"/>
      <c r="F41" s="410"/>
      <c r="G41" s="410"/>
      <c r="H41" s="410"/>
      <c r="I41" s="410"/>
      <c r="J41" s="410"/>
      <c r="K41" s="411"/>
    </row>
    <row r="42" spans="2:11" ht="12.75">
      <c r="B42" s="137" t="s">
        <v>535</v>
      </c>
      <c r="C42" s="20">
        <v>6</v>
      </c>
      <c r="D42" s="20">
        <v>2</v>
      </c>
      <c r="E42" s="20">
        <v>2</v>
      </c>
      <c r="F42" s="20">
        <f>C42*D42</f>
        <v>12</v>
      </c>
      <c r="G42" s="332">
        <f>G$39*$E42*$F42</f>
        <v>426.24</v>
      </c>
      <c r="H42" s="332">
        <f>H$39*$E42*$F42</f>
        <v>19.200000000000003</v>
      </c>
      <c r="I42" s="332">
        <f>I$39*$E42*$F42</f>
        <v>57.84</v>
      </c>
      <c r="J42" s="332">
        <f>J$39*$E42*$F42</f>
        <v>9.36</v>
      </c>
      <c r="K42" s="332">
        <f>K$39*$E42*$F42</f>
        <v>76.08</v>
      </c>
    </row>
    <row r="43" spans="2:11" ht="12.75">
      <c r="B43" s="50"/>
      <c r="C43" s="50"/>
      <c r="D43" s="50"/>
      <c r="E43" s="50"/>
      <c r="F43" s="99"/>
      <c r="G43" s="340"/>
      <c r="H43" s="340"/>
      <c r="I43" s="340"/>
      <c r="J43" s="340"/>
      <c r="K43" s="340"/>
    </row>
    <row r="44" spans="2:11" ht="12.75">
      <c r="B44" s="112" t="s">
        <v>539</v>
      </c>
      <c r="C44" s="112"/>
      <c r="D44" s="112"/>
      <c r="E44" s="112"/>
      <c r="F44" s="342"/>
      <c r="G44" s="343">
        <f>G42</f>
        <v>426.24</v>
      </c>
      <c r="H44" s="343">
        <f>H42</f>
        <v>19.200000000000003</v>
      </c>
      <c r="I44" s="343">
        <f>I42</f>
        <v>57.84</v>
      </c>
      <c r="J44" s="343">
        <f>J42</f>
        <v>9.36</v>
      </c>
      <c r="K44" s="343">
        <f>K42</f>
        <v>76.08</v>
      </c>
    </row>
    <row r="45" spans="2:11" ht="12.75">
      <c r="B45" s="50"/>
      <c r="C45" s="50"/>
      <c r="D45" s="50"/>
      <c r="E45" s="50"/>
      <c r="F45" s="99"/>
      <c r="G45" s="340"/>
      <c r="H45" s="340"/>
      <c r="I45" s="340"/>
      <c r="J45" s="340"/>
      <c r="K45" s="340"/>
    </row>
    <row r="46" spans="2:11" ht="12.75">
      <c r="B46" s="161" t="s">
        <v>540</v>
      </c>
      <c r="C46" s="50"/>
      <c r="D46" s="50"/>
      <c r="E46" s="50"/>
      <c r="F46" s="99"/>
      <c r="G46" s="344">
        <f>I34+I25+I12+G44</f>
        <v>11389.8915</v>
      </c>
      <c r="H46" s="344">
        <f>J34+J25+J12+H44</f>
        <v>425.0334</v>
      </c>
      <c r="I46" s="344">
        <f>K34+K25+K12+I44</f>
        <v>1052.2815</v>
      </c>
      <c r="J46" s="344">
        <f>L34+L25+L12+J44</f>
        <v>2210.4285</v>
      </c>
      <c r="K46" s="344">
        <f>M34+M25+M12+K44</f>
        <v>16125.397500000001</v>
      </c>
    </row>
    <row r="47" spans="2:11" ht="12.75">
      <c r="B47" s="161" t="s">
        <v>541</v>
      </c>
      <c r="C47" s="50"/>
      <c r="D47" s="50"/>
      <c r="E47" s="50"/>
      <c r="F47" s="99"/>
      <c r="G47" s="344">
        <f>G46/H25</f>
        <v>1898.3152499999999</v>
      </c>
      <c r="H47" s="344">
        <f>H46/H25</f>
        <v>70.8389</v>
      </c>
      <c r="I47" s="344">
        <f>I46/H25</f>
        <v>175.38025000000002</v>
      </c>
      <c r="J47" s="344">
        <f>J46/H25</f>
        <v>368.40475</v>
      </c>
      <c r="K47" s="344">
        <f>K46/H25</f>
        <v>2687.5662500000003</v>
      </c>
    </row>
    <row r="49" spans="1:11" ht="12.75">
      <c r="A49" s="48" t="s">
        <v>542</v>
      </c>
      <c r="K49" s="88">
        <v>37067</v>
      </c>
    </row>
  </sheetData>
  <sheetProtection/>
  <mergeCells count="11">
    <mergeCell ref="G3:M3"/>
    <mergeCell ref="G7:M7"/>
    <mergeCell ref="G16:M16"/>
    <mergeCell ref="G20:M20"/>
    <mergeCell ref="A14:E14"/>
    <mergeCell ref="A18:E18"/>
    <mergeCell ref="B37:K37"/>
    <mergeCell ref="B41:K41"/>
    <mergeCell ref="D29:M29"/>
    <mergeCell ref="D27:M27"/>
    <mergeCell ref="B40:K40"/>
  </mergeCells>
  <printOptions horizontalCentered="1"/>
  <pageMargins left="0.75" right="0.25" top="1" bottom="0.5" header="0.5" footer="0"/>
  <pageSetup firstPageNumber="19" useFirstPageNumber="1" fitToHeight="2" horizontalDpi="600" verticalDpi="600" orientation="landscape" scale="84" r:id="rId1"/>
  <headerFooter alignWithMargins="0">
    <oddHeader xml:space="preserve">&amp;C&amp;"Arial,Bold"&amp;12Marine Vessel Emission Estimates </oddHeader>
  </headerFooter>
  <rowBreaks count="1" manualBreakCount="1">
    <brk id="3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9">
      <selection activeCell="E27" sqref="E27"/>
    </sheetView>
  </sheetViews>
  <sheetFormatPr defaultColWidth="9.140625" defaultRowHeight="12.75"/>
  <cols>
    <col min="1" max="2" width="16.7109375" style="0" customWidth="1"/>
    <col min="3" max="5" width="15.7109375" style="0" customWidth="1"/>
    <col min="6" max="7" width="12.7109375" style="0" customWidth="1"/>
  </cols>
  <sheetData>
    <row r="1" spans="1:5" ht="12.75">
      <c r="A1" s="402" t="s">
        <v>543</v>
      </c>
      <c r="B1" s="396"/>
      <c r="C1" s="396"/>
      <c r="D1" s="396"/>
      <c r="E1" s="396"/>
    </row>
    <row r="2" spans="1:5" ht="12.75">
      <c r="A2" s="402" t="s">
        <v>342</v>
      </c>
      <c r="B2" s="402"/>
      <c r="C2" s="402"/>
      <c r="D2" s="402"/>
      <c r="E2" s="402"/>
    </row>
    <row r="3" ht="13.5" thickBot="1"/>
    <row r="4" spans="1:6" s="143" customFormat="1" ht="27" thickBot="1" thickTop="1">
      <c r="A4" s="139" t="s">
        <v>155</v>
      </c>
      <c r="B4" s="140" t="s">
        <v>156</v>
      </c>
      <c r="C4" s="140" t="s">
        <v>157</v>
      </c>
      <c r="D4" s="140" t="s">
        <v>160</v>
      </c>
      <c r="E4" s="142" t="s">
        <v>161</v>
      </c>
      <c r="F4" s="143" t="s">
        <v>5</v>
      </c>
    </row>
    <row r="5" spans="1:6" ht="13.5" thickTop="1">
      <c r="A5" s="34" t="s">
        <v>544</v>
      </c>
      <c r="B5" s="34" t="s">
        <v>163</v>
      </c>
      <c r="C5" s="34">
        <v>3</v>
      </c>
      <c r="D5" s="34">
        <v>104</v>
      </c>
      <c r="E5" s="34">
        <f aca="true" t="shared" si="0" ref="E5:E10">C5*D5</f>
        <v>312</v>
      </c>
      <c r="F5" s="145" t="s">
        <v>5</v>
      </c>
    </row>
    <row r="6" spans="1:5" ht="12.75">
      <c r="A6" s="34" t="s">
        <v>545</v>
      </c>
      <c r="B6" s="34" t="s">
        <v>164</v>
      </c>
      <c r="C6" s="34">
        <v>65</v>
      </c>
      <c r="D6" s="34">
        <v>19</v>
      </c>
      <c r="E6" s="34">
        <f t="shared" si="0"/>
        <v>1235</v>
      </c>
    </row>
    <row r="7" spans="1:5" ht="12.75">
      <c r="A7" s="34"/>
      <c r="B7" s="34" t="s">
        <v>165</v>
      </c>
      <c r="C7" s="34">
        <v>200</v>
      </c>
      <c r="D7" s="34">
        <v>1.5</v>
      </c>
      <c r="E7" s="34">
        <f t="shared" si="0"/>
        <v>300</v>
      </c>
    </row>
    <row r="8" spans="1:5" ht="12.75">
      <c r="A8" s="34"/>
      <c r="B8" s="147" t="s">
        <v>166</v>
      </c>
      <c r="C8" s="34">
        <v>20</v>
      </c>
      <c r="D8" s="34">
        <v>23</v>
      </c>
      <c r="E8" s="34">
        <f t="shared" si="0"/>
        <v>460</v>
      </c>
    </row>
    <row r="9" spans="1:5" ht="12.75">
      <c r="A9" s="34"/>
      <c r="B9" s="34" t="s">
        <v>169</v>
      </c>
      <c r="C9" s="34">
        <v>0</v>
      </c>
      <c r="D9" s="34">
        <v>514</v>
      </c>
      <c r="E9" s="34">
        <f t="shared" si="0"/>
        <v>0</v>
      </c>
    </row>
    <row r="10" spans="1:5" ht="13.5" thickBot="1">
      <c r="A10" s="34"/>
      <c r="B10" s="46" t="s">
        <v>171</v>
      </c>
      <c r="C10" s="46">
        <v>20</v>
      </c>
      <c r="D10" s="34">
        <v>0</v>
      </c>
      <c r="E10" s="34">
        <f t="shared" si="0"/>
        <v>0</v>
      </c>
    </row>
    <row r="11" spans="1:5" ht="14.25" thickBot="1" thickTop="1">
      <c r="A11" s="46"/>
      <c r="B11" s="46" t="s">
        <v>344</v>
      </c>
      <c r="C11" s="46">
        <f>SUM(C5:C10)</f>
        <v>308</v>
      </c>
      <c r="D11" s="149" t="s">
        <v>5</v>
      </c>
      <c r="E11" s="149">
        <f>SUM(E5:E10)</f>
        <v>2307</v>
      </c>
    </row>
    <row r="12" spans="1:5" ht="13.5" thickTop="1">
      <c r="A12" s="160"/>
      <c r="B12" s="161" t="s">
        <v>195</v>
      </c>
      <c r="C12" s="50"/>
      <c r="D12" s="50"/>
      <c r="E12" s="162">
        <f>SUM(E5:E11)-E11</f>
        <v>2307</v>
      </c>
    </row>
    <row r="13" spans="1:5" ht="13.5" thickBot="1">
      <c r="A13" s="163"/>
      <c r="B13" s="164" t="s">
        <v>196</v>
      </c>
      <c r="C13" s="152"/>
      <c r="D13" s="152"/>
      <c r="E13" s="165">
        <f>+(E12/365)</f>
        <v>6.32054794520548</v>
      </c>
    </row>
    <row r="14" ht="13.5" thickTop="1"/>
    <row r="15" ht="12.75">
      <c r="A15" t="s">
        <v>197</v>
      </c>
    </row>
    <row r="16" ht="12.75">
      <c r="A16" t="s">
        <v>546</v>
      </c>
    </row>
    <row r="18" spans="1:7" ht="12.75">
      <c r="A18" s="48" t="s">
        <v>494</v>
      </c>
      <c r="D18" s="88">
        <v>37067</v>
      </c>
      <c r="E18" s="326"/>
      <c r="F18" s="326"/>
      <c r="G18" s="326"/>
    </row>
    <row r="19" spans="1:3" ht="12.75">
      <c r="A19" s="326"/>
      <c r="B19" s="326"/>
      <c r="C19" s="326"/>
    </row>
  </sheetData>
  <sheetProtection/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G14">
      <selection activeCell="A34" sqref="A34"/>
    </sheetView>
  </sheetViews>
  <sheetFormatPr defaultColWidth="9.140625" defaultRowHeight="12.75"/>
  <cols>
    <col min="1" max="1" width="30.7109375" style="0" customWidth="1"/>
    <col min="2" max="8" width="14.7109375" style="0" customWidth="1"/>
  </cols>
  <sheetData>
    <row r="2" spans="1:8" ht="12.75">
      <c r="A2" s="402" t="s">
        <v>547</v>
      </c>
      <c r="B2" s="396"/>
      <c r="C2" s="396"/>
      <c r="D2" s="396"/>
      <c r="E2" s="396"/>
      <c r="F2" s="396"/>
      <c r="G2" s="396"/>
      <c r="H2" s="396"/>
    </row>
    <row r="3" ht="13.5" thickBot="1"/>
    <row r="4" spans="1:8" ht="39.75" customHeight="1" thickBot="1">
      <c r="A4" s="68" t="s">
        <v>548</v>
      </c>
      <c r="B4" s="107" t="s">
        <v>549</v>
      </c>
      <c r="C4" s="107" t="s">
        <v>550</v>
      </c>
      <c r="D4" s="107" t="s">
        <v>551</v>
      </c>
      <c r="E4" s="107" t="s">
        <v>552</v>
      </c>
      <c r="F4" s="107" t="s">
        <v>553</v>
      </c>
      <c r="G4" s="107" t="s">
        <v>554</v>
      </c>
      <c r="H4" s="107" t="s">
        <v>555</v>
      </c>
    </row>
    <row r="5" spans="1:8" ht="12.75">
      <c r="A5" s="259" t="s">
        <v>556</v>
      </c>
      <c r="B5" s="259">
        <v>531.56</v>
      </c>
      <c r="C5" s="345">
        <v>2188.02</v>
      </c>
      <c r="D5" s="345">
        <v>1255.43</v>
      </c>
      <c r="E5" s="259">
        <v>439.87</v>
      </c>
      <c r="F5" s="259">
        <v>519.39</v>
      </c>
      <c r="G5" s="345">
        <v>2647.47</v>
      </c>
      <c r="H5" s="259">
        <v>351.82</v>
      </c>
    </row>
    <row r="6" spans="1:8" ht="12.75">
      <c r="A6" s="137" t="s">
        <v>557</v>
      </c>
      <c r="B6" s="292">
        <v>12800</v>
      </c>
      <c r="C6" s="292">
        <v>30000</v>
      </c>
      <c r="D6" s="292">
        <v>7600</v>
      </c>
      <c r="E6" s="292">
        <v>7400</v>
      </c>
      <c r="F6" s="292">
        <v>7150</v>
      </c>
      <c r="G6" s="292">
        <v>11900</v>
      </c>
      <c r="H6" s="292">
        <v>7150</v>
      </c>
    </row>
    <row r="7" spans="1:8" ht="12.75">
      <c r="A7" s="137" t="s">
        <v>558</v>
      </c>
      <c r="B7" s="346" t="s">
        <v>517</v>
      </c>
      <c r="C7" s="346" t="s">
        <v>515</v>
      </c>
      <c r="D7" s="346" t="s">
        <v>517</v>
      </c>
      <c r="E7" s="346" t="s">
        <v>517</v>
      </c>
      <c r="F7" s="346" t="s">
        <v>517</v>
      </c>
      <c r="G7" s="346" t="s">
        <v>80</v>
      </c>
      <c r="H7" s="346" t="s">
        <v>517</v>
      </c>
    </row>
    <row r="8" ht="12.75">
      <c r="A8" t="s">
        <v>5</v>
      </c>
    </row>
    <row r="10" spans="1:8" ht="12.75">
      <c r="A10" s="137"/>
      <c r="B10" s="20" t="s">
        <v>559</v>
      </c>
      <c r="C10" s="20" t="s">
        <v>559</v>
      </c>
      <c r="D10" s="20" t="s">
        <v>559</v>
      </c>
      <c r="E10" s="20" t="s">
        <v>559</v>
      </c>
      <c r="F10" s="20" t="s">
        <v>559</v>
      </c>
      <c r="G10" s="20" t="s">
        <v>559</v>
      </c>
      <c r="H10" s="20" t="s">
        <v>559</v>
      </c>
    </row>
    <row r="11" spans="1:8" ht="12.75">
      <c r="A11" s="137" t="s">
        <v>354</v>
      </c>
      <c r="B11" s="291">
        <v>0.26</v>
      </c>
      <c r="C11" s="137">
        <v>0</v>
      </c>
      <c r="D11" s="137">
        <v>0.37</v>
      </c>
      <c r="E11" s="137">
        <v>0.14</v>
      </c>
      <c r="F11" s="137">
        <v>0.07</v>
      </c>
      <c r="G11" s="137">
        <v>7.85</v>
      </c>
      <c r="H11" s="137">
        <v>0.04</v>
      </c>
    </row>
    <row r="12" spans="1:8" ht="12.75">
      <c r="A12" s="137" t="s">
        <v>355</v>
      </c>
      <c r="B12" s="291">
        <v>1.37</v>
      </c>
      <c r="C12" s="137">
        <v>0</v>
      </c>
      <c r="D12" s="137">
        <v>3.3</v>
      </c>
      <c r="E12" s="137">
        <v>1.16</v>
      </c>
      <c r="F12" s="137">
        <v>0.99</v>
      </c>
      <c r="G12" s="137">
        <v>13.85</v>
      </c>
      <c r="H12" s="137">
        <v>0.95</v>
      </c>
    </row>
    <row r="13" spans="1:8" ht="12.75">
      <c r="A13" s="137" t="s">
        <v>356</v>
      </c>
      <c r="B13" s="291">
        <v>0.02</v>
      </c>
      <c r="C13" s="137">
        <v>0</v>
      </c>
      <c r="D13" s="137">
        <v>0.03</v>
      </c>
      <c r="E13" s="137">
        <v>0.01</v>
      </c>
      <c r="F13" s="137">
        <v>0.01</v>
      </c>
      <c r="G13" s="137">
        <v>0.53</v>
      </c>
      <c r="H13" s="137">
        <v>0</v>
      </c>
    </row>
    <row r="14" spans="1:8" ht="12.75">
      <c r="A14" s="137" t="s">
        <v>382</v>
      </c>
      <c r="B14" s="291">
        <v>402.45</v>
      </c>
      <c r="C14" s="137">
        <v>0</v>
      </c>
      <c r="D14" s="137">
        <v>893.74</v>
      </c>
      <c r="E14" s="137">
        <v>319.1</v>
      </c>
      <c r="F14" s="137">
        <v>257.25</v>
      </c>
      <c r="G14" s="137">
        <v>0</v>
      </c>
      <c r="H14" s="137">
        <v>238.46</v>
      </c>
    </row>
    <row r="15" spans="1:8" ht="12.75">
      <c r="A15" s="137" t="s">
        <v>560</v>
      </c>
      <c r="B15" s="291">
        <v>0.24</v>
      </c>
      <c r="C15" s="137">
        <v>0</v>
      </c>
      <c r="D15" s="137">
        <v>0.39</v>
      </c>
      <c r="E15" s="137">
        <v>0.14</v>
      </c>
      <c r="F15" s="137">
        <v>0.08</v>
      </c>
      <c r="G15" s="137">
        <v>4.73</v>
      </c>
      <c r="H15" s="137">
        <v>0.07</v>
      </c>
    </row>
    <row r="16" spans="1:8" ht="12.75">
      <c r="A16" s="137" t="s">
        <v>359</v>
      </c>
      <c r="B16" s="291">
        <v>0.82</v>
      </c>
      <c r="C16" s="137">
        <v>0</v>
      </c>
      <c r="D16" s="137">
        <v>2.1</v>
      </c>
      <c r="E16" s="137">
        <v>0.73</v>
      </c>
      <c r="F16" s="137">
        <v>0.65</v>
      </c>
      <c r="G16" s="137">
        <v>21.76</v>
      </c>
      <c r="H16" s="137">
        <v>0.63</v>
      </c>
    </row>
    <row r="17" spans="1:8" ht="12.75">
      <c r="A17" s="137" t="s">
        <v>360</v>
      </c>
      <c r="B17" s="291">
        <v>0.94</v>
      </c>
      <c r="C17" s="137">
        <v>0</v>
      </c>
      <c r="D17" s="137">
        <v>2.04</v>
      </c>
      <c r="E17" s="137">
        <v>0.73</v>
      </c>
      <c r="F17" s="137">
        <v>0.58</v>
      </c>
      <c r="G17" s="137">
        <v>35.54</v>
      </c>
      <c r="H17" s="137">
        <v>0.53</v>
      </c>
    </row>
    <row r="18" spans="1:8" ht="12.75">
      <c r="A18" s="137" t="s">
        <v>361</v>
      </c>
      <c r="B18" s="291">
        <v>0.05</v>
      </c>
      <c r="C18" s="137">
        <v>0</v>
      </c>
      <c r="D18" s="137">
        <v>0.06</v>
      </c>
      <c r="E18" s="137">
        <v>0.02</v>
      </c>
      <c r="F18" s="137">
        <v>0.01</v>
      </c>
      <c r="G18" s="137">
        <v>0.94</v>
      </c>
      <c r="H18" s="137">
        <v>0.01</v>
      </c>
    </row>
    <row r="19" spans="1:8" ht="12.75">
      <c r="A19" s="137" t="s">
        <v>362</v>
      </c>
      <c r="B19" s="291">
        <v>0.8</v>
      </c>
      <c r="C19" s="137">
        <v>0</v>
      </c>
      <c r="D19" s="137">
        <v>2.41</v>
      </c>
      <c r="E19" s="137">
        <v>0.87</v>
      </c>
      <c r="F19" s="137">
        <v>0.63</v>
      </c>
      <c r="G19" s="137">
        <v>33.36</v>
      </c>
      <c r="H19" s="137">
        <v>0.55</v>
      </c>
    </row>
    <row r="20" spans="1:8" ht="12.75">
      <c r="A20" s="137" t="s">
        <v>363</v>
      </c>
      <c r="B20" s="291">
        <v>0.001505</v>
      </c>
      <c r="C20" s="137">
        <v>0</v>
      </c>
      <c r="D20" s="137">
        <v>1.28</v>
      </c>
      <c r="E20" s="137">
        <v>0.47</v>
      </c>
      <c r="F20" s="137">
        <v>0.26</v>
      </c>
      <c r="G20" s="137">
        <v>26.37</v>
      </c>
      <c r="H20" s="137">
        <v>0.2</v>
      </c>
    </row>
    <row r="21" spans="1:8" ht="12.75">
      <c r="A21" s="137" t="s">
        <v>364</v>
      </c>
      <c r="B21" s="291">
        <v>123.39</v>
      </c>
      <c r="C21" s="277">
        <v>2188.02</v>
      </c>
      <c r="D21" s="137">
        <v>349.72</v>
      </c>
      <c r="E21" s="137">
        <v>116.48</v>
      </c>
      <c r="F21" s="137">
        <v>111.06</v>
      </c>
      <c r="G21" s="277">
        <v>2502.54</v>
      </c>
      <c r="H21" s="137">
        <v>110.38</v>
      </c>
    </row>
    <row r="22" spans="1:8" ht="12.75">
      <c r="A22" s="50"/>
      <c r="B22" s="253"/>
      <c r="C22" s="347"/>
      <c r="D22" s="50"/>
      <c r="E22" s="50"/>
      <c r="F22" s="50"/>
      <c r="G22" s="347"/>
      <c r="H22" s="50"/>
    </row>
    <row r="23" spans="1:8" ht="12.75">
      <c r="A23" s="50"/>
      <c r="B23" s="253"/>
      <c r="C23" s="347"/>
      <c r="D23" s="50"/>
      <c r="E23" s="50"/>
      <c r="F23" s="50"/>
      <c r="G23" s="347"/>
      <c r="H23" s="50"/>
    </row>
    <row r="24" spans="1:8" ht="12.75">
      <c r="A24" s="48" t="s">
        <v>561</v>
      </c>
      <c r="D24" t="s">
        <v>5</v>
      </c>
      <c r="H24" s="200">
        <v>37074</v>
      </c>
    </row>
  </sheetData>
  <sheetProtection/>
  <mergeCells count="1">
    <mergeCell ref="A2:H2"/>
  </mergeCells>
  <printOptions/>
  <pageMargins left="0.85" right="0.7" top="1" bottom="1" header="0.5" footer="0.5"/>
  <pageSetup horizontalDpi="600" verticalDpi="600" orientation="landscape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1"/>
  <dimension ref="A1:T56"/>
  <sheetViews>
    <sheetView zoomScalePageLayoutView="0" workbookViewId="0" topLeftCell="A23">
      <selection activeCell="D39" sqref="D39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3.00390625" style="0" customWidth="1"/>
    <col min="4" max="4" width="12.7109375" style="0" customWidth="1"/>
    <col min="5" max="5" width="11.57421875" style="0" customWidth="1"/>
    <col min="6" max="6" width="10.8515625" style="0" customWidth="1"/>
    <col min="7" max="7" width="12.57421875" style="0" customWidth="1"/>
    <col min="8" max="8" width="11.57421875" style="0" customWidth="1"/>
    <col min="9" max="9" width="12.57421875" style="0" customWidth="1"/>
    <col min="10" max="10" width="12.00390625" style="0" customWidth="1"/>
    <col min="11" max="11" width="11.00390625" style="0" customWidth="1"/>
    <col min="12" max="12" width="10.140625" style="0" customWidth="1"/>
    <col min="13" max="13" width="9.8515625" style="0" customWidth="1"/>
    <col min="14" max="15" width="13.7109375" style="0" bestFit="1" customWidth="1"/>
    <col min="19" max="19" width="9.57421875" style="0" bestFit="1" customWidth="1"/>
  </cols>
  <sheetData>
    <row r="1" spans="2:13" ht="12.75">
      <c r="B1" s="166" t="s">
        <v>504</v>
      </c>
      <c r="G1" s="329" t="s">
        <v>505</v>
      </c>
      <c r="H1" s="329"/>
      <c r="I1" s="329"/>
      <c r="J1" s="329"/>
      <c r="K1" s="329"/>
      <c r="L1" s="329"/>
      <c r="M1" s="329"/>
    </row>
    <row r="2" spans="2:13" ht="12.75">
      <c r="B2" s="166" t="s">
        <v>506</v>
      </c>
      <c r="G2" s="330"/>
      <c r="H2" s="137" t="s">
        <v>507</v>
      </c>
      <c r="I2" s="20" t="s">
        <v>10</v>
      </c>
      <c r="J2" s="20" t="s">
        <v>508</v>
      </c>
      <c r="K2" s="20" t="s">
        <v>8</v>
      </c>
      <c r="L2" s="20" t="s">
        <v>409</v>
      </c>
      <c r="M2" s="20" t="s">
        <v>11</v>
      </c>
    </row>
    <row r="3" spans="2:20" ht="12.75">
      <c r="B3" s="137" t="s">
        <v>509</v>
      </c>
      <c r="C3" s="137" t="s">
        <v>510</v>
      </c>
      <c r="D3" s="137" t="s">
        <v>511</v>
      </c>
      <c r="E3" s="137" t="s">
        <v>512</v>
      </c>
      <c r="G3" s="409" t="s">
        <v>513</v>
      </c>
      <c r="H3" s="410"/>
      <c r="I3" s="410"/>
      <c r="J3" s="410"/>
      <c r="K3" s="410"/>
      <c r="L3" s="410"/>
      <c r="M3" s="411"/>
      <c r="P3" s="331"/>
      <c r="Q3" s="331"/>
      <c r="R3" s="331"/>
      <c r="S3" s="331"/>
      <c r="T3" s="331"/>
    </row>
    <row r="4" spans="2:13" ht="12.75">
      <c r="B4" s="251" t="s">
        <v>211</v>
      </c>
      <c r="C4" s="251">
        <v>24</v>
      </c>
      <c r="D4" s="251">
        <v>0</v>
      </c>
      <c r="E4" s="251">
        <v>12</v>
      </c>
      <c r="G4" s="137" t="s">
        <v>514</v>
      </c>
      <c r="H4" s="20">
        <v>0</v>
      </c>
      <c r="I4" s="332">
        <f>'[7]Ship Emission Assumptions '!B43*$H$4</f>
        <v>0</v>
      </c>
      <c r="J4" s="332">
        <f>'[7]Ship Emission Assumptions '!C43*$H$4</f>
        <v>0</v>
      </c>
      <c r="K4" s="332">
        <f>'[7]Ship Emission Assumptions '!D43*$H$4</f>
        <v>0</v>
      </c>
      <c r="L4" s="332">
        <f>'[7]Ship Emission Assumptions '!E43*$H$4</f>
        <v>0</v>
      </c>
      <c r="M4" s="332">
        <f>'[7]Ship Emission Assumptions '!F43*$H$4</f>
        <v>0</v>
      </c>
    </row>
    <row r="5" spans="2:20" ht="12.75">
      <c r="B5" s="137" t="s">
        <v>515</v>
      </c>
      <c r="C5" s="137">
        <v>6</v>
      </c>
      <c r="D5" s="137">
        <v>26</v>
      </c>
      <c r="E5" s="137">
        <v>12</v>
      </c>
      <c r="G5" s="137" t="s">
        <v>516</v>
      </c>
      <c r="H5" s="20">
        <v>0</v>
      </c>
      <c r="I5" s="332">
        <f>'[7]Ship Emission Assumptions '!B44*$H$5</f>
        <v>0</v>
      </c>
      <c r="J5" s="332">
        <f>'[7]Ship Emission Assumptions '!C44*$H$5</f>
        <v>0</v>
      </c>
      <c r="K5" s="332">
        <f>'[7]Ship Emission Assumptions '!D44*$H$5</f>
        <v>0</v>
      </c>
      <c r="L5" s="332">
        <f>'[7]Ship Emission Assumptions '!E44*$H$5</f>
        <v>0</v>
      </c>
      <c r="M5" s="332">
        <f>'[7]Ship Emission Assumptions '!F44*$H$5</f>
        <v>0</v>
      </c>
      <c r="P5" s="331"/>
      <c r="Q5" s="331"/>
      <c r="R5" s="331"/>
      <c r="S5" s="331"/>
      <c r="T5" s="331"/>
    </row>
    <row r="6" spans="2:13" ht="12.75">
      <c r="B6" s="137" t="s">
        <v>517</v>
      </c>
      <c r="C6" s="137">
        <v>0</v>
      </c>
      <c r="D6" s="137">
        <v>24</v>
      </c>
      <c r="E6" s="137">
        <v>12</v>
      </c>
      <c r="G6" s="137" t="s">
        <v>518</v>
      </c>
      <c r="H6" s="20">
        <v>0</v>
      </c>
      <c r="I6" s="332">
        <f>SUM(I4:I5)</f>
        <v>0</v>
      </c>
      <c r="J6" s="332">
        <f>SUM(J4:J5)</f>
        <v>0</v>
      </c>
      <c r="K6" s="332">
        <f>SUM(K4:K5)</f>
        <v>0</v>
      </c>
      <c r="L6" s="332">
        <f>SUM(L4:L5)</f>
        <v>0</v>
      </c>
      <c r="M6" s="332">
        <f>SUM(M4:M5)</f>
        <v>0</v>
      </c>
    </row>
    <row r="7" spans="7:13" ht="12.75">
      <c r="G7" s="409" t="s">
        <v>519</v>
      </c>
      <c r="H7" s="410"/>
      <c r="I7" s="410"/>
      <c r="J7" s="410"/>
      <c r="K7" s="410"/>
      <c r="L7" s="410"/>
      <c r="M7" s="411"/>
    </row>
    <row r="8" spans="2:13" ht="12.75">
      <c r="B8" t="s">
        <v>520</v>
      </c>
      <c r="G8" s="137" t="s">
        <v>514</v>
      </c>
      <c r="H8" s="20">
        <v>13</v>
      </c>
      <c r="I8" s="332">
        <f>'[7]Ship Emission Assumptions '!B43*$H$8</f>
        <v>26079.8265</v>
      </c>
      <c r="J8" s="332">
        <f>'[7]Ship Emission Assumptions '!C43*$H$8</f>
        <v>734.643</v>
      </c>
      <c r="K8" s="332">
        <f>'[7]Ship Emission Assumptions '!D43*$H$8</f>
        <v>2244.7425000000003</v>
      </c>
      <c r="L8" s="332">
        <f>'[7]Ship Emission Assumptions '!E43*$H$8</f>
        <v>2326.3695000000002</v>
      </c>
      <c r="M8" s="332">
        <f>'[7]Ship Emission Assumptions '!F43*$H$8</f>
        <v>14815.300500000001</v>
      </c>
    </row>
    <row r="9" spans="7:13" ht="12.75">
      <c r="G9" s="137" t="s">
        <v>516</v>
      </c>
      <c r="H9" s="20">
        <v>13</v>
      </c>
      <c r="I9" s="332">
        <f>'[7]Ship Emission Assumptions '!B44*$H$9</f>
        <v>6013.696</v>
      </c>
      <c r="J9" s="332">
        <f>'[7]Ship Emission Assumptions '!C44*$H$9</f>
        <v>187.928</v>
      </c>
      <c r="K9" s="332">
        <f>'[7]Ship Emission Assumptions '!D44*$H$9</f>
        <v>657.7479999999999</v>
      </c>
      <c r="L9" s="332">
        <f>'[7]Ship Emission Assumptions '!E44*$H$9</f>
        <v>5355.947999999999</v>
      </c>
      <c r="M9" s="332">
        <f>'[7]Ship Emission Assumptions '!F44*$H$9</f>
        <v>34108.932</v>
      </c>
    </row>
    <row r="10" spans="7:13" ht="12.75">
      <c r="G10" s="137" t="s">
        <v>518</v>
      </c>
      <c r="H10" s="20">
        <f aca="true" t="shared" si="0" ref="H10:M10">SUM(H8:H9)</f>
        <v>26</v>
      </c>
      <c r="I10" s="332">
        <f t="shared" si="0"/>
        <v>32093.5225</v>
      </c>
      <c r="J10" s="332">
        <f t="shared" si="0"/>
        <v>922.571</v>
      </c>
      <c r="K10" s="332">
        <f t="shared" si="0"/>
        <v>2902.4905000000003</v>
      </c>
      <c r="L10" s="332">
        <f t="shared" si="0"/>
        <v>7682.317499999999</v>
      </c>
      <c r="M10" s="332">
        <f t="shared" si="0"/>
        <v>48924.2325</v>
      </c>
    </row>
    <row r="11" spans="7:13" ht="12.75">
      <c r="G11" s="50"/>
      <c r="H11" s="50"/>
      <c r="I11" s="50"/>
      <c r="J11" s="50"/>
      <c r="K11" s="50"/>
      <c r="L11" s="50"/>
      <c r="M11" s="50"/>
    </row>
    <row r="12" spans="1:13" ht="12.75">
      <c r="A12" s="166" t="str">
        <f>'[7]Ship Emission Assumptions '!A60</f>
        <v>Fuel Consumption per Year, gals</v>
      </c>
      <c r="G12" s="333" t="s">
        <v>521</v>
      </c>
      <c r="H12" s="334">
        <f aca="true" t="shared" si="1" ref="H12:M12">H10-H6</f>
        <v>26</v>
      </c>
      <c r="I12" s="335">
        <f t="shared" si="1"/>
        <v>32093.5225</v>
      </c>
      <c r="J12" s="335">
        <f t="shared" si="1"/>
        <v>922.571</v>
      </c>
      <c r="K12" s="335">
        <f t="shared" si="1"/>
        <v>2902.4905000000003</v>
      </c>
      <c r="L12" s="335">
        <f t="shared" si="1"/>
        <v>7682.317499999999</v>
      </c>
      <c r="M12" s="335">
        <f t="shared" si="1"/>
        <v>48924.2325</v>
      </c>
    </row>
    <row r="13" spans="1:5" s="50" customFormat="1" ht="26.25">
      <c r="A13" s="290" t="s">
        <v>522</v>
      </c>
      <c r="B13" s="20" t="str">
        <f>'[7]Ship Emission Assumptions '!B61</f>
        <v>No. Ships</v>
      </c>
      <c r="C13" s="336" t="str">
        <f>'[7]Ship Emission Assumptions '!C61</f>
        <v>Cruising &amp; Maneuvering</v>
      </c>
      <c r="D13" s="20" t="str">
        <f>'[7]Ship Emission Assumptions '!D61</f>
        <v>Tug Boats</v>
      </c>
      <c r="E13" s="20" t="str">
        <f>'[7]Ship Emission Assumptions '!E61</f>
        <v>Total</v>
      </c>
    </row>
    <row r="14" spans="1:13" ht="12.75">
      <c r="A14" s="415" t="str">
        <f>'[7]Ship Emission Assumptions '!A62</f>
        <v>Currently</v>
      </c>
      <c r="B14" s="415"/>
      <c r="C14" s="415"/>
      <c r="D14" s="415"/>
      <c r="E14" s="415"/>
      <c r="G14" s="329" t="s">
        <v>523</v>
      </c>
      <c r="H14" s="329"/>
      <c r="I14" s="329"/>
      <c r="J14" s="329"/>
      <c r="K14" s="329"/>
      <c r="L14" s="329"/>
      <c r="M14" s="329"/>
    </row>
    <row r="15" spans="1:13" ht="12.75">
      <c r="A15" s="137" t="str">
        <f>'[7]Ship Emission Assumptions '!A63</f>
        <v>Motor</v>
      </c>
      <c r="B15" s="137">
        <v>0</v>
      </c>
      <c r="C15" s="137">
        <f>'[7]Ship Emission Assumptions '!C63</f>
        <v>0</v>
      </c>
      <c r="D15" s="137">
        <f>'[7]Ship Emission Assumptions '!D63</f>
        <v>0</v>
      </c>
      <c r="E15" s="137">
        <f>'[7]Ship Emission Assumptions '!E63</f>
        <v>0</v>
      </c>
      <c r="G15" s="50"/>
      <c r="H15" s="137" t="s">
        <v>507</v>
      </c>
      <c r="I15" s="268" t="s">
        <v>10</v>
      </c>
      <c r="J15" s="268" t="s">
        <v>508</v>
      </c>
      <c r="K15" s="268" t="s">
        <v>8</v>
      </c>
      <c r="L15" s="268" t="s">
        <v>409</v>
      </c>
      <c r="M15" s="268" t="s">
        <v>11</v>
      </c>
    </row>
    <row r="16" spans="1:13" ht="12.75">
      <c r="A16" s="137" t="str">
        <f>'[7]Ship Emission Assumptions '!A64</f>
        <v>Steam</v>
      </c>
      <c r="B16" s="137">
        <v>0</v>
      </c>
      <c r="C16" s="137">
        <f>'[7]Ship Emission Assumptions '!C64</f>
        <v>0</v>
      </c>
      <c r="D16" s="137">
        <f>'[7]Ship Emission Assumptions '!D64</f>
        <v>0</v>
      </c>
      <c r="E16" s="137">
        <f>'[7]Ship Emission Assumptions '!E64</f>
        <v>0</v>
      </c>
      <c r="G16" s="409" t="s">
        <v>513</v>
      </c>
      <c r="H16" s="410"/>
      <c r="I16" s="410"/>
      <c r="J16" s="410"/>
      <c r="K16" s="410"/>
      <c r="L16" s="410"/>
      <c r="M16" s="411"/>
    </row>
    <row r="17" spans="1:13" ht="12.75">
      <c r="A17" s="137" t="str">
        <f>'[7]Ship Emission Assumptions '!A65</f>
        <v>Total </v>
      </c>
      <c r="B17" s="137">
        <v>0</v>
      </c>
      <c r="C17" s="137">
        <f>'[7]Ship Emission Assumptions '!C65</f>
        <v>0</v>
      </c>
      <c r="D17" s="137">
        <f>'[7]Ship Emission Assumptions '!D65</f>
        <v>0</v>
      </c>
      <c r="E17" s="137">
        <f>'[7]Ship Emission Assumptions '!E65</f>
        <v>0</v>
      </c>
      <c r="G17" s="137" t="s">
        <v>514</v>
      </c>
      <c r="H17" s="20">
        <v>0</v>
      </c>
      <c r="I17" s="332">
        <f>'[7]Ship Emission Assumptions '!D11*'[7]Ship Emission Assumptions '!$F$31/1000*$H$17</f>
        <v>0</v>
      </c>
      <c r="J17" s="332">
        <f>'[7]Ship Emission Assumptions '!E11*'[7]Ship Emission Assumptions '!$F$31/1000*$H$17</f>
        <v>0</v>
      </c>
      <c r="K17" s="332">
        <f>'[7]Ship Emission Assumptions '!F11*'[7]Ship Emission Assumptions '!$F$31/1000*$H$17</f>
        <v>0</v>
      </c>
      <c r="L17" s="332">
        <f>'[7]Ship Emission Assumptions '!G11*'[7]Ship Emission Assumptions '!$F$31/1000*$H$17</f>
        <v>0</v>
      </c>
      <c r="M17" s="332">
        <f>'[7]Ship Emission Assumptions '!H11*'[7]Ship Emission Assumptions '!$F$31/1000*$H$17</f>
        <v>0</v>
      </c>
    </row>
    <row r="18" spans="1:13" ht="12.75">
      <c r="A18" s="415" t="str">
        <f>'[7]Ship Emission Assumptions '!A66</f>
        <v>Proposed</v>
      </c>
      <c r="B18" s="415"/>
      <c r="C18" s="415"/>
      <c r="D18" s="415"/>
      <c r="E18" s="415"/>
      <c r="G18" s="137" t="s">
        <v>516</v>
      </c>
      <c r="H18" s="20">
        <v>0</v>
      </c>
      <c r="I18" s="332">
        <f>'[7]Ship Emission Assumptions '!D12*'[7]Ship Emission Assumptions '!$F$32/1000*$H$18</f>
        <v>0</v>
      </c>
      <c r="J18" s="332">
        <f>'[7]Ship Emission Assumptions '!E12*'[7]Ship Emission Assumptions '!$F$32/1000*$H$18</f>
        <v>0</v>
      </c>
      <c r="K18" s="332">
        <f>'[7]Ship Emission Assumptions '!F12*'[7]Ship Emission Assumptions '!$F$32/1000*$H$18</f>
        <v>0</v>
      </c>
      <c r="L18" s="332">
        <f>'[7]Ship Emission Assumptions '!G12*'[7]Ship Emission Assumptions '!$F$32/1000*$H$18</f>
        <v>0</v>
      </c>
      <c r="M18" s="332">
        <f>'[7]Ship Emission Assumptions '!H12*'[7]Ship Emission Assumptions '!$F$32/1000*$H$18</f>
        <v>0</v>
      </c>
    </row>
    <row r="19" spans="1:13" ht="12.75">
      <c r="A19" s="137" t="str">
        <f>'[7]Ship Emission Assumptions '!A67</f>
        <v>Motor</v>
      </c>
      <c r="B19" s="137">
        <v>13</v>
      </c>
      <c r="C19" s="137">
        <f>'[7]Ship Emission Assumptions '!C67</f>
        <v>41055</v>
      </c>
      <c r="D19" s="137">
        <f>'[7]Ship Emission Assumptions '!D67</f>
        <v>900</v>
      </c>
      <c r="E19" s="137">
        <f>'[7]Ship Emission Assumptions '!E67</f>
        <v>41955</v>
      </c>
      <c r="G19" s="137" t="s">
        <v>87</v>
      </c>
      <c r="H19" s="20">
        <v>0</v>
      </c>
      <c r="I19" s="332">
        <f>SUM(I17:I18)</f>
        <v>0</v>
      </c>
      <c r="J19" s="332">
        <f>SUM(J17:J18)</f>
        <v>0</v>
      </c>
      <c r="K19" s="332">
        <f>SUM(K17:K18)</f>
        <v>0</v>
      </c>
      <c r="L19" s="332">
        <f>SUM(L17:L18)</f>
        <v>0</v>
      </c>
      <c r="M19" s="332">
        <f>SUM(M17:M18)</f>
        <v>0</v>
      </c>
    </row>
    <row r="20" spans="1:13" ht="12.75">
      <c r="A20" s="137" t="str">
        <f>'[7]Ship Emission Assumptions '!A68</f>
        <v>Steam</v>
      </c>
      <c r="B20" s="137">
        <v>13</v>
      </c>
      <c r="C20" s="137">
        <f>'[7]Ship Emission Assumptions '!C68</f>
        <v>94520</v>
      </c>
      <c r="D20" s="137">
        <f>'[7]Ship Emission Assumptions '!D68</f>
        <v>900</v>
      </c>
      <c r="E20" s="137">
        <f>'[7]Ship Emission Assumptions '!E68</f>
        <v>95420</v>
      </c>
      <c r="G20" s="409" t="s">
        <v>519</v>
      </c>
      <c r="H20" s="410"/>
      <c r="I20" s="410"/>
      <c r="J20" s="410"/>
      <c r="K20" s="410"/>
      <c r="L20" s="410"/>
      <c r="M20" s="411"/>
    </row>
    <row r="21" spans="1:13" ht="12.75">
      <c r="A21" s="137" t="str">
        <f>'[7]Ship Emission Assumptions '!A69</f>
        <v>Total </v>
      </c>
      <c r="B21" s="137">
        <v>26</v>
      </c>
      <c r="C21" s="137">
        <f>'[7]Ship Emission Assumptions '!C69</f>
        <v>135575</v>
      </c>
      <c r="D21" s="137">
        <f>'[7]Ship Emission Assumptions '!D69</f>
        <v>1800</v>
      </c>
      <c r="E21" s="137">
        <f>'[7]Ship Emission Assumptions '!E69</f>
        <v>137375</v>
      </c>
      <c r="G21" s="137" t="s">
        <v>514</v>
      </c>
      <c r="H21" s="20">
        <v>13</v>
      </c>
      <c r="I21" s="291">
        <f>'[7]Ship Emission Assumptions '!D11*'[7]Ship Emission Assumptions '!$F$31/1000*$H$21</f>
        <v>8024.562</v>
      </c>
      <c r="J21" s="291">
        <f>'[7]Ship Emission Assumptions '!E11*'[7]Ship Emission Assumptions '!$F$31/1000*$H$21</f>
        <v>238.60199999999998</v>
      </c>
      <c r="K21" s="291">
        <f>'[7]Ship Emission Assumptions '!F11*'[7]Ship Emission Assumptions '!$F$31/1000*$H$21</f>
        <v>728.364</v>
      </c>
      <c r="L21" s="291">
        <f>'[7]Ship Emission Assumptions '!G11*'[7]Ship Emission Assumptions '!$F$31/1000*$H$21</f>
        <v>715.8059999999999</v>
      </c>
      <c r="M21" s="291">
        <f>'[7]Ship Emission Assumptions '!H11*'[7]Ship Emission Assumptions '!$F$31/1000*$H$21</f>
        <v>4558.554</v>
      </c>
    </row>
    <row r="22" spans="7:13" ht="12.75">
      <c r="G22" s="137" t="s">
        <v>516</v>
      </c>
      <c r="H22" s="20">
        <v>13</v>
      </c>
      <c r="I22" s="291">
        <f>'[7]Ship Emission Assumptions '!D12*'[7]Ship Emission Assumptions '!$F$32/1000*$H$22</f>
        <v>1619.072</v>
      </c>
      <c r="J22" s="291">
        <f>'[7]Ship Emission Assumptions '!E12*'[7]Ship Emission Assumptions '!$F$32/1000*$H$22</f>
        <v>20.2384</v>
      </c>
      <c r="K22" s="291">
        <f>'[7]Ship Emission Assumptions '!F12*'[7]Ship Emission Assumptions '!$F$32/1000*$H$22</f>
        <v>101.192</v>
      </c>
      <c r="L22" s="291">
        <f>'[7]Ship Emission Assumptions '!G12*'[7]Ship Emission Assumptions '!$F$32/1000*$H$22</f>
        <v>578.24</v>
      </c>
      <c r="M22" s="291">
        <f>'[7]Ship Emission Assumptions '!H12*'[7]Ship Emission Assumptions '!$F$32/1000*$H$22</f>
        <v>10495.056</v>
      </c>
    </row>
    <row r="23" spans="1:13" ht="12.75">
      <c r="A23" s="337" t="s">
        <v>524</v>
      </c>
      <c r="B23" s="337">
        <v>26</v>
      </c>
      <c r="C23" s="337">
        <f>'[7]Ship Emission Assumptions '!C71</f>
        <v>135575</v>
      </c>
      <c r="D23" s="337">
        <f>'[7]Ship Emission Assumptions '!D71</f>
        <v>1800</v>
      </c>
      <c r="E23" s="337">
        <f>'[7]Ship Emission Assumptions '!E71</f>
        <v>137375</v>
      </c>
      <c r="G23" s="137" t="s">
        <v>87</v>
      </c>
      <c r="H23" s="20">
        <f>H21+H22</f>
        <v>26</v>
      </c>
      <c r="I23" s="291">
        <f>SUM(I21:I22)</f>
        <v>9643.634</v>
      </c>
      <c r="J23" s="291">
        <f>SUM(J21:J22)</f>
        <v>258.8404</v>
      </c>
      <c r="K23" s="291">
        <f>SUM(K21:K22)</f>
        <v>829.556</v>
      </c>
      <c r="L23" s="291">
        <f>SUM(L21:L22)</f>
        <v>1294.0459999999998</v>
      </c>
      <c r="M23" s="291">
        <f>SUM(M21:M22)</f>
        <v>15053.61</v>
      </c>
    </row>
    <row r="24" spans="7:13" ht="12.75">
      <c r="G24" s="50"/>
      <c r="H24" s="50"/>
      <c r="I24" s="50"/>
      <c r="J24" s="50"/>
      <c r="K24" s="50"/>
      <c r="L24" s="50"/>
      <c r="M24" s="50"/>
    </row>
    <row r="25" spans="7:13" ht="12.75">
      <c r="G25" s="333" t="s">
        <v>521</v>
      </c>
      <c r="H25" s="334">
        <f aca="true" t="shared" si="2" ref="H25:M25">H23-H19</f>
        <v>26</v>
      </c>
      <c r="I25" s="338">
        <f t="shared" si="2"/>
        <v>9643.634</v>
      </c>
      <c r="J25" s="338">
        <f t="shared" si="2"/>
        <v>258.8404</v>
      </c>
      <c r="K25" s="338">
        <f t="shared" si="2"/>
        <v>829.556</v>
      </c>
      <c r="L25" s="338">
        <f t="shared" si="2"/>
        <v>1294.0459999999998</v>
      </c>
      <c r="M25" s="338">
        <f t="shared" si="2"/>
        <v>15053.61</v>
      </c>
    </row>
    <row r="26" spans="4:13" ht="12.75"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4:13" ht="12.75">
      <c r="D27" s="414" t="s">
        <v>525</v>
      </c>
      <c r="E27" s="414"/>
      <c r="F27" s="414"/>
      <c r="G27" s="414"/>
      <c r="H27" s="414"/>
      <c r="I27" s="414"/>
      <c r="J27" s="414"/>
      <c r="K27" s="414"/>
      <c r="L27" s="414"/>
      <c r="M27" s="414"/>
    </row>
    <row r="28" spans="4:13" ht="26.25">
      <c r="D28" s="290" t="s">
        <v>522</v>
      </c>
      <c r="E28" s="290" t="s">
        <v>526</v>
      </c>
      <c r="F28" s="290" t="s">
        <v>527</v>
      </c>
      <c r="G28" s="290" t="s">
        <v>507</v>
      </c>
      <c r="H28" s="290" t="s">
        <v>528</v>
      </c>
      <c r="I28" s="336" t="s">
        <v>10</v>
      </c>
      <c r="J28" s="336" t="s">
        <v>508</v>
      </c>
      <c r="K28" s="336" t="s">
        <v>8</v>
      </c>
      <c r="L28" s="336" t="s">
        <v>409</v>
      </c>
      <c r="M28" s="336" t="s">
        <v>11</v>
      </c>
    </row>
    <row r="29" spans="4:13" ht="12.75">
      <c r="D29" s="412" t="s">
        <v>519</v>
      </c>
      <c r="E29" s="413"/>
      <c r="F29" s="413"/>
      <c r="G29" s="413"/>
      <c r="H29" s="410"/>
      <c r="I29" s="410"/>
      <c r="J29" s="410"/>
      <c r="K29" s="410"/>
      <c r="L29" s="410"/>
      <c r="M29" s="411"/>
    </row>
    <row r="30" spans="4:13" ht="12.75">
      <c r="D30" s="268" t="s">
        <v>514</v>
      </c>
      <c r="E30" s="339" t="s">
        <v>517</v>
      </c>
      <c r="F30" s="20">
        <v>12</v>
      </c>
      <c r="G30" s="20">
        <v>13</v>
      </c>
      <c r="H30" s="20">
        <f>F30*G30</f>
        <v>156</v>
      </c>
      <c r="I30" s="332">
        <f>('[7]Ship Emission Assumptions '!D18+'[7]Ship Emission Assumptions '!D19)*$H$30</f>
        <v>2714.3999999999996</v>
      </c>
      <c r="J30" s="332">
        <f>('[7]Ship Emission Assumptions '!E18+'[7]Ship Emission Assumptions '!E19)*$H$30</f>
        <v>452.4</v>
      </c>
      <c r="K30" s="332">
        <f>('[7]Ship Emission Assumptions '!F18+'[7]Ship Emission Assumptions '!F19)*$H$30</f>
        <v>421.20000000000005</v>
      </c>
      <c r="L30" s="332">
        <f>('[7]Ship Emission Assumptions '!G18+'[7]Ship Emission Assumptions '!G19)*$H$30</f>
        <v>140.39999999999998</v>
      </c>
      <c r="M30" s="332">
        <f>('[7]Ship Emission Assumptions '!H18+'[7]Ship Emission Assumptions '!H19)*$H$30</f>
        <v>2308.8</v>
      </c>
    </row>
    <row r="31" spans="4:13" ht="12.75">
      <c r="D31" s="34" t="s">
        <v>516</v>
      </c>
      <c r="E31" s="339" t="s">
        <v>517</v>
      </c>
      <c r="F31" s="20">
        <v>12</v>
      </c>
      <c r="G31" s="20">
        <v>13</v>
      </c>
      <c r="H31" s="20">
        <f>F31*G31</f>
        <v>156</v>
      </c>
      <c r="I31" s="332">
        <f>'[7]Ship Emission Assumptions '!D20*$H$31</f>
        <v>3057.6000000000004</v>
      </c>
      <c r="J31" s="332">
        <f>'[7]Ship Emission Assumptions '!E20*$H$31</f>
        <v>124.80000000000001</v>
      </c>
      <c r="K31" s="332">
        <f>'[7]Ship Emission Assumptions '!F20*$H$31</f>
        <v>156</v>
      </c>
      <c r="L31" s="332">
        <f>'[7]Ship Emission Assumptions '!G20*$H$31</f>
        <v>421.20000000000005</v>
      </c>
      <c r="M31" s="332">
        <f>'[7]Ship Emission Assumptions '!H20*$H$31</f>
        <v>3260.3999999999996</v>
      </c>
    </row>
    <row r="32" spans="4:13" ht="12.75">
      <c r="D32" s="137" t="s">
        <v>87</v>
      </c>
      <c r="E32" s="137"/>
      <c r="F32" s="20"/>
      <c r="G32" s="20"/>
      <c r="H32" s="20">
        <f aca="true" t="shared" si="3" ref="H32:M32">SUM(H30:H31)</f>
        <v>312</v>
      </c>
      <c r="I32" s="332">
        <f t="shared" si="3"/>
        <v>5772</v>
      </c>
      <c r="J32" s="332">
        <f t="shared" si="3"/>
        <v>577.2</v>
      </c>
      <c r="K32" s="332">
        <f t="shared" si="3"/>
        <v>577.2</v>
      </c>
      <c r="L32" s="332">
        <f t="shared" si="3"/>
        <v>561.6</v>
      </c>
      <c r="M32" s="332">
        <f t="shared" si="3"/>
        <v>5569.2</v>
      </c>
    </row>
    <row r="33" spans="4:13" ht="12.75">
      <c r="D33" s="50"/>
      <c r="E33" s="50"/>
      <c r="F33" s="50"/>
      <c r="G33" s="50"/>
      <c r="H33" s="50"/>
      <c r="I33" s="253"/>
      <c r="J33" s="253"/>
      <c r="K33" s="253"/>
      <c r="L33" s="253"/>
      <c r="M33" s="253"/>
    </row>
    <row r="34" spans="4:13" ht="12.75">
      <c r="D34" s="50" t="s">
        <v>521</v>
      </c>
      <c r="E34" s="50"/>
      <c r="F34" s="50"/>
      <c r="G34" s="50"/>
      <c r="H34" s="99">
        <f aca="true" t="shared" si="4" ref="H34:M34">H32</f>
        <v>312</v>
      </c>
      <c r="I34" s="340">
        <f t="shared" si="4"/>
        <v>5772</v>
      </c>
      <c r="J34" s="340">
        <f t="shared" si="4"/>
        <v>577.2</v>
      </c>
      <c r="K34" s="340">
        <f t="shared" si="4"/>
        <v>577.2</v>
      </c>
      <c r="L34" s="340">
        <f t="shared" si="4"/>
        <v>561.6</v>
      </c>
      <c r="M34" s="340">
        <f t="shared" si="4"/>
        <v>5569.2</v>
      </c>
    </row>
    <row r="35" spans="2:13" ht="12.75">
      <c r="B35" s="161" t="s">
        <v>529</v>
      </c>
      <c r="C35" s="50"/>
      <c r="D35" s="50"/>
      <c r="E35" s="50"/>
      <c r="F35" s="99"/>
      <c r="G35" s="340"/>
      <c r="H35" s="340"/>
      <c r="I35" s="340"/>
      <c r="J35" s="340"/>
      <c r="K35" s="340"/>
      <c r="L35" s="340"/>
      <c r="M35" s="340"/>
    </row>
    <row r="36" spans="2:11" ht="26.25">
      <c r="B36" s="341"/>
      <c r="C36" s="339" t="s">
        <v>530</v>
      </c>
      <c r="D36" s="336" t="s">
        <v>531</v>
      </c>
      <c r="E36" s="336" t="s">
        <v>532</v>
      </c>
      <c r="F36" s="336" t="s">
        <v>533</v>
      </c>
      <c r="G36" s="336" t="s">
        <v>10</v>
      </c>
      <c r="H36" s="336" t="s">
        <v>508</v>
      </c>
      <c r="I36" s="336" t="s">
        <v>8</v>
      </c>
      <c r="J36" s="336" t="s">
        <v>409</v>
      </c>
      <c r="K36" s="336" t="s">
        <v>11</v>
      </c>
    </row>
    <row r="37" spans="2:11" ht="12.75">
      <c r="B37" s="409" t="s">
        <v>534</v>
      </c>
      <c r="C37" s="410"/>
      <c r="D37" s="410"/>
      <c r="E37" s="410"/>
      <c r="F37" s="410"/>
      <c r="G37" s="410"/>
      <c r="H37" s="410"/>
      <c r="I37" s="410"/>
      <c r="J37" s="410"/>
      <c r="K37" s="411"/>
    </row>
    <row r="38" spans="2:11" ht="12.75">
      <c r="B38" s="137" t="s">
        <v>535</v>
      </c>
      <c r="C38" s="20" t="s">
        <v>5</v>
      </c>
      <c r="D38" s="20">
        <v>2</v>
      </c>
      <c r="E38" s="20">
        <v>1</v>
      </c>
      <c r="F38" s="20">
        <f>+C42*D38</f>
        <v>52</v>
      </c>
      <c r="G38" s="332">
        <v>817</v>
      </c>
      <c r="H38" s="332">
        <v>37</v>
      </c>
      <c r="I38" s="332">
        <v>111</v>
      </c>
      <c r="J38" s="332">
        <v>18</v>
      </c>
      <c r="K38" s="332">
        <v>146</v>
      </c>
    </row>
    <row r="39" spans="2:11" ht="12.75">
      <c r="B39" s="137" t="s">
        <v>536</v>
      </c>
      <c r="C39" s="137"/>
      <c r="D39" s="137"/>
      <c r="E39" s="137"/>
      <c r="F39" s="20"/>
      <c r="G39" s="332">
        <f>ROUND(G38/$F38,2)</f>
        <v>15.71</v>
      </c>
      <c r="H39" s="332">
        <f>ROUND(H38/$F38,2)</f>
        <v>0.71</v>
      </c>
      <c r="I39" s="332">
        <f>ROUND(I38/$F38,2)</f>
        <v>2.13</v>
      </c>
      <c r="J39" s="332">
        <f>ROUND(J38/$F38,2)</f>
        <v>0.35</v>
      </c>
      <c r="K39" s="332">
        <f>ROUND(K38/$F38,2)</f>
        <v>2.81</v>
      </c>
    </row>
    <row r="40" spans="2:11" ht="12.75">
      <c r="B40" s="409" t="s">
        <v>537</v>
      </c>
      <c r="C40" s="410"/>
      <c r="D40" s="410"/>
      <c r="E40" s="410"/>
      <c r="F40" s="410"/>
      <c r="G40" s="410"/>
      <c r="H40" s="410"/>
      <c r="I40" s="410"/>
      <c r="J40" s="410"/>
      <c r="K40" s="411"/>
    </row>
    <row r="41" spans="2:11" ht="12.75">
      <c r="B41" s="409" t="s">
        <v>538</v>
      </c>
      <c r="C41" s="410"/>
      <c r="D41" s="410"/>
      <c r="E41" s="410"/>
      <c r="F41" s="410"/>
      <c r="G41" s="410"/>
      <c r="H41" s="410"/>
      <c r="I41" s="410"/>
      <c r="J41" s="410"/>
      <c r="K41" s="411"/>
    </row>
    <row r="42" spans="2:11" ht="12.75">
      <c r="B42" s="137" t="s">
        <v>535</v>
      </c>
      <c r="C42" s="20">
        <v>26</v>
      </c>
      <c r="D42" s="20">
        <v>2</v>
      </c>
      <c r="E42" s="20">
        <v>2</v>
      </c>
      <c r="F42" s="20">
        <f>C42*D42</f>
        <v>52</v>
      </c>
      <c r="G42" s="332">
        <f>G$39*$E42*$F42</f>
        <v>1633.8400000000001</v>
      </c>
      <c r="H42" s="332">
        <f>H$39*$E42*$F42</f>
        <v>73.84</v>
      </c>
      <c r="I42" s="332">
        <f>I$39*$E42*$F42</f>
        <v>221.51999999999998</v>
      </c>
      <c r="J42" s="332">
        <f>J$39*$E42*$F42</f>
        <v>36.4</v>
      </c>
      <c r="K42" s="332">
        <f>K$39*$E42*$F42</f>
        <v>292.24</v>
      </c>
    </row>
    <row r="43" spans="2:11" ht="12.75">
      <c r="B43" s="50"/>
      <c r="C43" s="50"/>
      <c r="D43" s="50"/>
      <c r="E43" s="50"/>
      <c r="F43" s="99"/>
      <c r="G43" s="340"/>
      <c r="H43" s="340"/>
      <c r="I43" s="340"/>
      <c r="J43" s="340"/>
      <c r="K43" s="340"/>
    </row>
    <row r="44" spans="2:11" ht="12.75">
      <c r="B44" s="112" t="s">
        <v>539</v>
      </c>
      <c r="C44" s="112"/>
      <c r="D44" s="112"/>
      <c r="E44" s="112"/>
      <c r="F44" s="342"/>
      <c r="G44" s="343">
        <f>G42</f>
        <v>1633.8400000000001</v>
      </c>
      <c r="H44" s="343">
        <f>H42</f>
        <v>73.84</v>
      </c>
      <c r="I44" s="343">
        <f>I42</f>
        <v>221.51999999999998</v>
      </c>
      <c r="J44" s="343">
        <f>J42</f>
        <v>36.4</v>
      </c>
      <c r="K44" s="343">
        <f>K42</f>
        <v>292.24</v>
      </c>
    </row>
    <row r="45" spans="2:11" ht="12.75">
      <c r="B45" s="112"/>
      <c r="C45" s="112"/>
      <c r="D45" s="112"/>
      <c r="E45" s="112"/>
      <c r="F45" s="342"/>
      <c r="G45" s="343"/>
      <c r="H45" s="343"/>
      <c r="I45" s="343"/>
      <c r="J45" s="343"/>
      <c r="K45" s="343"/>
    </row>
    <row r="46" spans="1:11" ht="12.75">
      <c r="A46" s="166" t="s">
        <v>562</v>
      </c>
      <c r="B46" s="50"/>
      <c r="C46" s="50"/>
      <c r="D46" s="50"/>
      <c r="E46" s="50"/>
      <c r="F46" s="99"/>
      <c r="G46" s="340"/>
      <c r="H46" s="340"/>
      <c r="I46" s="340"/>
      <c r="J46" s="340"/>
      <c r="K46" s="340"/>
    </row>
    <row r="47" spans="2:11" ht="12.75">
      <c r="B47" s="161" t="s">
        <v>540</v>
      </c>
      <c r="C47" s="50"/>
      <c r="D47" s="50"/>
      <c r="E47" s="50"/>
      <c r="F47" s="99"/>
      <c r="G47" s="344">
        <f>I34+I25+I12+G44</f>
        <v>49142.996499999994</v>
      </c>
      <c r="H47" s="344">
        <f>J34+J25+J12+H44</f>
        <v>1832.4514000000001</v>
      </c>
      <c r="I47" s="344">
        <f>K34+K25+K12+I44</f>
        <v>4530.7665</v>
      </c>
      <c r="J47" s="344">
        <f>L34+L25+L12+J44</f>
        <v>9574.363499999998</v>
      </c>
      <c r="K47" s="344">
        <f>M34+M25+M12+K44</f>
        <v>69839.2825</v>
      </c>
    </row>
    <row r="48" spans="2:11" ht="12.75">
      <c r="B48" s="161" t="s">
        <v>541</v>
      </c>
      <c r="C48" s="50"/>
      <c r="D48" s="50"/>
      <c r="E48" s="50"/>
      <c r="F48" s="99"/>
      <c r="G48" s="344">
        <f>G47/H25</f>
        <v>1890.1152499999998</v>
      </c>
      <c r="H48" s="344">
        <f>H47/H25</f>
        <v>70.47890000000001</v>
      </c>
      <c r="I48" s="344">
        <f>I47/H25</f>
        <v>174.26024999999998</v>
      </c>
      <c r="J48" s="344">
        <f>J47/H25</f>
        <v>368.2447499999999</v>
      </c>
      <c r="K48" s="344">
        <f>K47/H25</f>
        <v>2686.1262500000003</v>
      </c>
    </row>
    <row r="49" spans="2:11" ht="12.75">
      <c r="B49" s="161"/>
      <c r="C49" s="50"/>
      <c r="D49" s="50"/>
      <c r="E49" s="50"/>
      <c r="F49" s="99"/>
      <c r="G49" s="344"/>
      <c r="H49" s="344"/>
      <c r="I49" s="344"/>
      <c r="J49" s="344"/>
      <c r="K49" s="344"/>
    </row>
    <row r="50" spans="1:11" ht="12.75">
      <c r="A50" s="166" t="s">
        <v>563</v>
      </c>
      <c r="B50" s="161"/>
      <c r="C50" s="50"/>
      <c r="D50" s="50"/>
      <c r="E50" s="50"/>
      <c r="F50" s="99"/>
      <c r="G50" s="344"/>
      <c r="H50" s="344"/>
      <c r="I50" s="344"/>
      <c r="J50" s="344"/>
      <c r="K50" s="344"/>
    </row>
    <row r="51" spans="2:11" ht="12.75">
      <c r="B51" s="161" t="s">
        <v>540</v>
      </c>
      <c r="C51" s="50"/>
      <c r="D51" s="50"/>
      <c r="E51" s="50"/>
      <c r="F51" s="99"/>
      <c r="G51" s="344">
        <v>11389.8915</v>
      </c>
      <c r="H51" s="344">
        <v>425.0334</v>
      </c>
      <c r="I51" s="344">
        <v>1052.2815</v>
      </c>
      <c r="J51" s="344">
        <v>2210.4285</v>
      </c>
      <c r="K51" s="344">
        <v>16125.397500000001</v>
      </c>
    </row>
    <row r="52" spans="2:11" ht="12.75">
      <c r="B52" s="161" t="s">
        <v>541</v>
      </c>
      <c r="C52" s="50"/>
      <c r="D52" s="50"/>
      <c r="E52" s="50"/>
      <c r="F52" s="99"/>
      <c r="G52" s="344">
        <v>1898.3152499999999</v>
      </c>
      <c r="H52" s="344">
        <v>70.8389</v>
      </c>
      <c r="I52" s="344">
        <v>175.38025000000002</v>
      </c>
      <c r="J52" s="344">
        <v>368.40475</v>
      </c>
      <c r="K52" s="344">
        <v>2687.5662500000003</v>
      </c>
    </row>
    <row r="53" spans="2:11" ht="12.75">
      <c r="B53" s="161"/>
      <c r="C53" s="50"/>
      <c r="D53" s="50"/>
      <c r="E53" s="50"/>
      <c r="F53" s="99"/>
      <c r="G53" s="344"/>
      <c r="H53" s="344"/>
      <c r="I53" s="344"/>
      <c r="J53" s="344"/>
      <c r="K53" s="344"/>
    </row>
    <row r="54" spans="1:11" ht="12.75">
      <c r="A54" s="166" t="s">
        <v>564</v>
      </c>
      <c r="B54" s="161"/>
      <c r="C54" s="50"/>
      <c r="D54" s="50"/>
      <c r="E54" s="50"/>
      <c r="F54" s="99"/>
      <c r="G54" s="344">
        <f>+G47-G51</f>
        <v>37753.104999999996</v>
      </c>
      <c r="H54" s="344">
        <f>+H47-H51</f>
        <v>1407.4180000000001</v>
      </c>
      <c r="I54" s="344">
        <f>+I47-I51</f>
        <v>3478.4849999999997</v>
      </c>
      <c r="J54" s="344">
        <f>+J47-J51</f>
        <v>7363.934999999998</v>
      </c>
      <c r="K54" s="344">
        <f>+K47-K51</f>
        <v>53713.885</v>
      </c>
    </row>
    <row r="56" spans="1:11" ht="12.75">
      <c r="A56" s="48" t="s">
        <v>565</v>
      </c>
      <c r="K56" s="88">
        <f ca="1">TODAY()</f>
        <v>41879</v>
      </c>
    </row>
  </sheetData>
  <sheetProtection/>
  <mergeCells count="11">
    <mergeCell ref="G3:M3"/>
    <mergeCell ref="G7:M7"/>
    <mergeCell ref="G16:M16"/>
    <mergeCell ref="G20:M20"/>
    <mergeCell ref="A14:E14"/>
    <mergeCell ref="A18:E18"/>
    <mergeCell ref="B37:K37"/>
    <mergeCell ref="B41:K41"/>
    <mergeCell ref="D29:M29"/>
    <mergeCell ref="D27:M27"/>
    <mergeCell ref="B40:K40"/>
  </mergeCells>
  <printOptions horizontalCentered="1"/>
  <pageMargins left="0.75" right="0.25" top="1" bottom="0.5" header="0.5" footer="0"/>
  <pageSetup firstPageNumber="19" useFirstPageNumber="1" fitToHeight="2" horizontalDpi="600" verticalDpi="600" orientation="landscape" scale="84" r:id="rId1"/>
  <headerFooter alignWithMargins="0">
    <oddHeader xml:space="preserve">&amp;C&amp;"Arial,Bold"&amp;12Alternative 1
Marine Vessel Emission Estimates </oddHeader>
  </headerFooter>
  <rowBreaks count="1" manualBreakCount="1">
    <brk id="34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C1">
      <selection activeCell="O16" sqref="O16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18</v>
      </c>
      <c r="B6" s="20">
        <v>1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 aca="true" t="shared" si="0" ref="I6:I12">B6*C6*D6</f>
        <v>1.5628799999999998</v>
      </c>
      <c r="J6" s="24">
        <f aca="true" t="shared" si="1" ref="J6:J12">B6*C6*E6</f>
        <v>0.28415999999999997</v>
      </c>
      <c r="K6" s="24">
        <f aca="true" t="shared" si="2" ref="K6:K12">B6*C6*F6</f>
        <v>2.5574399999999997</v>
      </c>
      <c r="L6" s="24">
        <f aca="true" t="shared" si="3" ref="L6:L12">B6*C6*G6</f>
        <v>0.28415999999999997</v>
      </c>
      <c r="M6" s="25">
        <f aca="true" t="shared" si="4" ref="M6:M12">B6*C6*H6</f>
        <v>0.14207999999999998</v>
      </c>
    </row>
    <row r="7" spans="1:13" ht="15">
      <c r="A7" s="26" t="s">
        <v>19</v>
      </c>
      <c r="B7" s="21">
        <v>3</v>
      </c>
      <c r="C7" s="21">
        <v>8</v>
      </c>
      <c r="D7" s="24">
        <f>0.015*79*0.465</f>
        <v>0.5510250000000001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 t="shared" si="0"/>
        <v>13.224600000000002</v>
      </c>
      <c r="J7" s="24">
        <f t="shared" si="1"/>
        <v>3.9841200000000003</v>
      </c>
      <c r="K7" s="24">
        <f t="shared" si="2"/>
        <v>29.216880000000003</v>
      </c>
      <c r="L7" s="24">
        <f t="shared" si="3"/>
        <v>2.65608</v>
      </c>
      <c r="M7" s="25">
        <f t="shared" si="4"/>
        <v>1.32804</v>
      </c>
    </row>
    <row r="8" spans="1:13" ht="15">
      <c r="A8" s="19" t="s">
        <v>20</v>
      </c>
      <c r="B8" s="20">
        <v>5</v>
      </c>
      <c r="C8" s="21">
        <v>8</v>
      </c>
      <c r="D8" s="22">
        <f>0.009*194*0.43</f>
        <v>0.7507799999999999</v>
      </c>
      <c r="E8" s="22">
        <f>0.003*194*0.43</f>
        <v>0.25026</v>
      </c>
      <c r="F8" s="22">
        <f>0.023*194*0.43</f>
        <v>1.9186599999999998</v>
      </c>
      <c r="G8" s="22">
        <f>0.002*194*0.43</f>
        <v>0.16684000000000002</v>
      </c>
      <c r="H8" s="27">
        <f>0.0015*194*0.43</f>
        <v>0.12513</v>
      </c>
      <c r="I8" s="23">
        <f t="shared" si="0"/>
        <v>30.031199999999995</v>
      </c>
      <c r="J8" s="24">
        <f t="shared" si="1"/>
        <v>10.010399999999999</v>
      </c>
      <c r="K8" s="24">
        <f t="shared" si="2"/>
        <v>76.7464</v>
      </c>
      <c r="L8" s="24">
        <f t="shared" si="3"/>
        <v>6.6736</v>
      </c>
      <c r="M8" s="25">
        <f t="shared" si="4"/>
        <v>5.005199999999999</v>
      </c>
    </row>
    <row r="9" spans="1:13" ht="15">
      <c r="A9" s="19" t="s">
        <v>21</v>
      </c>
      <c r="B9" s="20">
        <v>0</v>
      </c>
      <c r="C9" s="21">
        <v>8</v>
      </c>
      <c r="D9" s="22">
        <f>0.009*300*0.43</f>
        <v>1.1609999999999998</v>
      </c>
      <c r="E9" s="22">
        <f>0.003*300*0.43</f>
        <v>0.387</v>
      </c>
      <c r="F9" s="22">
        <f>0.023*300*0.43</f>
        <v>2.9669999999999996</v>
      </c>
      <c r="G9" s="22">
        <f>0.002*300*0.43</f>
        <v>0.258</v>
      </c>
      <c r="H9" s="27">
        <f>0.0015*300*0.43</f>
        <v>0.1935</v>
      </c>
      <c r="I9" s="23">
        <f t="shared" si="0"/>
        <v>0</v>
      </c>
      <c r="J9" s="24">
        <f t="shared" si="1"/>
        <v>0</v>
      </c>
      <c r="K9" s="24">
        <f t="shared" si="2"/>
        <v>0</v>
      </c>
      <c r="L9" s="24">
        <f t="shared" si="3"/>
        <v>0</v>
      </c>
      <c r="M9" s="25">
        <f t="shared" si="4"/>
        <v>0</v>
      </c>
    </row>
    <row r="10" spans="1:13" ht="15">
      <c r="A10" s="19" t="s">
        <v>141</v>
      </c>
      <c r="B10" s="20">
        <v>5</v>
      </c>
      <c r="C10" s="21">
        <v>8</v>
      </c>
      <c r="D10" s="22">
        <v>1.8</v>
      </c>
      <c r="E10" s="22">
        <v>0.19</v>
      </c>
      <c r="F10" s="22">
        <v>4.17</v>
      </c>
      <c r="G10" s="22">
        <v>0.45</v>
      </c>
      <c r="H10" s="138">
        <v>0.26</v>
      </c>
      <c r="I10" s="23">
        <f t="shared" si="0"/>
        <v>72</v>
      </c>
      <c r="J10" s="24">
        <f t="shared" si="1"/>
        <v>7.6</v>
      </c>
      <c r="K10" s="24">
        <f t="shared" si="2"/>
        <v>166.8</v>
      </c>
      <c r="L10" s="24">
        <f t="shared" si="3"/>
        <v>18</v>
      </c>
      <c r="M10" s="25">
        <f t="shared" si="4"/>
        <v>10.4</v>
      </c>
    </row>
    <row r="11" spans="1:13" ht="15">
      <c r="A11" s="19" t="s">
        <v>25</v>
      </c>
      <c r="B11" s="20">
        <v>1</v>
      </c>
      <c r="C11" s="21">
        <v>8</v>
      </c>
      <c r="D11" s="22">
        <f>0.013*43*0.505</f>
        <v>0.28229499999999996</v>
      </c>
      <c r="E11" s="22">
        <f>0.003*43*0.505</f>
        <v>0.06514500000000001</v>
      </c>
      <c r="F11" s="22">
        <f>0.031*43*0.505</f>
        <v>0.673165</v>
      </c>
      <c r="G11" s="22">
        <f>0.002*43*0.505</f>
        <v>0.04343</v>
      </c>
      <c r="H11" s="22">
        <f>0.0015*43*0.505</f>
        <v>0.032572500000000004</v>
      </c>
      <c r="I11" s="23">
        <f t="shared" si="0"/>
        <v>2.2583599999999997</v>
      </c>
      <c r="J11" s="24">
        <f t="shared" si="1"/>
        <v>0.5211600000000001</v>
      </c>
      <c r="K11" s="24">
        <f t="shared" si="2"/>
        <v>5.38532</v>
      </c>
      <c r="L11" s="24">
        <f t="shared" si="3"/>
        <v>0.34744</v>
      </c>
      <c r="M11" s="25">
        <f t="shared" si="4"/>
        <v>0.26058000000000003</v>
      </c>
    </row>
    <row r="12" spans="1:13" ht="15.75" thickBot="1">
      <c r="A12" s="29" t="s">
        <v>29</v>
      </c>
      <c r="B12" s="30">
        <v>9</v>
      </c>
      <c r="C12" s="30">
        <v>8</v>
      </c>
      <c r="D12" s="31">
        <f>0.011*35*0.45</f>
        <v>0.17325</v>
      </c>
      <c r="E12" s="31">
        <f>0.002*35*0.45</f>
        <v>0.03150000000000001</v>
      </c>
      <c r="F12" s="31">
        <f>0.018*35*0.45</f>
        <v>0.28350000000000003</v>
      </c>
      <c r="G12" s="31">
        <f>0.002*35*0.45</f>
        <v>0.03150000000000001</v>
      </c>
      <c r="H12" s="31">
        <f>0.001*35*0.45</f>
        <v>0.015750000000000004</v>
      </c>
      <c r="I12" s="32">
        <f t="shared" si="0"/>
        <v>12.473999999999998</v>
      </c>
      <c r="J12" s="31">
        <f t="shared" si="1"/>
        <v>2.2680000000000007</v>
      </c>
      <c r="K12" s="31">
        <f t="shared" si="2"/>
        <v>20.412000000000003</v>
      </c>
      <c r="L12" s="31">
        <f t="shared" si="3"/>
        <v>2.2680000000000007</v>
      </c>
      <c r="M12" s="33">
        <f t="shared" si="4"/>
        <v>1.1340000000000003</v>
      </c>
    </row>
    <row r="13" spans="1:13" ht="14.25" thickBot="1" thickTop="1">
      <c r="A13" s="26"/>
      <c r="B13" s="34"/>
      <c r="C13" s="35"/>
      <c r="D13" s="34"/>
      <c r="E13" s="34"/>
      <c r="F13" s="34"/>
      <c r="G13" s="34"/>
      <c r="H13" s="34"/>
      <c r="I13" s="36"/>
      <c r="J13" s="37"/>
      <c r="K13" s="37"/>
      <c r="L13" s="37"/>
      <c r="M13" s="38"/>
    </row>
    <row r="14" spans="1:13" ht="13.5" thickBot="1">
      <c r="A14" s="39" t="s">
        <v>13</v>
      </c>
      <c r="B14" s="40"/>
      <c r="C14" s="41"/>
      <c r="D14" s="41"/>
      <c r="E14" s="40"/>
      <c r="F14" s="40"/>
      <c r="G14" s="40"/>
      <c r="H14" s="40"/>
      <c r="I14" s="42">
        <f>SUM(I6:I12)</f>
        <v>131.55104</v>
      </c>
      <c r="J14" s="42">
        <f>SUM(J6:J12)</f>
        <v>24.667839999999998</v>
      </c>
      <c r="K14" s="42">
        <f>SUM(K6:K12)</f>
        <v>301.11803999999995</v>
      </c>
      <c r="L14" s="42">
        <f>SUM(L6:L12)</f>
        <v>30.22928</v>
      </c>
      <c r="M14" s="42">
        <f>SUM(M6:M12)</f>
        <v>18.269900000000003</v>
      </c>
    </row>
    <row r="15" spans="1:13" ht="14.25" thickBot="1" thickTop="1">
      <c r="A15" s="43" t="s">
        <v>5</v>
      </c>
      <c r="B15" s="44"/>
      <c r="C15" s="45"/>
      <c r="D15" s="45"/>
      <c r="E15" s="46"/>
      <c r="F15" s="46"/>
      <c r="G15" s="46"/>
      <c r="H15" s="46"/>
      <c r="I15" s="46" t="s">
        <v>5</v>
      </c>
      <c r="J15" s="46" t="s">
        <v>5</v>
      </c>
      <c r="K15" s="46" t="s">
        <v>5</v>
      </c>
      <c r="L15" s="46" t="s">
        <v>5</v>
      </c>
      <c r="M15" s="47" t="s">
        <v>5</v>
      </c>
    </row>
    <row r="16" ht="13.5" thickTop="1"/>
    <row r="17" ht="12.75">
      <c r="A17" s="48" t="s">
        <v>14</v>
      </c>
    </row>
    <row r="18" ht="12.75">
      <c r="A18" s="48" t="s">
        <v>15</v>
      </c>
    </row>
    <row r="19" spans="1:5" ht="12.75">
      <c r="A19" s="48" t="s">
        <v>16</v>
      </c>
      <c r="B19" s="48"/>
      <c r="C19" s="48"/>
      <c r="D19" s="48"/>
      <c r="E19" s="49"/>
    </row>
    <row r="22" ht="12.75">
      <c r="A22" s="48" t="s">
        <v>17</v>
      </c>
    </row>
    <row r="24" ht="12.75">
      <c r="C24" t="s">
        <v>5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&amp;C&amp;"Arial,Bold"&amp;12Construction Equipment Emissions for the Equilon CARB Phase 3 Project 
Alternative 3 Construction 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D17">
      <selection activeCell="L36" sqref="L36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27" thickBot="1">
      <c r="A4" s="61" t="s">
        <v>39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56</v>
      </c>
      <c r="B12" s="354">
        <v>60</v>
      </c>
      <c r="C12" s="354">
        <f>B12*2</f>
        <v>120</v>
      </c>
      <c r="D12" s="354">
        <v>11.5</v>
      </c>
      <c r="E12" s="350">
        <f>C12*D12*B$4/453.6</f>
        <v>27.3505291005291</v>
      </c>
      <c r="F12" s="350">
        <f>C12*C$4/453.6</f>
        <v>3.111111111111111</v>
      </c>
      <c r="G12" s="350">
        <f>C12*D12*(D$4+H$4)/453.6</f>
        <v>2.8293650793650795</v>
      </c>
      <c r="H12" s="350">
        <f>C12*(E$4+F$4)/453.6</f>
        <v>0.41005291005290995</v>
      </c>
      <c r="I12" s="350">
        <f>B12*8*G$4/453.6</f>
        <v>0.1798941798941799</v>
      </c>
      <c r="J12" s="350">
        <f>C12*D12*I$4/453.6</f>
        <v>2.677248677248677</v>
      </c>
      <c r="K12" s="352">
        <f>C12*J$4/453.6</f>
        <v>0.19047619047619044</v>
      </c>
      <c r="L12" s="350">
        <f>C12*D12*K$4/453.6</f>
        <v>0.15211640211640212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2.75">
      <c r="A14" s="348" t="s">
        <v>57</v>
      </c>
      <c r="B14" s="354">
        <v>0</v>
      </c>
      <c r="C14" s="354">
        <f>B14</f>
        <v>0</v>
      </c>
      <c r="D14" s="354">
        <v>10</v>
      </c>
      <c r="E14" s="350">
        <f>C14*D14*B$4/453.6</f>
        <v>0</v>
      </c>
      <c r="F14" s="350">
        <f>C14*C$4/453.6</f>
        <v>0</v>
      </c>
      <c r="G14" s="350">
        <f>C14*D14*(D$4+H$4)/453.6</f>
        <v>0</v>
      </c>
      <c r="H14" s="350">
        <f>C14*(E$4+F$4)/453.6</f>
        <v>0</v>
      </c>
      <c r="I14" s="350">
        <f>B14*8*G$4/453.6</f>
        <v>0</v>
      </c>
      <c r="J14" s="350">
        <f>C14*D14*I$4/453.6</f>
        <v>0</v>
      </c>
      <c r="K14" s="352">
        <f>C14*J$4/453.6</f>
        <v>0</v>
      </c>
      <c r="L14" s="350">
        <f>C14*D14*K$4/453.6</f>
        <v>0</v>
      </c>
    </row>
    <row r="15" spans="1:12" ht="13.5" thickBot="1">
      <c r="A15" s="349"/>
      <c r="B15" s="355"/>
      <c r="C15" s="355"/>
      <c r="D15" s="355"/>
      <c r="E15" s="351"/>
      <c r="F15" s="351"/>
      <c r="G15" s="351"/>
      <c r="H15" s="351"/>
      <c r="I15" s="351"/>
      <c r="J15" s="351"/>
      <c r="K15" s="353"/>
      <c r="L15" s="351"/>
    </row>
    <row r="16" spans="1:12" ht="12.75">
      <c r="A16" s="361" t="s">
        <v>40</v>
      </c>
      <c r="B16" s="354">
        <v>7</v>
      </c>
      <c r="C16" s="354">
        <f>B16*2</f>
        <v>14</v>
      </c>
      <c r="D16" s="354">
        <v>11.5</v>
      </c>
      <c r="E16" s="350">
        <f>C16*D16*B6/453.6</f>
        <v>17.30324074074074</v>
      </c>
      <c r="F16" s="350">
        <f>C16*C5/453.6</f>
        <v>0.43055555555555547</v>
      </c>
      <c r="G16" s="350">
        <f>C16*D16*(D6+H6)/453.6</f>
        <v>0.5324074074074073</v>
      </c>
      <c r="H16" s="350">
        <f>C16*(E5+F5)/453.6</f>
        <v>0.049999999999999996</v>
      </c>
      <c r="I16" s="350">
        <f>B16*8*G5/453.6</f>
        <v>0.019753086419753086</v>
      </c>
      <c r="J16" s="350">
        <f>I5*C16*D16/453.6</f>
        <v>0.4827160493827161</v>
      </c>
      <c r="K16" s="350">
        <f>J5*C16/453.6</f>
        <v>0.03302469135802469</v>
      </c>
      <c r="L16" s="350">
        <f>K5*C16*D16/453.6</f>
        <v>0.02484567901234568</v>
      </c>
    </row>
    <row r="17" spans="1:12" ht="13.5" thickBot="1">
      <c r="A17" s="369"/>
      <c r="B17" s="360"/>
      <c r="C17" s="355"/>
      <c r="D17" s="360"/>
      <c r="E17" s="351"/>
      <c r="F17" s="351"/>
      <c r="G17" s="351"/>
      <c r="H17" s="351"/>
      <c r="I17" s="351"/>
      <c r="J17" s="351"/>
      <c r="K17" s="351"/>
      <c r="L17" s="351"/>
    </row>
    <row r="18" spans="1:12" ht="13.5" thickBot="1">
      <c r="A18" s="76" t="s">
        <v>58</v>
      </c>
      <c r="B18" s="77">
        <v>0</v>
      </c>
      <c r="C18" s="73">
        <v>0</v>
      </c>
      <c r="D18" s="73">
        <v>0</v>
      </c>
      <c r="E18" s="78">
        <f>C18*D18*B$6/453.6</f>
        <v>0</v>
      </c>
      <c r="F18" s="78" t="s">
        <v>42</v>
      </c>
      <c r="G18" s="78">
        <f>C18*D18*(D$6+H$6)/453.6</f>
        <v>0</v>
      </c>
      <c r="H18" s="78">
        <f>C18*(E5+F5)/453.6</f>
        <v>0</v>
      </c>
      <c r="I18" s="78" t="s">
        <v>42</v>
      </c>
      <c r="J18" s="78">
        <f>C18*D18*I$6/453.6</f>
        <v>0</v>
      </c>
      <c r="K18" s="78">
        <f>J4*C18/453.6</f>
        <v>0</v>
      </c>
      <c r="L18" s="79">
        <f>K$6*C18*D18/453.6</f>
        <v>0</v>
      </c>
    </row>
    <row r="19" spans="1:13" ht="13.5" thickBot="1">
      <c r="A19" s="61" t="s">
        <v>59</v>
      </c>
      <c r="B19" s="62">
        <v>1</v>
      </c>
      <c r="C19" s="65">
        <v>1</v>
      </c>
      <c r="D19" s="65">
        <v>5</v>
      </c>
      <c r="E19" s="78">
        <f>C19*D19*B$6/453.6</f>
        <v>0.5373677248677249</v>
      </c>
      <c r="F19" s="78" t="s">
        <v>42</v>
      </c>
      <c r="G19" s="78">
        <f>C19*D19*(D$6+H$6)/453.6</f>
        <v>0.016534391534391533</v>
      </c>
      <c r="H19" s="78">
        <f>C19*(E6+F6)/453.6</f>
        <v>0.005820105820105819</v>
      </c>
      <c r="I19" s="78" t="s">
        <v>42</v>
      </c>
      <c r="J19" s="78">
        <f>C19*D19*I$6/453.6</f>
        <v>0.2100970017636684</v>
      </c>
      <c r="K19" s="78">
        <f>J5*C19/453.6</f>
        <v>0.002358906525573192</v>
      </c>
      <c r="L19" s="79">
        <f>K$6*C19*D19/453.6</f>
        <v>0.006723985890652557</v>
      </c>
      <c r="M19" t="s">
        <v>5</v>
      </c>
    </row>
    <row r="20" spans="1:12" ht="13.5" thickBot="1">
      <c r="A20" s="80" t="s">
        <v>41</v>
      </c>
      <c r="B20" s="62">
        <v>8</v>
      </c>
      <c r="C20" s="65">
        <f>B20*2</f>
        <v>16</v>
      </c>
      <c r="D20" s="65">
        <v>50</v>
      </c>
      <c r="E20" s="78">
        <f>C20*D20*B$6/453.6</f>
        <v>85.97883597883597</v>
      </c>
      <c r="F20" s="78" t="s">
        <v>42</v>
      </c>
      <c r="G20" s="78">
        <f>C20*D20*(D$6+H$6)/453.6</f>
        <v>2.6455026455026456</v>
      </c>
      <c r="H20" s="78">
        <f>C20*(E6+F6)/453.6</f>
        <v>0.0931216931216931</v>
      </c>
      <c r="I20" s="78" t="s">
        <v>42</v>
      </c>
      <c r="J20" s="78">
        <f>C20*D20*I$6/453.6</f>
        <v>33.61552028218694</v>
      </c>
      <c r="K20" s="78">
        <f>J5*C20/453.6</f>
        <v>0.037742504409171075</v>
      </c>
      <c r="L20" s="79">
        <f>K$6*C20*D20/453.6</f>
        <v>1.0758377425044092</v>
      </c>
    </row>
    <row r="21" spans="1:12" ht="13.5" thickBot="1">
      <c r="A21" s="81"/>
      <c r="B21" s="53"/>
      <c r="C21" s="53"/>
      <c r="D21" s="53"/>
      <c r="E21" s="82"/>
      <c r="F21" s="82"/>
      <c r="G21" s="82"/>
      <c r="H21" s="82"/>
      <c r="I21" s="82"/>
      <c r="J21" s="82"/>
      <c r="K21" s="82"/>
      <c r="L21" s="82"/>
    </row>
    <row r="22" spans="1:12" ht="13.5" thickBot="1">
      <c r="A22" s="67" t="s">
        <v>48</v>
      </c>
      <c r="B22" s="370" t="s">
        <v>43</v>
      </c>
      <c r="C22" s="358"/>
      <c r="D22" s="357"/>
      <c r="E22" s="371" t="s">
        <v>8</v>
      </c>
      <c r="F22" s="372"/>
      <c r="G22" s="371" t="s">
        <v>9</v>
      </c>
      <c r="H22" s="373"/>
      <c r="I22" s="372"/>
      <c r="J22" s="371" t="s">
        <v>10</v>
      </c>
      <c r="K22" s="372"/>
      <c r="L22" s="83" t="s">
        <v>12</v>
      </c>
    </row>
    <row r="23" spans="1:12" ht="12.75" customHeight="1">
      <c r="A23" s="367" t="s">
        <v>60</v>
      </c>
      <c r="B23" s="354">
        <f>B12+B14</f>
        <v>60</v>
      </c>
      <c r="C23" s="354">
        <f>C12+C14</f>
        <v>120</v>
      </c>
      <c r="D23" s="354"/>
      <c r="E23" s="374">
        <f>E12+F12+E14+F14</f>
        <v>30.461640211640212</v>
      </c>
      <c r="F23" s="352"/>
      <c r="G23" s="374">
        <f>G12+H12+I12+G14+H14+I14</f>
        <v>3.4193121693121693</v>
      </c>
      <c r="H23" s="376"/>
      <c r="I23" s="377"/>
      <c r="J23" s="374">
        <f>J12+K12+J14+K14</f>
        <v>2.8677248677248675</v>
      </c>
      <c r="K23" s="352"/>
      <c r="L23" s="350">
        <f>L12+L14</f>
        <v>0.15211640211640212</v>
      </c>
    </row>
    <row r="24" spans="1:12" ht="13.5" thickBot="1">
      <c r="A24" s="368"/>
      <c r="B24" s="355"/>
      <c r="C24" s="355"/>
      <c r="D24" s="355"/>
      <c r="E24" s="375"/>
      <c r="F24" s="353"/>
      <c r="G24" s="375"/>
      <c r="H24" s="378"/>
      <c r="I24" s="379"/>
      <c r="J24" s="375"/>
      <c r="K24" s="353"/>
      <c r="L24" s="351"/>
    </row>
    <row r="25" spans="1:12" ht="12.75" customHeight="1">
      <c r="A25" s="361" t="s">
        <v>61</v>
      </c>
      <c r="B25" s="354">
        <f>B16</f>
        <v>7</v>
      </c>
      <c r="C25" s="354">
        <f>C16</f>
        <v>14</v>
      </c>
      <c r="D25" s="354"/>
      <c r="E25" s="374">
        <f>E16+F16</f>
        <v>17.733796296296298</v>
      </c>
      <c r="F25" s="352"/>
      <c r="G25" s="374">
        <f>G16+H16+I16</f>
        <v>0.6021604938271604</v>
      </c>
      <c r="H25" s="376"/>
      <c r="I25" s="377"/>
      <c r="J25" s="374">
        <f>J16+K16</f>
        <v>0.5157407407407408</v>
      </c>
      <c r="K25" s="352"/>
      <c r="L25" s="350">
        <f>L16</f>
        <v>0.02484567901234568</v>
      </c>
    </row>
    <row r="26" spans="1:12" ht="15.75" customHeight="1" thickBot="1">
      <c r="A26" s="369"/>
      <c r="B26" s="360"/>
      <c r="C26" s="360"/>
      <c r="D26" s="360"/>
      <c r="E26" s="375"/>
      <c r="F26" s="353"/>
      <c r="G26" s="375"/>
      <c r="H26" s="378"/>
      <c r="I26" s="379"/>
      <c r="J26" s="375"/>
      <c r="K26" s="353"/>
      <c r="L26" s="351"/>
    </row>
    <row r="27" spans="1:12" ht="15.75" customHeight="1" thickBot="1">
      <c r="A27" s="76" t="s">
        <v>58</v>
      </c>
      <c r="B27" s="77">
        <v>1</v>
      </c>
      <c r="C27" s="73">
        <v>1</v>
      </c>
      <c r="D27" s="55"/>
      <c r="E27" s="371">
        <f>+E18</f>
        <v>0</v>
      </c>
      <c r="F27" s="357"/>
      <c r="G27" s="371">
        <f>+G18+H18</f>
        <v>0</v>
      </c>
      <c r="H27" s="380"/>
      <c r="I27" s="381"/>
      <c r="J27" s="371">
        <f>+J18+K18</f>
        <v>0</v>
      </c>
      <c r="K27" s="357"/>
      <c r="L27" s="75">
        <f>+L18</f>
        <v>0</v>
      </c>
    </row>
    <row r="28" spans="1:12" ht="27.75" customHeight="1" thickBot="1">
      <c r="A28" s="86" t="s">
        <v>62</v>
      </c>
      <c r="B28" s="65">
        <f>B20+B19</f>
        <v>9</v>
      </c>
      <c r="C28" s="65">
        <f>+C19+C20</f>
        <v>17</v>
      </c>
      <c r="D28" s="65"/>
      <c r="E28" s="371">
        <f>+E19+E20</f>
        <v>86.5162037037037</v>
      </c>
      <c r="F28" s="372"/>
      <c r="G28" s="371">
        <f>G19+G20+H19+H20</f>
        <v>2.760978835978836</v>
      </c>
      <c r="H28" s="373"/>
      <c r="I28" s="372"/>
      <c r="J28" s="371">
        <f>J20+J19+K19+K20</f>
        <v>33.86571869488536</v>
      </c>
      <c r="K28" s="372"/>
      <c r="L28" s="79">
        <f>L20+L19</f>
        <v>1.0825617283950617</v>
      </c>
    </row>
    <row r="29" spans="1:12" ht="13.5" thickBot="1">
      <c r="A29" s="68" t="s">
        <v>63</v>
      </c>
      <c r="B29" s="64"/>
      <c r="C29" s="81"/>
      <c r="D29" s="87"/>
      <c r="E29" s="371">
        <f>SUM(E23:F28)</f>
        <v>134.7116402116402</v>
      </c>
      <c r="F29" s="357"/>
      <c r="G29" s="371">
        <f>SUM(G23:I28)</f>
        <v>6.7824514991181655</v>
      </c>
      <c r="H29" s="358"/>
      <c r="I29" s="357"/>
      <c r="J29" s="371">
        <f>SUM(J23:K28)</f>
        <v>37.249184303350965</v>
      </c>
      <c r="K29" s="357"/>
      <c r="L29" s="78">
        <f>SUM(L23:L28)</f>
        <v>1.2595238095238095</v>
      </c>
    </row>
    <row r="31" ht="12.75">
      <c r="A31" s="48" t="s">
        <v>64</v>
      </c>
    </row>
    <row r="32" ht="12.75">
      <c r="A32" s="48" t="s">
        <v>65</v>
      </c>
    </row>
    <row r="33" ht="12.75">
      <c r="A33" s="48" t="s">
        <v>66</v>
      </c>
    </row>
    <row r="34" ht="12.75">
      <c r="A34" s="48" t="s">
        <v>67</v>
      </c>
    </row>
    <row r="35" ht="12.75">
      <c r="L35" s="88">
        <v>37067</v>
      </c>
    </row>
    <row r="36" ht="12.75">
      <c r="A36" s="48"/>
    </row>
    <row r="38" ht="12.75">
      <c r="A38" s="48" t="s">
        <v>17</v>
      </c>
    </row>
    <row r="39" ht="12.75">
      <c r="L39" s="88"/>
    </row>
  </sheetData>
  <sheetProtection/>
  <mergeCells count="76">
    <mergeCell ref="G14:G15"/>
    <mergeCell ref="H14:H15"/>
    <mergeCell ref="I14:I15"/>
    <mergeCell ref="B14:B15"/>
    <mergeCell ref="D14:D15"/>
    <mergeCell ref="G12:G13"/>
    <mergeCell ref="H12:H13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E12:E13"/>
    <mergeCell ref="F12:F13"/>
    <mergeCell ref="F16:F17"/>
    <mergeCell ref="A12:A13"/>
    <mergeCell ref="B12:B13"/>
    <mergeCell ref="C12:C13"/>
    <mergeCell ref="D12:D13"/>
    <mergeCell ref="C14:C15"/>
    <mergeCell ref="E14:E15"/>
    <mergeCell ref="F14:F15"/>
    <mergeCell ref="A14:A15"/>
    <mergeCell ref="A16:A17"/>
    <mergeCell ref="B16:B17"/>
    <mergeCell ref="C16:C17"/>
    <mergeCell ref="D16:D17"/>
    <mergeCell ref="E16:E17"/>
    <mergeCell ref="L16:L17"/>
    <mergeCell ref="I12:I13"/>
    <mergeCell ref="J12:J13"/>
    <mergeCell ref="K12:K13"/>
    <mergeCell ref="L12:L13"/>
    <mergeCell ref="L14:L15"/>
    <mergeCell ref="K14:K15"/>
    <mergeCell ref="J14:J15"/>
    <mergeCell ref="G16:G17"/>
    <mergeCell ref="H16:H17"/>
    <mergeCell ref="I16:I17"/>
    <mergeCell ref="J16:J17"/>
    <mergeCell ref="K16:K17"/>
    <mergeCell ref="B22:D22"/>
    <mergeCell ref="E22:F22"/>
    <mergeCell ref="G22:I22"/>
    <mergeCell ref="J22:K22"/>
    <mergeCell ref="A23:A24"/>
    <mergeCell ref="B23:B24"/>
    <mergeCell ref="C23:C24"/>
    <mergeCell ref="D23:D24"/>
    <mergeCell ref="E23:F24"/>
    <mergeCell ref="G23:I24"/>
    <mergeCell ref="J23:K24"/>
    <mergeCell ref="L23:L24"/>
    <mergeCell ref="A25:A26"/>
    <mergeCell ref="B25:B26"/>
    <mergeCell ref="C25:C26"/>
    <mergeCell ref="D25:D26"/>
    <mergeCell ref="G25:I26"/>
    <mergeCell ref="J25:K26"/>
    <mergeCell ref="E25:F26"/>
    <mergeCell ref="L25:L26"/>
    <mergeCell ref="G27:I27"/>
    <mergeCell ref="J27:K27"/>
    <mergeCell ref="E27:F27"/>
    <mergeCell ref="E29:F29"/>
    <mergeCell ref="G29:I29"/>
    <mergeCell ref="J29:K29"/>
    <mergeCell ref="E28:F28"/>
    <mergeCell ref="G28:I28"/>
    <mergeCell ref="J28:K28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73" r:id="rId1"/>
  <headerFooter alignWithMargins="0">
    <oddHeader>&amp;C&amp;"Arial,Bold"&amp;12Construction Vehicle Emissions for the Equilon CARB 
Phase 3 Project 
Alternative 3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G30" sqref="G30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68</v>
      </c>
      <c r="D1" s="1"/>
    </row>
    <row r="2" spans="6:9" ht="17.25">
      <c r="F2" s="89" t="s">
        <v>69</v>
      </c>
      <c r="G2" s="90"/>
      <c r="H2" s="90"/>
      <c r="I2" s="90"/>
    </row>
    <row r="3" spans="6:9" ht="17.25">
      <c r="F3" s="89"/>
      <c r="G3" s="90"/>
      <c r="H3" s="90"/>
      <c r="I3" s="90"/>
    </row>
    <row r="4" spans="3:9" ht="15">
      <c r="C4" s="382" t="s">
        <v>566</v>
      </c>
      <c r="D4" s="382"/>
      <c r="E4" s="382"/>
      <c r="F4" s="382"/>
      <c r="G4" s="382"/>
      <c r="H4" s="382"/>
      <c r="I4" s="382"/>
    </row>
    <row r="5" ht="13.5" thickBot="1"/>
    <row r="6" spans="1:10" ht="39.75" thickBot="1">
      <c r="A6" s="356" t="s">
        <v>71</v>
      </c>
      <c r="B6" s="358"/>
      <c r="C6" s="81"/>
      <c r="D6" s="52" t="s">
        <v>72</v>
      </c>
      <c r="E6" s="53"/>
      <c r="F6" s="53" t="s">
        <v>73</v>
      </c>
      <c r="G6" s="92" t="s">
        <v>74</v>
      </c>
      <c r="H6" s="92" t="s">
        <v>75</v>
      </c>
      <c r="I6" s="93" t="s">
        <v>76</v>
      </c>
      <c r="J6" s="94" t="s">
        <v>77</v>
      </c>
    </row>
    <row r="7" spans="1:10" ht="12.75">
      <c r="A7" s="80"/>
      <c r="B7" s="50"/>
      <c r="C7" s="50"/>
      <c r="D7" s="95"/>
      <c r="E7" s="50"/>
      <c r="F7" s="50"/>
      <c r="G7" s="50"/>
      <c r="H7" s="50"/>
      <c r="I7" s="50"/>
      <c r="J7" s="96"/>
    </row>
    <row r="8" spans="1:10" ht="12.75">
      <c r="A8" s="67" t="s">
        <v>78</v>
      </c>
      <c r="B8" s="50"/>
      <c r="C8" s="50"/>
      <c r="D8" s="95"/>
      <c r="E8" s="50"/>
      <c r="F8" s="50"/>
      <c r="G8" s="50"/>
      <c r="H8" s="50"/>
      <c r="I8" s="50"/>
      <c r="J8" s="97"/>
    </row>
    <row r="9" spans="1:10" ht="12.75">
      <c r="A9" s="67" t="s">
        <v>79</v>
      </c>
      <c r="B9" s="50"/>
      <c r="D9" s="98">
        <v>60</v>
      </c>
      <c r="E9" s="99"/>
      <c r="F9" s="99" t="s">
        <v>80</v>
      </c>
      <c r="G9" s="99">
        <v>2</v>
      </c>
      <c r="H9" s="99">
        <v>11.5</v>
      </c>
      <c r="I9" s="50">
        <v>0.0012</v>
      </c>
      <c r="J9" s="77">
        <f>D9*G9*H9*I9</f>
        <v>1.656</v>
      </c>
    </row>
    <row r="10" spans="1:10" ht="12.75">
      <c r="A10" s="67" t="s">
        <v>81</v>
      </c>
      <c r="B10" s="50"/>
      <c r="C10" s="50"/>
      <c r="D10" s="95"/>
      <c r="E10" s="50"/>
      <c r="F10" s="50"/>
      <c r="G10" s="50"/>
      <c r="H10" s="50"/>
      <c r="I10" s="50"/>
      <c r="J10" s="97"/>
    </row>
    <row r="11" spans="1:10" ht="12.75">
      <c r="A11" s="67"/>
      <c r="B11" s="50"/>
      <c r="C11" s="50"/>
      <c r="D11" s="95"/>
      <c r="E11" s="50"/>
      <c r="F11" s="50"/>
      <c r="G11" s="50"/>
      <c r="H11" s="50"/>
      <c r="I11" s="50"/>
      <c r="J11" s="97"/>
    </row>
    <row r="12" spans="1:10" ht="12.75">
      <c r="A12" s="67" t="s">
        <v>82</v>
      </c>
      <c r="B12" s="50"/>
      <c r="C12" s="50"/>
      <c r="D12" s="98">
        <v>0</v>
      </c>
      <c r="E12" s="99"/>
      <c r="F12" s="99" t="s">
        <v>83</v>
      </c>
      <c r="G12" s="99"/>
      <c r="H12" s="99">
        <v>6</v>
      </c>
      <c r="I12" s="50">
        <v>0.0288</v>
      </c>
      <c r="J12" s="77">
        <f>D12*H12*I12</f>
        <v>0</v>
      </c>
    </row>
    <row r="13" spans="1:10" ht="12.75">
      <c r="A13" s="67" t="s">
        <v>81</v>
      </c>
      <c r="B13" s="50"/>
      <c r="C13" s="50"/>
      <c r="D13" s="98"/>
      <c r="E13" s="99"/>
      <c r="F13" s="99"/>
      <c r="G13" s="99"/>
      <c r="H13" s="99"/>
      <c r="I13" s="50"/>
      <c r="J13" s="77"/>
    </row>
    <row r="14" spans="1:10" ht="12.75">
      <c r="A14" s="67"/>
      <c r="B14" s="50"/>
      <c r="C14" s="50"/>
      <c r="D14" s="95"/>
      <c r="E14" s="50"/>
      <c r="F14" s="50"/>
      <c r="G14" s="50"/>
      <c r="H14" s="50"/>
      <c r="I14" s="50"/>
      <c r="J14" s="97"/>
    </row>
    <row r="15" spans="1:10" ht="12.75">
      <c r="A15" s="67" t="s">
        <v>84</v>
      </c>
      <c r="B15" s="50"/>
      <c r="C15" s="50"/>
      <c r="D15" s="98">
        <v>7</v>
      </c>
      <c r="E15" s="99"/>
      <c r="F15" s="99" t="s">
        <v>80</v>
      </c>
      <c r="G15" s="99">
        <v>2</v>
      </c>
      <c r="H15" s="99">
        <v>11.5</v>
      </c>
      <c r="I15" s="50">
        <v>0.0288</v>
      </c>
      <c r="J15" s="77">
        <f>D15*G15*H15*I15</f>
        <v>4.6368</v>
      </c>
    </row>
    <row r="16" spans="1:10" ht="12.75">
      <c r="A16" s="67" t="s">
        <v>81</v>
      </c>
      <c r="B16" s="50"/>
      <c r="C16" s="50"/>
      <c r="D16" s="95"/>
      <c r="E16" s="50"/>
      <c r="F16" s="50"/>
      <c r="G16" s="50"/>
      <c r="H16" s="50"/>
      <c r="I16" s="50"/>
      <c r="J16" s="97"/>
    </row>
    <row r="17" spans="1:10" ht="12.75">
      <c r="A17" s="67"/>
      <c r="B17" s="50"/>
      <c r="C17" s="50"/>
      <c r="D17" s="95"/>
      <c r="E17" s="50"/>
      <c r="F17" s="50"/>
      <c r="G17" s="50"/>
      <c r="H17" s="50"/>
      <c r="I17" s="50"/>
      <c r="J17" s="97"/>
    </row>
    <row r="18" spans="1:10" ht="12.75">
      <c r="A18" s="67" t="s">
        <v>85</v>
      </c>
      <c r="B18" s="50"/>
      <c r="C18" s="50"/>
      <c r="D18" s="98">
        <v>8</v>
      </c>
      <c r="E18" s="99"/>
      <c r="F18" s="99" t="s">
        <v>83</v>
      </c>
      <c r="G18" s="99">
        <v>2</v>
      </c>
      <c r="H18" s="99">
        <v>50</v>
      </c>
      <c r="I18" s="50">
        <v>0.0288</v>
      </c>
      <c r="J18" s="77">
        <f>D18*G18*H18*I18</f>
        <v>23.04</v>
      </c>
    </row>
    <row r="19" spans="1:10" ht="12.75">
      <c r="A19" s="67" t="s">
        <v>81</v>
      </c>
      <c r="B19" s="50"/>
      <c r="C19" s="50"/>
      <c r="D19" s="95"/>
      <c r="E19" s="50"/>
      <c r="F19" s="50"/>
      <c r="G19" s="50"/>
      <c r="H19" s="50"/>
      <c r="I19" s="50"/>
      <c r="J19" s="97"/>
    </row>
    <row r="20" spans="1:10" ht="12.75">
      <c r="A20" s="67"/>
      <c r="B20" s="50"/>
      <c r="C20" s="50"/>
      <c r="D20" s="95"/>
      <c r="E20" s="50"/>
      <c r="F20" s="50"/>
      <c r="G20" s="50"/>
      <c r="H20" s="50"/>
      <c r="I20" s="50"/>
      <c r="J20" s="97"/>
    </row>
    <row r="21" spans="1:10" ht="12.75">
      <c r="A21" s="67" t="s">
        <v>86</v>
      </c>
      <c r="B21" s="50"/>
      <c r="C21" s="50"/>
      <c r="D21" s="98">
        <v>0</v>
      </c>
      <c r="E21" s="99"/>
      <c r="F21" s="99" t="s">
        <v>80</v>
      </c>
      <c r="G21" s="99">
        <v>1</v>
      </c>
      <c r="H21" s="99">
        <v>0</v>
      </c>
      <c r="I21" s="50">
        <v>17.82</v>
      </c>
      <c r="J21" s="77">
        <f>D21*G21*H21*I21</f>
        <v>0</v>
      </c>
    </row>
    <row r="22" spans="1:10" ht="12.75">
      <c r="A22" s="67"/>
      <c r="B22" s="50"/>
      <c r="C22" s="50"/>
      <c r="D22" s="98"/>
      <c r="E22" s="99"/>
      <c r="F22" s="99"/>
      <c r="G22" s="99"/>
      <c r="H22" s="99"/>
      <c r="I22" s="50"/>
      <c r="J22" s="77"/>
    </row>
    <row r="23" spans="1:10" ht="13.5" thickBot="1">
      <c r="A23" s="67" t="s">
        <v>86</v>
      </c>
      <c r="B23" s="50"/>
      <c r="C23" s="50"/>
      <c r="D23" s="98">
        <v>1</v>
      </c>
      <c r="E23" s="99"/>
      <c r="F23" s="99" t="s">
        <v>83</v>
      </c>
      <c r="G23" s="99">
        <v>1</v>
      </c>
      <c r="H23" s="99">
        <v>0.5</v>
      </c>
      <c r="I23" s="50">
        <v>17.82</v>
      </c>
      <c r="J23" s="77">
        <f>D23*G23*H23*I23</f>
        <v>8.91</v>
      </c>
    </row>
    <row r="24" spans="1:10" ht="13.5" thickBot="1">
      <c r="A24" s="64" t="s">
        <v>87</v>
      </c>
      <c r="B24" s="81"/>
      <c r="C24" s="81"/>
      <c r="D24" s="52">
        <f>SUM(D9:D23)</f>
        <v>76</v>
      </c>
      <c r="E24" s="81"/>
      <c r="F24" s="81"/>
      <c r="G24" s="81"/>
      <c r="H24" s="81"/>
      <c r="I24" s="81"/>
      <c r="J24" s="65">
        <f>SUM(J9:J23)</f>
        <v>38.2428</v>
      </c>
    </row>
    <row r="26" ht="12.75">
      <c r="A26" s="48" t="s">
        <v>88</v>
      </c>
    </row>
    <row r="27" ht="12.75">
      <c r="A27" s="48"/>
    </row>
    <row r="28" ht="12.75">
      <c r="A28" s="48" t="s">
        <v>89</v>
      </c>
    </row>
  </sheetData>
  <sheetProtection/>
  <mergeCells count="2">
    <mergeCell ref="A6:B6"/>
    <mergeCell ref="C4:I4"/>
  </mergeCells>
  <printOptions horizontalCentered="1"/>
  <pageMargins left="1" right="0.75" top="1" bottom="1" header="0.5" footer="0.5"/>
  <pageSetup horizontalDpi="300" verticalDpi="3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C19">
      <selection activeCell="G33" sqref="G33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F2" s="395" t="s">
        <v>567</v>
      </c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F3" s="395" t="s">
        <v>91</v>
      </c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2</v>
      </c>
      <c r="E10" s="117"/>
      <c r="F10" s="117">
        <v>3</v>
      </c>
      <c r="G10" s="117"/>
      <c r="H10" s="117">
        <v>8</v>
      </c>
      <c r="I10" s="117">
        <v>7.7</v>
      </c>
      <c r="J10" s="117">
        <v>0.34</v>
      </c>
      <c r="K10" s="83">
        <f>+D10*H10*I10*J10</f>
        <v>41.888000000000005</v>
      </c>
      <c r="L10" s="83">
        <f>+F10*H10*I10*J10</f>
        <v>62.83200000000001</v>
      </c>
      <c r="M10" s="118">
        <f>+D10*H10*I10</f>
        <v>123.2</v>
      </c>
      <c r="N10" s="118">
        <f>+F10*H10*I10</f>
        <v>184.8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0.34</v>
      </c>
      <c r="K15" s="53">
        <f>+F15*I15*J15</f>
        <v>0.00020400000000000003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270</v>
      </c>
      <c r="G22" s="81"/>
      <c r="H22" s="53">
        <v>1</v>
      </c>
      <c r="I22" s="53">
        <v>2</v>
      </c>
      <c r="J22" s="127">
        <f>1.7*0.075/1.5*331/235*25/0.15*0.5</f>
        <v>9.976950354609931</v>
      </c>
      <c r="K22" s="128">
        <f>+H22*J22</f>
        <v>9.976950354609931</v>
      </c>
      <c r="L22" s="127">
        <f>I22*J22</f>
        <v>19.953900709219862</v>
      </c>
      <c r="M22" s="127">
        <f>K22*F22/2000</f>
        <v>1.3468882978723407</v>
      </c>
      <c r="N22" s="127">
        <f>L22*F22/2000</f>
        <v>2.6937765957446813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51.865154354609935</v>
      </c>
      <c r="J26" s="129">
        <f>+L10+L15+L22</f>
        <v>82.78630870921987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124.54748829787235</v>
      </c>
      <c r="J27" s="130">
        <f>+N10+N15+N22</f>
        <v>187.4949765957447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F2:J2"/>
    <mergeCell ref="F3:J3"/>
    <mergeCell ref="L6:L9"/>
    <mergeCell ref="H5:H9"/>
    <mergeCell ref="I5:I9"/>
    <mergeCell ref="J5:J9"/>
    <mergeCell ref="F5:F9"/>
    <mergeCell ref="O13:O14"/>
    <mergeCell ref="A7:A9"/>
    <mergeCell ref="K6:K9"/>
    <mergeCell ref="D5:D9"/>
    <mergeCell ref="O5:O9"/>
    <mergeCell ref="K5:L5"/>
    <mergeCell ref="M5:N5"/>
    <mergeCell ref="M6:M9"/>
    <mergeCell ref="N6:N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55">
      <selection activeCell="A57" sqref="A57:IV70"/>
    </sheetView>
  </sheetViews>
  <sheetFormatPr defaultColWidth="9.140625" defaultRowHeight="12.75"/>
  <cols>
    <col min="1" max="2" width="16.7109375" style="0" customWidth="1"/>
    <col min="3" max="5" width="15.7109375" style="0" customWidth="1"/>
    <col min="6" max="7" width="12.7109375" style="0" customWidth="1"/>
  </cols>
  <sheetData>
    <row r="1" spans="1:5" ht="12.75">
      <c r="A1" s="402" t="s">
        <v>568</v>
      </c>
      <c r="B1" s="402"/>
      <c r="C1" s="402"/>
      <c r="D1" s="402"/>
      <c r="E1" s="402"/>
    </row>
    <row r="2" spans="1:5" ht="12.75">
      <c r="A2" s="402" t="s">
        <v>342</v>
      </c>
      <c r="B2" s="402"/>
      <c r="C2" s="402"/>
      <c r="D2" s="402"/>
      <c r="E2" s="402"/>
    </row>
    <row r="3" ht="13.5" thickBot="1"/>
    <row r="4" spans="1:6" s="143" customFormat="1" ht="27" thickBot="1" thickTop="1">
      <c r="A4" s="139" t="s">
        <v>155</v>
      </c>
      <c r="B4" s="140" t="s">
        <v>156</v>
      </c>
      <c r="C4" s="140" t="s">
        <v>157</v>
      </c>
      <c r="D4" s="140" t="s">
        <v>160</v>
      </c>
      <c r="E4" s="142" t="s">
        <v>161</v>
      </c>
      <c r="F4" s="143" t="s">
        <v>5</v>
      </c>
    </row>
    <row r="5" spans="1:6" ht="13.5" thickTop="1">
      <c r="A5" s="34" t="s">
        <v>343</v>
      </c>
      <c r="B5" s="34" t="s">
        <v>163</v>
      </c>
      <c r="C5" s="34">
        <v>4</v>
      </c>
      <c r="D5" s="34">
        <v>104</v>
      </c>
      <c r="E5" s="34">
        <f aca="true" t="shared" si="0" ref="E5:E11">C5*D5</f>
        <v>416</v>
      </c>
      <c r="F5" s="145" t="s">
        <v>5</v>
      </c>
    </row>
    <row r="6" spans="1:5" ht="12.75">
      <c r="A6" s="34" t="s">
        <v>569</v>
      </c>
      <c r="B6" s="34" t="s">
        <v>164</v>
      </c>
      <c r="C6" s="34">
        <v>125</v>
      </c>
      <c r="D6" s="34">
        <v>19</v>
      </c>
      <c r="E6" s="34">
        <f t="shared" si="0"/>
        <v>2375</v>
      </c>
    </row>
    <row r="7" spans="1:5" ht="12.75">
      <c r="A7" s="34"/>
      <c r="B7" s="34" t="s">
        <v>165</v>
      </c>
      <c r="C7" s="34">
        <v>275</v>
      </c>
      <c r="D7" s="34">
        <v>1.5</v>
      </c>
      <c r="E7" s="34">
        <f t="shared" si="0"/>
        <v>412.5</v>
      </c>
    </row>
    <row r="8" spans="1:5" ht="12.75">
      <c r="A8" s="34"/>
      <c r="B8" s="147" t="s">
        <v>166</v>
      </c>
      <c r="C8" s="34">
        <v>25</v>
      </c>
      <c r="D8" s="34">
        <v>23</v>
      </c>
      <c r="E8" s="34">
        <f t="shared" si="0"/>
        <v>575</v>
      </c>
    </row>
    <row r="9" spans="1:5" ht="12.75">
      <c r="A9" s="34"/>
      <c r="B9" s="34" t="s">
        <v>169</v>
      </c>
      <c r="C9" s="34">
        <v>0</v>
      </c>
      <c r="D9" s="34">
        <v>514</v>
      </c>
      <c r="E9" s="34">
        <f t="shared" si="0"/>
        <v>0</v>
      </c>
    </row>
    <row r="10" spans="1:5" ht="12.75">
      <c r="A10" s="34"/>
      <c r="B10" s="34" t="s">
        <v>170</v>
      </c>
      <c r="C10" s="34">
        <v>4</v>
      </c>
      <c r="D10" s="34">
        <v>80</v>
      </c>
      <c r="E10" s="34">
        <f t="shared" si="0"/>
        <v>320</v>
      </c>
    </row>
    <row r="11" spans="1:5" ht="13.5" thickBot="1">
      <c r="A11" s="34"/>
      <c r="B11" s="46" t="s">
        <v>171</v>
      </c>
      <c r="C11" s="46">
        <v>10</v>
      </c>
      <c r="D11" s="34">
        <v>0</v>
      </c>
      <c r="E11" s="34">
        <f t="shared" si="0"/>
        <v>0</v>
      </c>
    </row>
    <row r="12" spans="1:5" ht="14.25" thickBot="1" thickTop="1">
      <c r="A12" s="46"/>
      <c r="B12" s="46" t="s">
        <v>344</v>
      </c>
      <c r="C12" s="46">
        <f>SUM(C5:C11)</f>
        <v>443</v>
      </c>
      <c r="D12" s="149" t="s">
        <v>5</v>
      </c>
      <c r="E12" s="149">
        <f>SUM(E5:E11)</f>
        <v>4098.5</v>
      </c>
    </row>
    <row r="13" spans="1:5" ht="13.5" thickTop="1">
      <c r="A13" s="34" t="s">
        <v>345</v>
      </c>
      <c r="B13" s="34" t="s">
        <v>163</v>
      </c>
      <c r="C13" s="34">
        <v>3</v>
      </c>
      <c r="D13" s="34">
        <v>104</v>
      </c>
      <c r="E13" s="34">
        <f aca="true" t="shared" si="1" ref="E13:E19">C13*D13</f>
        <v>312</v>
      </c>
    </row>
    <row r="14" spans="1:5" ht="12.75">
      <c r="A14" s="34" t="s">
        <v>5</v>
      </c>
      <c r="B14" s="34" t="s">
        <v>164</v>
      </c>
      <c r="C14" s="34">
        <v>85</v>
      </c>
      <c r="D14" s="34">
        <v>19</v>
      </c>
      <c r="E14" s="34">
        <f t="shared" si="1"/>
        <v>1615</v>
      </c>
    </row>
    <row r="15" spans="1:5" ht="12.75">
      <c r="A15" s="34"/>
      <c r="B15" s="34" t="s">
        <v>165</v>
      </c>
      <c r="C15" s="34">
        <v>205</v>
      </c>
      <c r="D15" s="34">
        <v>1.5</v>
      </c>
      <c r="E15" s="34">
        <f t="shared" si="1"/>
        <v>307.5</v>
      </c>
    </row>
    <row r="16" spans="1:5" ht="12.75">
      <c r="A16" s="34"/>
      <c r="B16" s="34" t="s">
        <v>166</v>
      </c>
      <c r="C16" s="34">
        <v>12</v>
      </c>
      <c r="D16" s="34">
        <v>23</v>
      </c>
      <c r="E16" s="34">
        <f t="shared" si="1"/>
        <v>276</v>
      </c>
    </row>
    <row r="17" spans="1:5" ht="12.75">
      <c r="A17" s="34"/>
      <c r="B17" s="34" t="s">
        <v>169</v>
      </c>
      <c r="C17" s="34">
        <v>0</v>
      </c>
      <c r="D17" s="34">
        <v>514</v>
      </c>
      <c r="E17" s="34">
        <f t="shared" si="1"/>
        <v>0</v>
      </c>
    </row>
    <row r="18" spans="1:5" ht="12.75">
      <c r="A18" s="34"/>
      <c r="B18" s="34" t="s">
        <v>170</v>
      </c>
      <c r="C18" s="34">
        <v>5</v>
      </c>
      <c r="D18" s="34">
        <v>80</v>
      </c>
      <c r="E18" s="34">
        <f t="shared" si="1"/>
        <v>400</v>
      </c>
    </row>
    <row r="19" spans="1:5" ht="13.5" thickBot="1">
      <c r="A19" s="34"/>
      <c r="B19" s="46" t="s">
        <v>171</v>
      </c>
      <c r="C19" s="46">
        <v>20</v>
      </c>
      <c r="D19" s="34">
        <v>0</v>
      </c>
      <c r="E19" s="34">
        <f t="shared" si="1"/>
        <v>0</v>
      </c>
    </row>
    <row r="20" spans="1:5" ht="14.25" thickBot="1" thickTop="1">
      <c r="A20" s="46"/>
      <c r="B20" s="46" t="s">
        <v>344</v>
      </c>
      <c r="C20" s="46">
        <f>SUM(C13:C19)</f>
        <v>330</v>
      </c>
      <c r="D20" s="149" t="s">
        <v>5</v>
      </c>
      <c r="E20" s="149">
        <f>SUM(E13:E19)</f>
        <v>2910.5</v>
      </c>
    </row>
    <row r="21" spans="1:5" ht="13.5" thickTop="1">
      <c r="A21" s="34" t="s">
        <v>346</v>
      </c>
      <c r="B21" s="34" t="s">
        <v>163</v>
      </c>
      <c r="C21" s="34">
        <v>0</v>
      </c>
      <c r="D21" s="34">
        <v>104</v>
      </c>
      <c r="E21" s="34">
        <f aca="true" t="shared" si="2" ref="E21:E27">C21*D21</f>
        <v>0</v>
      </c>
    </row>
    <row r="22" spans="1:5" ht="12.75">
      <c r="A22" s="34" t="s">
        <v>5</v>
      </c>
      <c r="B22" s="34" t="s">
        <v>164</v>
      </c>
      <c r="C22" s="34">
        <v>0</v>
      </c>
      <c r="D22" s="34">
        <v>19</v>
      </c>
      <c r="E22" s="34">
        <f t="shared" si="2"/>
        <v>0</v>
      </c>
    </row>
    <row r="23" spans="1:5" ht="12.75">
      <c r="A23" s="34"/>
      <c r="B23" s="34" t="s">
        <v>165</v>
      </c>
      <c r="C23" s="34">
        <v>20</v>
      </c>
      <c r="D23" s="34">
        <v>1.5</v>
      </c>
      <c r="E23" s="34">
        <f t="shared" si="2"/>
        <v>30</v>
      </c>
    </row>
    <row r="24" spans="1:5" ht="12.75">
      <c r="A24" s="34"/>
      <c r="B24" s="147" t="s">
        <v>166</v>
      </c>
      <c r="C24" s="34">
        <v>8</v>
      </c>
      <c r="D24" s="34">
        <v>23</v>
      </c>
      <c r="E24" s="34">
        <f t="shared" si="2"/>
        <v>184</v>
      </c>
    </row>
    <row r="25" spans="1:5" ht="12.75">
      <c r="A25" s="34"/>
      <c r="B25" s="34" t="s">
        <v>169</v>
      </c>
      <c r="C25" s="34">
        <v>0</v>
      </c>
      <c r="D25" s="34">
        <v>514</v>
      </c>
      <c r="E25" s="34">
        <f t="shared" si="2"/>
        <v>0</v>
      </c>
    </row>
    <row r="26" spans="1:5" ht="12.75">
      <c r="A26" s="34" t="s">
        <v>5</v>
      </c>
      <c r="B26" s="34" t="s">
        <v>170</v>
      </c>
      <c r="C26" s="34">
        <v>0</v>
      </c>
      <c r="D26" s="34">
        <v>80</v>
      </c>
      <c r="E26" s="34">
        <f t="shared" si="2"/>
        <v>0</v>
      </c>
    </row>
    <row r="27" spans="1:5" ht="13.5" thickBot="1">
      <c r="A27" s="34"/>
      <c r="B27" s="46" t="s">
        <v>171</v>
      </c>
      <c r="C27" s="46">
        <v>3</v>
      </c>
      <c r="D27" s="34">
        <v>0</v>
      </c>
      <c r="E27" s="34">
        <f t="shared" si="2"/>
        <v>0</v>
      </c>
    </row>
    <row r="28" spans="1:5" ht="14.25" thickBot="1" thickTop="1">
      <c r="A28" s="46"/>
      <c r="B28" s="46" t="s">
        <v>344</v>
      </c>
      <c r="C28" s="46">
        <f>SUM(C21:C27)</f>
        <v>31</v>
      </c>
      <c r="D28" s="149" t="s">
        <v>5</v>
      </c>
      <c r="E28" s="149">
        <f>SUM(E21:E27)</f>
        <v>214</v>
      </c>
    </row>
    <row r="29" spans="1:5" ht="13.5" thickTop="1">
      <c r="A29" s="34" t="s">
        <v>347</v>
      </c>
      <c r="B29" s="34" t="s">
        <v>163</v>
      </c>
      <c r="C29" s="34">
        <v>0</v>
      </c>
      <c r="D29" s="34">
        <v>104</v>
      </c>
      <c r="E29" s="34">
        <f aca="true" t="shared" si="3" ref="E29:E35">C29*D29</f>
        <v>0</v>
      </c>
    </row>
    <row r="30" spans="1:5" ht="12.75">
      <c r="A30" s="34" t="s">
        <v>5</v>
      </c>
      <c r="B30" s="34" t="s">
        <v>164</v>
      </c>
      <c r="C30" s="34">
        <v>7</v>
      </c>
      <c r="D30" s="34">
        <v>19</v>
      </c>
      <c r="E30" s="34">
        <f t="shared" si="3"/>
        <v>133</v>
      </c>
    </row>
    <row r="31" spans="1:5" ht="12.75">
      <c r="A31" s="34"/>
      <c r="B31" s="34" t="s">
        <v>165</v>
      </c>
      <c r="C31" s="34">
        <v>77</v>
      </c>
      <c r="D31" s="34">
        <v>1.5</v>
      </c>
      <c r="E31" s="34">
        <f t="shared" si="3"/>
        <v>115.5</v>
      </c>
    </row>
    <row r="32" spans="1:5" ht="12.75">
      <c r="A32" s="34"/>
      <c r="B32" s="147" t="s">
        <v>166</v>
      </c>
      <c r="C32" s="34">
        <v>26</v>
      </c>
      <c r="D32" s="34">
        <v>23</v>
      </c>
      <c r="E32" s="34">
        <f t="shared" si="3"/>
        <v>598</v>
      </c>
    </row>
    <row r="33" spans="1:5" ht="12.75">
      <c r="A33" s="34"/>
      <c r="B33" s="34" t="s">
        <v>169</v>
      </c>
      <c r="C33" s="34">
        <v>1</v>
      </c>
      <c r="D33" s="34">
        <v>514</v>
      </c>
      <c r="E33" s="34">
        <f t="shared" si="3"/>
        <v>514</v>
      </c>
    </row>
    <row r="34" spans="1:5" ht="12.75">
      <c r="A34" s="34"/>
      <c r="B34" s="34" t="s">
        <v>170</v>
      </c>
      <c r="C34" s="34">
        <v>1</v>
      </c>
      <c r="D34" s="34">
        <v>80</v>
      </c>
      <c r="E34" s="34">
        <f t="shared" si="3"/>
        <v>80</v>
      </c>
    </row>
    <row r="35" spans="1:5" ht="13.5" thickBot="1">
      <c r="A35" s="34"/>
      <c r="B35" s="34" t="s">
        <v>171</v>
      </c>
      <c r="C35" s="34">
        <v>1</v>
      </c>
      <c r="D35" s="34">
        <v>0</v>
      </c>
      <c r="E35" s="34">
        <f t="shared" si="3"/>
        <v>0</v>
      </c>
    </row>
    <row r="36" spans="1:5" ht="14.25" thickBot="1" thickTop="1">
      <c r="A36" s="46"/>
      <c r="B36" s="149" t="s">
        <v>344</v>
      </c>
      <c r="C36" s="149">
        <f>SUM(C29:C35)</f>
        <v>113</v>
      </c>
      <c r="D36" s="149" t="s">
        <v>5</v>
      </c>
      <c r="E36" s="149">
        <f>SUM(E29:E35)</f>
        <v>1440.5</v>
      </c>
    </row>
    <row r="37" spans="1:5" ht="13.5" thickTop="1">
      <c r="A37" s="150" t="s">
        <v>348</v>
      </c>
      <c r="B37" s="150" t="s">
        <v>163</v>
      </c>
      <c r="C37" s="34">
        <v>0</v>
      </c>
      <c r="D37" s="150">
        <v>104</v>
      </c>
      <c r="E37" s="34">
        <f aca="true" t="shared" si="4" ref="E37:E43">C37*D37</f>
        <v>0</v>
      </c>
    </row>
    <row r="38" spans="1:5" ht="12.75">
      <c r="A38" s="34" t="s">
        <v>5</v>
      </c>
      <c r="B38" s="34" t="s">
        <v>164</v>
      </c>
      <c r="C38" s="34">
        <v>15</v>
      </c>
      <c r="D38" s="34">
        <v>19</v>
      </c>
      <c r="E38" s="34">
        <f t="shared" si="4"/>
        <v>285</v>
      </c>
    </row>
    <row r="39" spans="1:5" ht="12.75">
      <c r="A39" s="34"/>
      <c r="B39" s="34" t="s">
        <v>165</v>
      </c>
      <c r="C39" s="34">
        <v>45</v>
      </c>
      <c r="D39" s="34">
        <v>1.5</v>
      </c>
      <c r="E39" s="34">
        <f t="shared" si="4"/>
        <v>67.5</v>
      </c>
    </row>
    <row r="40" spans="1:5" ht="12.75">
      <c r="A40" s="34"/>
      <c r="B40" s="34" t="s">
        <v>166</v>
      </c>
      <c r="C40" s="34">
        <v>0</v>
      </c>
      <c r="D40" s="34">
        <v>23</v>
      </c>
      <c r="E40" s="34">
        <f t="shared" si="4"/>
        <v>0</v>
      </c>
    </row>
    <row r="41" spans="1:5" ht="12.75">
      <c r="A41" s="34"/>
      <c r="B41" s="34" t="s">
        <v>169</v>
      </c>
      <c r="C41" s="34">
        <v>0</v>
      </c>
      <c r="D41" s="34">
        <v>514</v>
      </c>
      <c r="E41" s="34">
        <f t="shared" si="4"/>
        <v>0</v>
      </c>
    </row>
    <row r="42" spans="1:5" ht="12.75">
      <c r="A42" s="34"/>
      <c r="B42" s="34" t="s">
        <v>170</v>
      </c>
      <c r="C42" s="34">
        <v>2</v>
      </c>
      <c r="D42" s="34">
        <v>80</v>
      </c>
      <c r="E42" s="34">
        <f t="shared" si="4"/>
        <v>160</v>
      </c>
    </row>
    <row r="43" spans="1:5" ht="13.5" thickBot="1">
      <c r="A43" s="34"/>
      <c r="B43" s="46" t="s">
        <v>171</v>
      </c>
      <c r="C43" s="46">
        <v>2</v>
      </c>
      <c r="D43" s="34">
        <v>0</v>
      </c>
      <c r="E43" s="34">
        <f t="shared" si="4"/>
        <v>0</v>
      </c>
    </row>
    <row r="44" spans="1:5" ht="14.25" thickBot="1" thickTop="1">
      <c r="A44" s="46"/>
      <c r="B44" s="46" t="s">
        <v>344</v>
      </c>
      <c r="C44" s="46">
        <f>SUM(C37:C43)</f>
        <v>64</v>
      </c>
      <c r="D44" s="149" t="s">
        <v>5</v>
      </c>
      <c r="E44" s="149">
        <f>SUM(E37:E43)</f>
        <v>512.5</v>
      </c>
    </row>
    <row r="45" spans="1:5" ht="13.5" thickTop="1">
      <c r="A45" s="160"/>
      <c r="B45" s="161" t="s">
        <v>195</v>
      </c>
      <c r="C45" s="50"/>
      <c r="D45" s="50"/>
      <c r="E45" s="162">
        <f>SUM(E5:E44)-E44-E36-E28-E20-E12</f>
        <v>9176</v>
      </c>
    </row>
    <row r="46" spans="1:5" ht="13.5" thickBot="1">
      <c r="A46" s="163"/>
      <c r="B46" s="164" t="s">
        <v>196</v>
      </c>
      <c r="C46" s="152"/>
      <c r="D46" s="152"/>
      <c r="E46" s="165">
        <f>+(E45/365)</f>
        <v>25.13972602739726</v>
      </c>
    </row>
    <row r="47" ht="13.5" thickTop="1"/>
    <row r="48" ht="12.75">
      <c r="A48" t="s">
        <v>197</v>
      </c>
    </row>
    <row r="51" spans="1:5" ht="12.75">
      <c r="A51" s="48" t="s">
        <v>198</v>
      </c>
      <c r="E51" s="88">
        <v>37067</v>
      </c>
    </row>
    <row r="52" ht="12.75">
      <c r="A52" s="48"/>
    </row>
    <row r="53" ht="12.75">
      <c r="A53" s="48"/>
    </row>
    <row r="54" ht="12.75">
      <c r="A54" s="48"/>
    </row>
    <row r="55" ht="12.75">
      <c r="A55" s="48"/>
    </row>
  </sheetData>
  <sheetProtection/>
  <mergeCells count="2">
    <mergeCell ref="A2:E2"/>
    <mergeCell ref="A1:E1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4">
      <selection activeCell="C30" sqref="C30"/>
    </sheetView>
  </sheetViews>
  <sheetFormatPr defaultColWidth="9.140625" defaultRowHeight="12.75"/>
  <cols>
    <col min="1" max="1" width="20.7109375" style="0" customWidth="1"/>
    <col min="2" max="2" width="10.00390625" style="0" bestFit="1" customWidth="1"/>
    <col min="3" max="3" width="25.7109375" style="0" customWidth="1"/>
    <col min="4" max="4" width="10.00390625" style="0" bestFit="1" customWidth="1"/>
  </cols>
  <sheetData>
    <row r="2" ht="12.75">
      <c r="A2" t="s">
        <v>385</v>
      </c>
    </row>
    <row r="3" ht="13.5" thickBot="1"/>
    <row r="4" spans="1:3" ht="15" customHeight="1" thickBot="1">
      <c r="A4" s="68" t="s">
        <v>386</v>
      </c>
      <c r="B4" s="68" t="s">
        <v>387</v>
      </c>
      <c r="C4" s="68" t="s">
        <v>388</v>
      </c>
    </row>
    <row r="5" spans="1:3" ht="30" customHeight="1">
      <c r="A5" s="289" t="s">
        <v>389</v>
      </c>
      <c r="B5" s="259">
        <v>1</v>
      </c>
      <c r="C5" s="259" t="s">
        <v>390</v>
      </c>
    </row>
    <row r="6" spans="1:3" ht="26.25">
      <c r="A6" s="290" t="s">
        <v>391</v>
      </c>
      <c r="B6" s="137">
        <v>1.15</v>
      </c>
      <c r="C6" s="137"/>
    </row>
    <row r="7" spans="1:3" ht="34.5" customHeight="1">
      <c r="A7" s="290" t="s">
        <v>392</v>
      </c>
      <c r="B7" s="137">
        <v>48.16</v>
      </c>
      <c r="C7" s="137"/>
    </row>
    <row r="8" spans="1:3" ht="28.5">
      <c r="A8" s="290" t="s">
        <v>405</v>
      </c>
      <c r="B8" s="137">
        <v>524</v>
      </c>
      <c r="C8" s="137" t="s">
        <v>406</v>
      </c>
    </row>
    <row r="9" spans="1:3" ht="26.25">
      <c r="A9" s="290" t="s">
        <v>393</v>
      </c>
      <c r="B9" s="291">
        <f>(12.46*B5*B6*B7)/B8</f>
        <v>1.3169554198473283</v>
      </c>
      <c r="C9" s="137" t="s">
        <v>394</v>
      </c>
    </row>
    <row r="10" spans="1:3" ht="26.25">
      <c r="A10" s="290" t="s">
        <v>395</v>
      </c>
      <c r="B10" s="292">
        <v>44000</v>
      </c>
      <c r="C10" s="137" t="s">
        <v>396</v>
      </c>
    </row>
    <row r="11" spans="1:3" ht="26.25">
      <c r="A11" s="290" t="s">
        <v>397</v>
      </c>
      <c r="B11" s="292">
        <f>+B10*42</f>
        <v>1848000</v>
      </c>
      <c r="C11" s="137" t="s">
        <v>5</v>
      </c>
    </row>
    <row r="12" spans="1:3" ht="34.5" customHeight="1">
      <c r="A12" s="290" t="s">
        <v>398</v>
      </c>
      <c r="B12" s="291">
        <f>+(B11*B9)/1000</f>
        <v>2433.7336158778626</v>
      </c>
      <c r="C12" s="137"/>
    </row>
    <row r="13" spans="1:3" ht="26.25">
      <c r="A13" s="290" t="s">
        <v>399</v>
      </c>
      <c r="B13" s="291">
        <f>+B12*0.01</f>
        <v>24.337336158778626</v>
      </c>
      <c r="C13" s="290" t="s">
        <v>400</v>
      </c>
    </row>
    <row r="14" spans="1:3" ht="26.25">
      <c r="A14" s="290" t="s">
        <v>401</v>
      </c>
      <c r="B14" s="292">
        <v>316800</v>
      </c>
      <c r="C14" s="137" t="s">
        <v>570</v>
      </c>
    </row>
    <row r="15" spans="1:3" ht="26.25">
      <c r="A15" s="290" t="s">
        <v>403</v>
      </c>
      <c r="B15" s="291">
        <f>+(B14*B9)/1000</f>
        <v>417.2114770076336</v>
      </c>
      <c r="C15" s="137"/>
    </row>
    <row r="16" spans="1:3" ht="26.25">
      <c r="A16" s="290" t="s">
        <v>404</v>
      </c>
      <c r="B16" s="291">
        <f>+B15*0.01</f>
        <v>4.172114770076337</v>
      </c>
      <c r="C16" s="290" t="s">
        <v>400</v>
      </c>
    </row>
    <row r="17" spans="1:3" ht="12.75">
      <c r="A17" s="121"/>
      <c r="B17" s="253"/>
      <c r="C17" s="121"/>
    </row>
  </sheetData>
  <sheetProtection/>
  <printOptions horizontalCentered="1"/>
  <pageMargins left="0.75" right="0.75" top="1" bottom="1" header="0.5" footer="0.5"/>
  <pageSetup horizontalDpi="400" verticalDpi="400" orientation="portrait" r:id="rId1"/>
  <headerFooter alignWithMargins="0">
    <oddHeader>&amp;C&amp;"Arial,Bold"&amp;12ALTERNATIVE 3
TRUCK LOADING EMISSIONS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D19">
      <selection activeCell="J34" sqref="J34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100"/>
      <c r="B2" s="101"/>
      <c r="C2" s="101"/>
      <c r="E2" s="395" t="s">
        <v>90</v>
      </c>
      <c r="F2" s="396"/>
      <c r="G2" s="396"/>
      <c r="H2" s="396"/>
      <c r="I2" s="396"/>
      <c r="J2" s="396"/>
      <c r="M2" s="101"/>
      <c r="N2" s="101"/>
    </row>
    <row r="3" spans="1:14" ht="17.25">
      <c r="A3" s="100"/>
      <c r="B3" s="101"/>
      <c r="C3" s="101"/>
      <c r="E3" s="395" t="s">
        <v>91</v>
      </c>
      <c r="F3" s="396"/>
      <c r="G3" s="396"/>
      <c r="H3" s="396"/>
      <c r="I3" s="396"/>
      <c r="J3" s="396"/>
      <c r="M3" s="101"/>
      <c r="N3" s="101"/>
    </row>
    <row r="4" spans="1:14" ht="18" thickBot="1">
      <c r="A4" s="100"/>
      <c r="B4" s="101"/>
      <c r="C4" s="101"/>
      <c r="F4" s="100"/>
      <c r="G4" s="101"/>
      <c r="H4" s="101"/>
      <c r="M4" s="101"/>
      <c r="N4" s="101"/>
    </row>
    <row r="5" spans="1:15" ht="18" thickBot="1">
      <c r="A5" s="102"/>
      <c r="B5" s="103"/>
      <c r="C5" s="103"/>
      <c r="D5" s="389" t="s">
        <v>92</v>
      </c>
      <c r="E5" s="104"/>
      <c r="F5" s="389" t="s">
        <v>93</v>
      </c>
      <c r="G5" s="103"/>
      <c r="H5" s="397" t="s">
        <v>94</v>
      </c>
      <c r="I5" s="397" t="s">
        <v>95</v>
      </c>
      <c r="J5" s="397" t="s">
        <v>96</v>
      </c>
      <c r="K5" s="356" t="s">
        <v>97</v>
      </c>
      <c r="L5" s="357"/>
      <c r="M5" s="393" t="s">
        <v>98</v>
      </c>
      <c r="N5" s="392"/>
      <c r="O5" s="388" t="s">
        <v>99</v>
      </c>
    </row>
    <row r="6" spans="1:15" ht="18" customHeight="1" thickBot="1">
      <c r="A6" s="108"/>
      <c r="B6" s="109"/>
      <c r="C6" s="109"/>
      <c r="D6" s="390"/>
      <c r="E6" s="50"/>
      <c r="F6" s="390"/>
      <c r="G6" s="109"/>
      <c r="H6" s="390"/>
      <c r="I6" s="390"/>
      <c r="J6" s="390"/>
      <c r="K6" s="388" t="s">
        <v>100</v>
      </c>
      <c r="L6" s="383" t="s">
        <v>101</v>
      </c>
      <c r="M6" s="388" t="s">
        <v>100</v>
      </c>
      <c r="N6" s="383" t="s">
        <v>101</v>
      </c>
      <c r="O6" s="392"/>
    </row>
    <row r="7" spans="1:15" ht="12.75" customHeight="1" thickBot="1">
      <c r="A7" s="385" t="s">
        <v>102</v>
      </c>
      <c r="B7" s="111"/>
      <c r="C7" s="111"/>
      <c r="D7" s="390"/>
      <c r="E7" s="112"/>
      <c r="F7" s="390"/>
      <c r="G7" s="111"/>
      <c r="H7" s="390"/>
      <c r="I7" s="390"/>
      <c r="J7" s="390"/>
      <c r="K7" s="388"/>
      <c r="L7" s="394"/>
      <c r="M7" s="388"/>
      <c r="N7" s="394"/>
      <c r="O7" s="392"/>
    </row>
    <row r="8" spans="1:15" ht="13.5" thickBot="1">
      <c r="A8" s="386"/>
      <c r="B8" s="111"/>
      <c r="C8" s="111"/>
      <c r="D8" s="390"/>
      <c r="E8" s="112"/>
      <c r="F8" s="390"/>
      <c r="G8" s="111"/>
      <c r="H8" s="390"/>
      <c r="I8" s="390"/>
      <c r="J8" s="390"/>
      <c r="K8" s="388"/>
      <c r="L8" s="394"/>
      <c r="M8" s="388"/>
      <c r="N8" s="394"/>
      <c r="O8" s="392"/>
    </row>
    <row r="9" spans="1:15" ht="13.5" thickBot="1">
      <c r="A9" s="387"/>
      <c r="B9" s="113"/>
      <c r="C9" s="113"/>
      <c r="D9" s="391"/>
      <c r="E9" s="114"/>
      <c r="F9" s="391"/>
      <c r="G9" s="113"/>
      <c r="H9" s="391"/>
      <c r="I9" s="391"/>
      <c r="J9" s="391"/>
      <c r="K9" s="388"/>
      <c r="L9" s="384"/>
      <c r="M9" s="388"/>
      <c r="N9" s="384"/>
      <c r="O9" s="392"/>
    </row>
    <row r="10" spans="1:15" ht="13.5" thickBot="1">
      <c r="A10" s="115" t="s">
        <v>103</v>
      </c>
      <c r="B10" s="116"/>
      <c r="C10" s="116"/>
      <c r="D10" s="117">
        <v>1</v>
      </c>
      <c r="E10" s="117"/>
      <c r="F10" s="117">
        <v>3</v>
      </c>
      <c r="G10" s="117"/>
      <c r="H10" s="117">
        <v>8</v>
      </c>
      <c r="I10" s="117">
        <v>7.7</v>
      </c>
      <c r="J10" s="117">
        <v>0.5</v>
      </c>
      <c r="K10" s="83">
        <f>+D10*H10*I10*J10</f>
        <v>30.8</v>
      </c>
      <c r="L10" s="83">
        <f>+F10*H10*I10*J10</f>
        <v>92.4</v>
      </c>
      <c r="M10" s="118">
        <f>+D10*H10*I10</f>
        <v>61.6</v>
      </c>
      <c r="N10" s="118">
        <f>+F10*H10*I10</f>
        <v>184.8</v>
      </c>
      <c r="O10" s="68" t="s">
        <v>104</v>
      </c>
    </row>
    <row r="12" ht="13.5" thickBot="1">
      <c r="C12" s="90"/>
    </row>
    <row r="13" spans="1:15" ht="13.5" customHeight="1" thickBot="1">
      <c r="A13" s="80" t="s">
        <v>105</v>
      </c>
      <c r="B13" s="104"/>
      <c r="C13" s="104"/>
      <c r="D13" s="104"/>
      <c r="E13" s="104"/>
      <c r="F13" s="104"/>
      <c r="G13" s="104"/>
      <c r="H13" s="104"/>
      <c r="I13" s="104"/>
      <c r="J13" s="119"/>
      <c r="K13" s="84" t="s">
        <v>97</v>
      </c>
      <c r="L13" s="85"/>
      <c r="M13" s="120" t="s">
        <v>98</v>
      </c>
      <c r="N13" s="85"/>
      <c r="O13" s="383" t="s">
        <v>99</v>
      </c>
    </row>
    <row r="14" spans="1:15" ht="66" thickBot="1">
      <c r="A14" s="67" t="s">
        <v>106</v>
      </c>
      <c r="B14" s="50"/>
      <c r="C14" s="50"/>
      <c r="D14" s="121"/>
      <c r="E14" s="121"/>
      <c r="F14" s="110" t="s">
        <v>107</v>
      </c>
      <c r="G14" s="121"/>
      <c r="H14" s="110" t="s">
        <v>108</v>
      </c>
      <c r="I14" s="110" t="s">
        <v>109</v>
      </c>
      <c r="J14" s="122" t="s">
        <v>96</v>
      </c>
      <c r="K14" s="123" t="s">
        <v>110</v>
      </c>
      <c r="L14" s="94" t="s">
        <v>111</v>
      </c>
      <c r="M14" s="124" t="s">
        <v>110</v>
      </c>
      <c r="N14" s="122" t="s">
        <v>112</v>
      </c>
      <c r="O14" s="384"/>
    </row>
    <row r="15" spans="1:15" ht="13.5" thickBot="1">
      <c r="A15" s="64" t="s">
        <v>103</v>
      </c>
      <c r="B15" s="81"/>
      <c r="C15" s="81"/>
      <c r="D15" s="53"/>
      <c r="E15" s="81"/>
      <c r="F15" s="53">
        <v>50</v>
      </c>
      <c r="G15" s="81"/>
      <c r="H15" s="53">
        <v>100</v>
      </c>
      <c r="I15" s="53">
        <v>1.2E-05</v>
      </c>
      <c r="J15" s="52">
        <v>0.5</v>
      </c>
      <c r="K15" s="53">
        <f>+F15*I15*J15</f>
        <v>0.00030000000000000003</v>
      </c>
      <c r="L15" s="52">
        <f>+H15*I15*0.34</f>
        <v>0.00040800000000000005</v>
      </c>
      <c r="M15" s="51">
        <f>+F15*I15</f>
        <v>0.0006000000000000001</v>
      </c>
      <c r="N15" s="51">
        <f>+H15*I15</f>
        <v>0.0012000000000000001</v>
      </c>
      <c r="O15" s="87" t="s">
        <v>113</v>
      </c>
    </row>
    <row r="16" spans="1:15" ht="12.75">
      <c r="A16" s="8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19"/>
    </row>
    <row r="17" spans="1:15" ht="12.75">
      <c r="A17" s="67" t="s">
        <v>114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95"/>
    </row>
    <row r="18" spans="1:15" ht="13.5" thickBot="1">
      <c r="A18" s="69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ht="16.5" customHeight="1"/>
    <row r="20" ht="13.5" thickBot="1"/>
    <row r="21" spans="1:15" ht="53.25" thickBot="1">
      <c r="A21" s="86" t="s">
        <v>116</v>
      </c>
      <c r="B21" s="93"/>
      <c r="C21" s="84"/>
      <c r="D21" s="92"/>
      <c r="E21" s="93"/>
      <c r="F21" s="92" t="s">
        <v>117</v>
      </c>
      <c r="G21" s="93"/>
      <c r="H21" s="92" t="s">
        <v>118</v>
      </c>
      <c r="I21" s="92" t="s">
        <v>119</v>
      </c>
      <c r="J21" s="106" t="s">
        <v>120</v>
      </c>
      <c r="K21" s="105" t="s">
        <v>110</v>
      </c>
      <c r="L21" s="106" t="s">
        <v>121</v>
      </c>
      <c r="M21" s="105" t="s">
        <v>122</v>
      </c>
      <c r="N21" s="106" t="s">
        <v>123</v>
      </c>
      <c r="O21" s="107" t="s">
        <v>99</v>
      </c>
    </row>
    <row r="22" spans="1:15" ht="13.5" thickBot="1">
      <c r="A22" s="64" t="s">
        <v>103</v>
      </c>
      <c r="B22" s="81"/>
      <c r="C22" s="81"/>
      <c r="D22" s="53"/>
      <c r="E22" s="81"/>
      <c r="F22" s="53">
        <v>570</v>
      </c>
      <c r="G22" s="81"/>
      <c r="H22" s="53">
        <v>0</v>
      </c>
      <c r="I22" s="53">
        <v>0.5</v>
      </c>
      <c r="J22" s="127">
        <f>1.7*0.075/1.5*331/235*25/0.15*0.5</f>
        <v>9.976950354609931</v>
      </c>
      <c r="K22" s="128">
        <f>+H22*J22</f>
        <v>0</v>
      </c>
      <c r="L22" s="127">
        <f>I22*J22</f>
        <v>4.988475177304966</v>
      </c>
      <c r="M22" s="127">
        <f>K22*F22/2000</f>
        <v>0</v>
      </c>
      <c r="N22" s="127">
        <f>L22*F22/2000</f>
        <v>1.421715425531915</v>
      </c>
      <c r="O22" s="87" t="s">
        <v>124</v>
      </c>
    </row>
    <row r="24" ht="13.5" thickBot="1"/>
    <row r="25" spans="3:10" ht="13.5" thickBot="1">
      <c r="C25" s="80" t="s">
        <v>125</v>
      </c>
      <c r="D25" s="104"/>
      <c r="E25" s="104"/>
      <c r="F25" s="104"/>
      <c r="G25" s="104"/>
      <c r="H25" s="104"/>
      <c r="I25" s="80" t="s">
        <v>126</v>
      </c>
      <c r="J25" s="119" t="s">
        <v>127</v>
      </c>
    </row>
    <row r="26" spans="3:10" ht="12.75">
      <c r="C26" s="67" t="s">
        <v>128</v>
      </c>
      <c r="D26" s="50"/>
      <c r="E26" s="50"/>
      <c r="F26" s="50"/>
      <c r="G26" s="50" t="s">
        <v>129</v>
      </c>
      <c r="H26" s="50"/>
      <c r="I26" s="129">
        <f>+K10+K15+K22</f>
        <v>30.8003</v>
      </c>
      <c r="J26" s="129">
        <f>+L10+L15+L22</f>
        <v>97.38888317730496</v>
      </c>
    </row>
    <row r="27" spans="3:10" ht="13.5" thickBot="1">
      <c r="C27" s="69" t="s">
        <v>130</v>
      </c>
      <c r="D27" s="125"/>
      <c r="E27" s="125"/>
      <c r="F27" s="125"/>
      <c r="G27" s="125"/>
      <c r="H27" s="125"/>
      <c r="I27" s="130">
        <f>+M10+M15+M22</f>
        <v>61.6006</v>
      </c>
      <c r="J27" s="130">
        <f>+N10+N15+N22</f>
        <v>186.22291542553194</v>
      </c>
    </row>
    <row r="29" spans="1:3" ht="12.75">
      <c r="A29" s="48" t="s">
        <v>131</v>
      </c>
      <c r="B29" t="s">
        <v>5</v>
      </c>
      <c r="C29" s="48" t="s">
        <v>5</v>
      </c>
    </row>
  </sheetData>
  <sheetProtection/>
  <mergeCells count="16">
    <mergeCell ref="E2:J2"/>
    <mergeCell ref="E3:J3"/>
    <mergeCell ref="L6:L9"/>
    <mergeCell ref="H5:H9"/>
    <mergeCell ref="I5:I9"/>
    <mergeCell ref="J5:J9"/>
    <mergeCell ref="F5:F9"/>
    <mergeCell ref="O13:O14"/>
    <mergeCell ref="A7:A9"/>
    <mergeCell ref="K6:K9"/>
    <mergeCell ref="D5:D9"/>
    <mergeCell ref="O5:O9"/>
    <mergeCell ref="K5:L5"/>
    <mergeCell ref="M5:N5"/>
    <mergeCell ref="M6:M9"/>
    <mergeCell ref="N6:N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5">
      <selection activeCell="E20" sqref="E20"/>
    </sheetView>
  </sheetViews>
  <sheetFormatPr defaultColWidth="9.140625" defaultRowHeight="12.75"/>
  <cols>
    <col min="1" max="1" width="22.7109375" style="0" customWidth="1"/>
    <col min="2" max="2" width="10.7109375" style="0" customWidth="1"/>
    <col min="5" max="5" width="30.7109375" style="0" customWidth="1"/>
  </cols>
  <sheetData>
    <row r="3" ht="13.5" thickBot="1"/>
    <row r="4" spans="1:5" ht="27" thickBot="1">
      <c r="A4" s="68" t="s">
        <v>418</v>
      </c>
      <c r="B4" s="68" t="s">
        <v>419</v>
      </c>
      <c r="C4" s="71" t="s">
        <v>420</v>
      </c>
      <c r="D4" s="71" t="s">
        <v>421</v>
      </c>
      <c r="E4" s="68" t="s">
        <v>136</v>
      </c>
    </row>
    <row r="5" spans="1:5" ht="35.25" thickBot="1">
      <c r="A5" s="295" t="s">
        <v>422</v>
      </c>
      <c r="B5" s="296">
        <v>200</v>
      </c>
      <c r="C5" s="297" t="s">
        <v>423</v>
      </c>
      <c r="D5" s="296"/>
      <c r="E5" s="298" t="s">
        <v>424</v>
      </c>
    </row>
    <row r="6" spans="1:5" ht="23.25">
      <c r="A6" s="299" t="s">
        <v>425</v>
      </c>
      <c r="B6" s="300">
        <v>0</v>
      </c>
      <c r="C6" s="300">
        <v>0</v>
      </c>
      <c r="D6" s="300">
        <v>0</v>
      </c>
      <c r="E6" s="301" t="s">
        <v>426</v>
      </c>
    </row>
    <row r="7" spans="1:5" ht="12.75">
      <c r="A7" s="302" t="s">
        <v>427</v>
      </c>
      <c r="B7" s="20">
        <v>5</v>
      </c>
      <c r="C7" s="20">
        <v>5</v>
      </c>
      <c r="D7" s="20">
        <f>+B7*C7</f>
        <v>25</v>
      </c>
      <c r="E7" s="303" t="s">
        <v>428</v>
      </c>
    </row>
    <row r="8" spans="1:5" ht="12.75">
      <c r="A8" s="304" t="s">
        <v>429</v>
      </c>
      <c r="B8" s="20">
        <v>18</v>
      </c>
      <c r="C8" s="20">
        <v>8</v>
      </c>
      <c r="D8" s="20">
        <f>+B8*C8</f>
        <v>144</v>
      </c>
      <c r="E8" s="303" t="s">
        <v>430</v>
      </c>
    </row>
    <row r="9" spans="1:5" ht="12.75">
      <c r="A9" s="304" t="s">
        <v>431</v>
      </c>
      <c r="B9" s="20">
        <v>8</v>
      </c>
      <c r="C9" s="20">
        <v>36</v>
      </c>
      <c r="D9" s="20">
        <f>+B9*C9</f>
        <v>288</v>
      </c>
      <c r="E9" s="303" t="s">
        <v>432</v>
      </c>
    </row>
    <row r="10" spans="1:5" ht="12.75">
      <c r="A10" s="304" t="s">
        <v>433</v>
      </c>
      <c r="B10" s="20">
        <v>3</v>
      </c>
      <c r="C10" s="20">
        <v>63</v>
      </c>
      <c r="D10" s="20">
        <f>+B10*C10</f>
        <v>189</v>
      </c>
      <c r="E10" s="303" t="s">
        <v>434</v>
      </c>
    </row>
    <row r="11" spans="1:5" ht="13.5" thickBot="1">
      <c r="A11" s="305" t="s">
        <v>435</v>
      </c>
      <c r="B11" s="306">
        <v>5</v>
      </c>
      <c r="C11" s="306">
        <v>63</v>
      </c>
      <c r="D11" s="306">
        <f>+B11*C11</f>
        <v>315</v>
      </c>
      <c r="E11" s="307" t="s">
        <v>436</v>
      </c>
    </row>
    <row r="12" spans="1:5" ht="23.25">
      <c r="A12" s="308" t="s">
        <v>437</v>
      </c>
      <c r="B12" s="300">
        <v>161</v>
      </c>
      <c r="C12" s="309" t="s">
        <v>423</v>
      </c>
      <c r="D12" s="300"/>
      <c r="E12" s="301" t="s">
        <v>438</v>
      </c>
    </row>
    <row r="13" spans="1:5" ht="23.25">
      <c r="A13" s="304" t="s">
        <v>439</v>
      </c>
      <c r="B13" s="20">
        <v>161</v>
      </c>
      <c r="C13" s="20">
        <v>70</v>
      </c>
      <c r="D13" s="310">
        <f>+B12*C13</f>
        <v>11270</v>
      </c>
      <c r="E13" s="311" t="s">
        <v>440</v>
      </c>
    </row>
    <row r="14" spans="1:5" ht="13.5" thickBot="1">
      <c r="A14" s="305" t="s">
        <v>441</v>
      </c>
      <c r="B14" s="306">
        <v>161</v>
      </c>
      <c r="C14" s="306">
        <v>75</v>
      </c>
      <c r="D14" s="312">
        <f>+B12*C14</f>
        <v>12075</v>
      </c>
      <c r="E14" s="307"/>
    </row>
    <row r="15" spans="1:5" ht="12.75">
      <c r="A15" s="80" t="s">
        <v>442</v>
      </c>
      <c r="B15" s="63"/>
      <c r="C15" s="63"/>
      <c r="D15" s="313" t="s">
        <v>5</v>
      </c>
      <c r="E15" s="119"/>
    </row>
    <row r="16" spans="1:5" ht="13.5" thickBot="1">
      <c r="A16" s="69" t="s">
        <v>443</v>
      </c>
      <c r="B16" s="314"/>
      <c r="C16" s="314"/>
      <c r="D16" s="315">
        <f>+SUM(D6:D15)</f>
        <v>24306</v>
      </c>
      <c r="E16" s="126"/>
    </row>
    <row r="19" spans="1:5" ht="12.75">
      <c r="A19" s="48" t="s">
        <v>198</v>
      </c>
      <c r="E19" s="88">
        <v>37067</v>
      </c>
    </row>
  </sheetData>
  <sheetProtection/>
  <printOptions horizontalCentered="1"/>
  <pageMargins left="0.75" right="0.75" top="1" bottom="1" header="0.5" footer="0.5"/>
  <pageSetup horizontalDpi="400" verticalDpi="400" orientation="portrait" r:id="rId1"/>
  <headerFooter alignWithMargins="0">
    <oddHeader>&amp;C&amp;"Arial,Bold"ALTERNATIVE 3
Ethanol Truck Transport Information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J27">
      <selection activeCell="K33" sqref="K33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13.5" thickBot="1">
      <c r="A4" s="61" t="s">
        <v>444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445</v>
      </c>
      <c r="B12" s="354">
        <v>7</v>
      </c>
      <c r="C12" s="354">
        <f>B12*2</f>
        <v>14</v>
      </c>
      <c r="D12" s="354">
        <v>11.5</v>
      </c>
      <c r="E12" s="350">
        <f>C12*D12*B$4/453.6</f>
        <v>3.190895061728395</v>
      </c>
      <c r="F12" s="350">
        <f>C12*C$4/453.6</f>
        <v>0.36296296296296293</v>
      </c>
      <c r="G12" s="350">
        <f>C12*D12*(D$4+H$4)/453.6</f>
        <v>0.3300925925925926</v>
      </c>
      <c r="H12" s="350">
        <f>C12*(E$4+F$4)/453.6</f>
        <v>0.0478395061728395</v>
      </c>
      <c r="I12" s="350">
        <f>B12*8*G$4/453.6</f>
        <v>0.020987654320987655</v>
      </c>
      <c r="J12" s="350">
        <f>C12*D12*I$4/453.6</f>
        <v>0.31234567901234567</v>
      </c>
      <c r="K12" s="352">
        <f>C12*J$4/453.6</f>
        <v>0.02222222222222222</v>
      </c>
      <c r="L12" s="350">
        <f>C12*D12*K$4/453.6</f>
        <v>0.017746913580246913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3.5" thickBot="1">
      <c r="A14" s="316" t="s">
        <v>446</v>
      </c>
      <c r="B14" s="317">
        <v>5</v>
      </c>
      <c r="C14" s="73">
        <f aca="true" t="shared" si="0" ref="C14:C20">+B14*2</f>
        <v>10</v>
      </c>
      <c r="D14" s="73">
        <v>5</v>
      </c>
      <c r="E14" s="78">
        <f aca="true" t="shared" si="1" ref="E14:E20">C14*D14*B$6/453.6</f>
        <v>5.373677248677248</v>
      </c>
      <c r="F14" s="74" t="s">
        <v>42</v>
      </c>
      <c r="G14" s="78">
        <f aca="true" t="shared" si="2" ref="G14:G20">C14*D14*(D$6+H$6)/453.6</f>
        <v>0.16534391534391535</v>
      </c>
      <c r="H14" s="78">
        <f aca="true" t="shared" si="3" ref="H14:H20">C14*(E$6+F$6)/453.6</f>
        <v>0.0582010582010582</v>
      </c>
      <c r="I14" s="78" t="s">
        <v>42</v>
      </c>
      <c r="J14" s="74">
        <f aca="true" t="shared" si="4" ref="J14:J20">+C14*D14*I$6/453.6</f>
        <v>2.100970017636684</v>
      </c>
      <c r="K14" s="75">
        <f aca="true" t="shared" si="5" ref="K14:K20">+C14*J$6/453.6</f>
        <v>0.03461199294532628</v>
      </c>
      <c r="L14" s="74">
        <f aca="true" t="shared" si="6" ref="L14:L20">+C14*D14*K$6/453.6</f>
        <v>0.06723985890652558</v>
      </c>
    </row>
    <row r="15" spans="1:12" ht="13.5" thickBot="1">
      <c r="A15" s="318" t="s">
        <v>447</v>
      </c>
      <c r="B15" s="319">
        <v>18</v>
      </c>
      <c r="C15" s="73">
        <f t="shared" si="0"/>
        <v>36</v>
      </c>
      <c r="D15" s="73">
        <v>8</v>
      </c>
      <c r="E15" s="78">
        <f t="shared" si="1"/>
        <v>30.952380952380953</v>
      </c>
      <c r="F15" s="74" t="s">
        <v>42</v>
      </c>
      <c r="G15" s="78">
        <f t="shared" si="2"/>
        <v>0.9523809523809523</v>
      </c>
      <c r="H15" s="78">
        <f t="shared" si="3"/>
        <v>0.2095238095238095</v>
      </c>
      <c r="I15" s="78" t="s">
        <v>42</v>
      </c>
      <c r="J15" s="74">
        <f t="shared" si="4"/>
        <v>12.101587301587301</v>
      </c>
      <c r="K15" s="75">
        <f t="shared" si="5"/>
        <v>0.1246031746031746</v>
      </c>
      <c r="L15" s="74">
        <f t="shared" si="6"/>
        <v>0.3873015873015873</v>
      </c>
    </row>
    <row r="16" spans="1:12" ht="13.5" thickBot="1">
      <c r="A16" s="318" t="s">
        <v>448</v>
      </c>
      <c r="B16" s="319">
        <v>8</v>
      </c>
      <c r="C16" s="73">
        <f t="shared" si="0"/>
        <v>16</v>
      </c>
      <c r="D16" s="73">
        <v>36</v>
      </c>
      <c r="E16" s="78">
        <f t="shared" si="1"/>
        <v>61.904761904761905</v>
      </c>
      <c r="F16" s="74" t="s">
        <v>42</v>
      </c>
      <c r="G16" s="78">
        <f t="shared" si="2"/>
        <v>1.9047619047619047</v>
      </c>
      <c r="H16" s="78">
        <f t="shared" si="3"/>
        <v>0.0931216931216931</v>
      </c>
      <c r="I16" s="78" t="s">
        <v>42</v>
      </c>
      <c r="J16" s="74">
        <f t="shared" si="4"/>
        <v>24.203174603174602</v>
      </c>
      <c r="K16" s="75">
        <f t="shared" si="5"/>
        <v>0.055379188712522044</v>
      </c>
      <c r="L16" s="74">
        <f t="shared" si="6"/>
        <v>0.7746031746031746</v>
      </c>
    </row>
    <row r="17" spans="1:12" ht="13.5" thickBot="1">
      <c r="A17" s="318" t="s">
        <v>449</v>
      </c>
      <c r="B17" s="319">
        <v>3</v>
      </c>
      <c r="C17" s="73">
        <f t="shared" si="0"/>
        <v>6</v>
      </c>
      <c r="D17" s="73">
        <v>63</v>
      </c>
      <c r="E17" s="78">
        <f t="shared" si="1"/>
        <v>40.625</v>
      </c>
      <c r="F17" s="74" t="s">
        <v>42</v>
      </c>
      <c r="G17" s="78">
        <f t="shared" si="2"/>
        <v>1.25</v>
      </c>
      <c r="H17" s="78">
        <f t="shared" si="3"/>
        <v>0.034920634920634915</v>
      </c>
      <c r="I17" s="78" t="s">
        <v>42</v>
      </c>
      <c r="J17" s="74">
        <f t="shared" si="4"/>
        <v>15.883333333333331</v>
      </c>
      <c r="K17" s="75">
        <f t="shared" si="5"/>
        <v>0.020767195767195767</v>
      </c>
      <c r="L17" s="74">
        <f t="shared" si="6"/>
        <v>0.5083333333333333</v>
      </c>
    </row>
    <row r="18" spans="1:12" ht="13.5" thickBot="1">
      <c r="A18" s="318" t="s">
        <v>450</v>
      </c>
      <c r="B18" s="319">
        <v>5</v>
      </c>
      <c r="C18" s="73">
        <f t="shared" si="0"/>
        <v>10</v>
      </c>
      <c r="D18" s="73">
        <v>63</v>
      </c>
      <c r="E18" s="78">
        <f t="shared" si="1"/>
        <v>67.70833333333333</v>
      </c>
      <c r="F18" s="74" t="s">
        <v>42</v>
      </c>
      <c r="G18" s="78">
        <f t="shared" si="2"/>
        <v>2.083333333333333</v>
      </c>
      <c r="H18" s="78">
        <f t="shared" si="3"/>
        <v>0.0582010582010582</v>
      </c>
      <c r="I18" s="78" t="s">
        <v>42</v>
      </c>
      <c r="J18" s="74">
        <f t="shared" si="4"/>
        <v>26.472222222222218</v>
      </c>
      <c r="K18" s="75">
        <f t="shared" si="5"/>
        <v>0.03461199294532628</v>
      </c>
      <c r="L18" s="74">
        <f t="shared" si="6"/>
        <v>0.8472222222222222</v>
      </c>
    </row>
    <row r="19" spans="1:12" ht="39.75" thickBot="1">
      <c r="A19" s="318" t="s">
        <v>451</v>
      </c>
      <c r="B19" s="319">
        <v>161</v>
      </c>
      <c r="C19" s="73">
        <f t="shared" si="0"/>
        <v>322</v>
      </c>
      <c r="D19" s="73">
        <v>70</v>
      </c>
      <c r="E19" s="78">
        <f t="shared" si="1"/>
        <v>2422.4537037037035</v>
      </c>
      <c r="F19" s="74" t="s">
        <v>42</v>
      </c>
      <c r="G19" s="78">
        <f t="shared" si="2"/>
        <v>74.53703703703704</v>
      </c>
      <c r="H19" s="78">
        <f t="shared" si="3"/>
        <v>1.8740740740740738</v>
      </c>
      <c r="I19" s="78" t="s">
        <v>42</v>
      </c>
      <c r="J19" s="74">
        <f t="shared" si="4"/>
        <v>947.1172839506172</v>
      </c>
      <c r="K19" s="75">
        <f t="shared" si="5"/>
        <v>1.1145061728395063</v>
      </c>
      <c r="L19" s="74">
        <f t="shared" si="6"/>
        <v>30.311728395061728</v>
      </c>
    </row>
    <row r="20" spans="1:12" ht="39.75" thickBot="1">
      <c r="A20" s="320" t="s">
        <v>452</v>
      </c>
      <c r="B20" s="321">
        <v>161</v>
      </c>
      <c r="C20" s="73">
        <f t="shared" si="0"/>
        <v>322</v>
      </c>
      <c r="D20" s="73">
        <v>75</v>
      </c>
      <c r="E20" s="78">
        <f t="shared" si="1"/>
        <v>2595.486111111111</v>
      </c>
      <c r="F20" s="74" t="s">
        <v>42</v>
      </c>
      <c r="G20" s="78">
        <f t="shared" si="2"/>
        <v>79.8611111111111</v>
      </c>
      <c r="H20" s="78">
        <f t="shared" si="3"/>
        <v>1.8740740740740738</v>
      </c>
      <c r="I20" s="78" t="s">
        <v>42</v>
      </c>
      <c r="J20" s="74">
        <f t="shared" si="4"/>
        <v>1014.7685185185184</v>
      </c>
      <c r="K20" s="75">
        <f t="shared" si="5"/>
        <v>1.1145061728395063</v>
      </c>
      <c r="L20" s="74">
        <f t="shared" si="6"/>
        <v>32.47685185185185</v>
      </c>
    </row>
    <row r="21" spans="1:12" ht="13.5" thickBot="1">
      <c r="A21" s="80" t="s">
        <v>41</v>
      </c>
      <c r="B21" s="62">
        <v>200</v>
      </c>
      <c r="C21" s="65">
        <f>+B21*2</f>
        <v>400</v>
      </c>
      <c r="D21" s="65" t="s">
        <v>5</v>
      </c>
      <c r="E21" s="78" t="s">
        <v>5</v>
      </c>
      <c r="F21" s="78" t="s">
        <v>5</v>
      </c>
      <c r="G21" s="78" t="s">
        <v>5</v>
      </c>
      <c r="H21" s="78" t="s">
        <v>5</v>
      </c>
      <c r="I21" s="78" t="s">
        <v>5</v>
      </c>
      <c r="J21" s="78" t="s">
        <v>5</v>
      </c>
      <c r="K21" s="78" t="s">
        <v>5</v>
      </c>
      <c r="L21" s="79" t="s">
        <v>5</v>
      </c>
    </row>
    <row r="22" spans="1:12" ht="13.5" thickBot="1">
      <c r="A22" s="81"/>
      <c r="B22" s="53"/>
      <c r="C22" s="53"/>
      <c r="D22" s="53"/>
      <c r="E22" s="82"/>
      <c r="F22" s="82"/>
      <c r="G22" s="82"/>
      <c r="H22" s="82"/>
      <c r="I22" s="82"/>
      <c r="J22" s="82"/>
      <c r="K22" s="82"/>
      <c r="L22" s="82"/>
    </row>
    <row r="23" spans="1:12" ht="13.5" thickBot="1">
      <c r="A23" s="67" t="s">
        <v>48</v>
      </c>
      <c r="B23" s="370" t="s">
        <v>43</v>
      </c>
      <c r="C23" s="358"/>
      <c r="D23" s="357"/>
      <c r="E23" s="371" t="s">
        <v>8</v>
      </c>
      <c r="F23" s="372"/>
      <c r="G23" s="371" t="s">
        <v>9</v>
      </c>
      <c r="H23" s="373"/>
      <c r="I23" s="372"/>
      <c r="J23" s="371" t="s">
        <v>10</v>
      </c>
      <c r="K23" s="372"/>
      <c r="L23" s="83" t="s">
        <v>12</v>
      </c>
    </row>
    <row r="24" spans="1:12" ht="12.75" customHeight="1">
      <c r="A24" s="367" t="s">
        <v>453</v>
      </c>
      <c r="B24" s="354">
        <f>B12</f>
        <v>7</v>
      </c>
      <c r="C24" s="354">
        <f>C12</f>
        <v>14</v>
      </c>
      <c r="D24" s="354">
        <f>+D12</f>
        <v>11.5</v>
      </c>
      <c r="E24" s="374">
        <f>E12+F12</f>
        <v>3.5538580246913583</v>
      </c>
      <c r="F24" s="352"/>
      <c r="G24" s="374">
        <f>G12+H12+I12</f>
        <v>0.39891975308641975</v>
      </c>
      <c r="H24" s="376"/>
      <c r="I24" s="377"/>
      <c r="J24" s="374">
        <f>J12+K12</f>
        <v>0.33456790123456787</v>
      </c>
      <c r="K24" s="352"/>
      <c r="L24" s="350">
        <f>L12</f>
        <v>0.017746913580246913</v>
      </c>
    </row>
    <row r="25" spans="1:12" ht="13.5" thickBot="1">
      <c r="A25" s="368"/>
      <c r="B25" s="355"/>
      <c r="C25" s="355"/>
      <c r="D25" s="355"/>
      <c r="E25" s="375"/>
      <c r="F25" s="353"/>
      <c r="G25" s="375"/>
      <c r="H25" s="378"/>
      <c r="I25" s="379"/>
      <c r="J25" s="375"/>
      <c r="K25" s="353"/>
      <c r="L25" s="351"/>
    </row>
    <row r="26" spans="1:12" ht="39.75" customHeight="1" thickBot="1">
      <c r="A26" s="322" t="s">
        <v>454</v>
      </c>
      <c r="B26" s="77">
        <f>+B14+B15+B16+B17+B18+B19</f>
        <v>200</v>
      </c>
      <c r="C26" s="73">
        <f>+C21</f>
        <v>400</v>
      </c>
      <c r="D26" s="73">
        <f>+D14+D15+D16+D17+D18+D19</f>
        <v>245</v>
      </c>
      <c r="E26" s="371">
        <f>+E14+E15+E16+E17+E18+E19</f>
        <v>2629.017857142857</v>
      </c>
      <c r="F26" s="357"/>
      <c r="G26" s="371">
        <f>+G14+G15+G16+G17+G18+G19+H14+H15+H16+H17+H18+H19</f>
        <v>83.22089947089948</v>
      </c>
      <c r="H26" s="380"/>
      <c r="I26" s="381"/>
      <c r="J26" s="371">
        <f>+J14+J15+J16+J17+J18+J19+K14+K15+K16+K17+K18+K19</f>
        <v>1029.2630511463847</v>
      </c>
      <c r="K26" s="357"/>
      <c r="L26" s="75">
        <f>+L14+L15+L16+L17+L18+L19</f>
        <v>32.89642857142857</v>
      </c>
    </row>
    <row r="27" spans="1:12" ht="39.75" customHeight="1" thickBot="1">
      <c r="A27" s="86" t="s">
        <v>455</v>
      </c>
      <c r="B27" s="65">
        <f>+B20</f>
        <v>161</v>
      </c>
      <c r="C27" s="65">
        <f>+C20</f>
        <v>322</v>
      </c>
      <c r="D27" s="65">
        <f>+D20</f>
        <v>75</v>
      </c>
      <c r="E27" s="371">
        <f>+E20</f>
        <v>2595.486111111111</v>
      </c>
      <c r="F27" s="372"/>
      <c r="G27" s="371">
        <f>+G20+H20</f>
        <v>81.73518518518517</v>
      </c>
      <c r="H27" s="373"/>
      <c r="I27" s="372"/>
      <c r="J27" s="371">
        <f>J20+K20</f>
        <v>1015.8830246913578</v>
      </c>
      <c r="K27" s="372"/>
      <c r="L27" s="79">
        <f>L20</f>
        <v>32.47685185185185</v>
      </c>
    </row>
    <row r="29" ht="12.75">
      <c r="A29" s="48" t="s">
        <v>64</v>
      </c>
    </row>
    <row r="30" ht="12.75">
      <c r="A30" s="48" t="s">
        <v>65</v>
      </c>
    </row>
    <row r="31" ht="12.75">
      <c r="A31" s="48" t="s">
        <v>66</v>
      </c>
    </row>
    <row r="32" ht="12.75">
      <c r="A32" s="48" t="s">
        <v>67</v>
      </c>
    </row>
    <row r="33" ht="12.75">
      <c r="L33" s="88">
        <v>37067</v>
      </c>
    </row>
    <row r="34" ht="12.75">
      <c r="A34" s="48"/>
    </row>
    <row r="36" ht="12.75">
      <c r="A36" s="48" t="s">
        <v>198</v>
      </c>
    </row>
    <row r="37" ht="12.75">
      <c r="L37" s="88"/>
    </row>
  </sheetData>
  <sheetProtection/>
  <mergeCells count="41">
    <mergeCell ref="G26:I26"/>
    <mergeCell ref="J26:K26"/>
    <mergeCell ref="E26:F26"/>
    <mergeCell ref="E27:F27"/>
    <mergeCell ref="G27:I27"/>
    <mergeCell ref="J27:K27"/>
    <mergeCell ref="E24:F25"/>
    <mergeCell ref="G24:I25"/>
    <mergeCell ref="J24:K25"/>
    <mergeCell ref="L24:L25"/>
    <mergeCell ref="A24:A25"/>
    <mergeCell ref="B24:B25"/>
    <mergeCell ref="C24:C25"/>
    <mergeCell ref="D24:D25"/>
    <mergeCell ref="J12:J13"/>
    <mergeCell ref="K12:K13"/>
    <mergeCell ref="L12:L13"/>
    <mergeCell ref="B23:D23"/>
    <mergeCell ref="E23:F23"/>
    <mergeCell ref="G23:I23"/>
    <mergeCell ref="J23:K23"/>
    <mergeCell ref="E12:E13"/>
    <mergeCell ref="F12:F13"/>
    <mergeCell ref="A2:A3"/>
    <mergeCell ref="B2:C2"/>
    <mergeCell ref="D2:H2"/>
    <mergeCell ref="B9:D9"/>
    <mergeCell ref="B10:B11"/>
    <mergeCell ref="G12:G13"/>
    <mergeCell ref="H12:H13"/>
    <mergeCell ref="I12:I13"/>
    <mergeCell ref="A12:A13"/>
    <mergeCell ref="B12:B13"/>
    <mergeCell ref="C12:C13"/>
    <mergeCell ref="D12:D13"/>
    <mergeCell ref="C10:C11"/>
    <mergeCell ref="D10:D11"/>
    <mergeCell ref="E9:L9"/>
    <mergeCell ref="E10:F10"/>
    <mergeCell ref="G10:I10"/>
    <mergeCell ref="J10:K10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68" r:id="rId1"/>
  <headerFooter alignWithMargins="0">
    <oddHeader>&amp;C&amp;"Arial,Bold"&amp;12Alternative 3 Indirect Emissions 
New Workers and Ethanol Truck Transport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58">
      <selection activeCell="F38" sqref="F38"/>
    </sheetView>
  </sheetViews>
  <sheetFormatPr defaultColWidth="9.140625" defaultRowHeight="12.75"/>
  <cols>
    <col min="1" max="1" width="22.7109375" style="0" customWidth="1"/>
    <col min="2" max="6" width="10.7109375" style="0" customWidth="1"/>
  </cols>
  <sheetData>
    <row r="1" spans="1:3" ht="13.5" thickBot="1">
      <c r="A1" s="406" t="s">
        <v>456</v>
      </c>
      <c r="B1" s="358"/>
      <c r="C1" s="357"/>
    </row>
    <row r="2" spans="1:3" ht="12.75">
      <c r="A2" s="137" t="s">
        <v>457</v>
      </c>
      <c r="B2" s="137">
        <v>674520000</v>
      </c>
      <c r="C2" s="137" t="s">
        <v>458</v>
      </c>
    </row>
    <row r="3" spans="1:3" ht="12.75">
      <c r="A3" s="137" t="s">
        <v>459</v>
      </c>
      <c r="B3" s="292">
        <v>25000</v>
      </c>
      <c r="C3" s="137" t="s">
        <v>460</v>
      </c>
    </row>
    <row r="4" spans="1:3" ht="12.75">
      <c r="A4" s="137" t="s">
        <v>461</v>
      </c>
      <c r="B4" s="137">
        <f>+B2/B3</f>
        <v>26980.8</v>
      </c>
      <c r="C4" s="137" t="s">
        <v>462</v>
      </c>
    </row>
    <row r="5" spans="1:3" ht="12.75">
      <c r="A5" s="137" t="s">
        <v>463</v>
      </c>
      <c r="B5" s="137">
        <v>34.25</v>
      </c>
      <c r="C5" s="137" t="s">
        <v>464</v>
      </c>
    </row>
    <row r="6" spans="1:4" ht="12.75">
      <c r="A6" s="137" t="s">
        <v>465</v>
      </c>
      <c r="B6" s="137">
        <f>+B4*B5</f>
        <v>924092.4</v>
      </c>
      <c r="C6" s="137" t="s">
        <v>466</v>
      </c>
      <c r="D6" t="s">
        <v>5</v>
      </c>
    </row>
    <row r="7" spans="1:3" ht="12.75">
      <c r="A7" s="137" t="s">
        <v>467</v>
      </c>
      <c r="B7" s="137">
        <f>+B2*6.59/2000</f>
        <v>2222543.4</v>
      </c>
      <c r="C7" s="137" t="s">
        <v>466</v>
      </c>
    </row>
    <row r="8" spans="1:3" ht="13.5" thickBot="1">
      <c r="A8" s="268" t="s">
        <v>468</v>
      </c>
      <c r="B8" s="268">
        <f>+B7+B6</f>
        <v>3146635.8</v>
      </c>
      <c r="C8" s="268" t="s">
        <v>469</v>
      </c>
    </row>
    <row r="9" spans="1:3" ht="13.5" thickBot="1">
      <c r="A9" s="406" t="s">
        <v>470</v>
      </c>
      <c r="B9" s="407"/>
      <c r="C9" s="408"/>
    </row>
    <row r="10" spans="1:3" ht="24.75" customHeight="1">
      <c r="A10" s="289" t="s">
        <v>471</v>
      </c>
      <c r="B10" s="259">
        <v>160</v>
      </c>
      <c r="C10" s="259" t="s">
        <v>472</v>
      </c>
    </row>
    <row r="11" spans="1:3" ht="12.75">
      <c r="A11" s="137" t="s">
        <v>473</v>
      </c>
      <c r="B11" s="137">
        <f>+B10*B8</f>
        <v>503461728</v>
      </c>
      <c r="C11" s="137" t="s">
        <v>474</v>
      </c>
    </row>
    <row r="12" spans="1:3" ht="12.75">
      <c r="A12" s="137" t="s">
        <v>475</v>
      </c>
      <c r="B12" s="137">
        <v>401</v>
      </c>
      <c r="C12" s="137" t="s">
        <v>476</v>
      </c>
    </row>
    <row r="13" spans="1:3" ht="12.75">
      <c r="A13" s="137" t="s">
        <v>477</v>
      </c>
      <c r="B13" s="137">
        <f>+B11/B12</f>
        <v>1255515.5311720697</v>
      </c>
      <c r="C13" s="137" t="s">
        <v>478</v>
      </c>
    </row>
    <row r="14" spans="1:3" ht="12.75">
      <c r="A14" s="137"/>
      <c r="B14" s="137"/>
      <c r="C14" s="137"/>
    </row>
    <row r="15" spans="1:3" ht="26.25">
      <c r="A15" s="290" t="s">
        <v>479</v>
      </c>
      <c r="B15" s="137">
        <v>70</v>
      </c>
      <c r="C15" s="137" t="s">
        <v>472</v>
      </c>
    </row>
    <row r="16" spans="1:3" ht="12.75">
      <c r="A16" s="137" t="s">
        <v>473</v>
      </c>
      <c r="B16" s="137">
        <f>+B8*B15</f>
        <v>220264506</v>
      </c>
      <c r="C16" s="137" t="s">
        <v>474</v>
      </c>
    </row>
    <row r="17" spans="1:3" ht="12.75">
      <c r="A17" s="137" t="s">
        <v>475</v>
      </c>
      <c r="B17" s="137">
        <v>401</v>
      </c>
      <c r="C17" s="137" t="s">
        <v>476</v>
      </c>
    </row>
    <row r="18" spans="1:3" ht="12.75">
      <c r="A18" s="137" t="s">
        <v>477</v>
      </c>
      <c r="B18" s="137">
        <f>+B16/B17</f>
        <v>549288.0448877806</v>
      </c>
      <c r="C18" s="137" t="s">
        <v>478</v>
      </c>
    </row>
    <row r="20" ht="13.5" thickBot="1"/>
    <row r="21" spans="1:6" ht="15.75" thickBot="1">
      <c r="A21" s="68" t="s">
        <v>491</v>
      </c>
      <c r="B21" s="65" t="s">
        <v>8</v>
      </c>
      <c r="C21" s="65" t="s">
        <v>9</v>
      </c>
      <c r="D21" s="65" t="s">
        <v>10</v>
      </c>
      <c r="E21" s="65" t="s">
        <v>11</v>
      </c>
      <c r="F21" s="65" t="s">
        <v>12</v>
      </c>
    </row>
    <row r="22" spans="1:6" ht="12.75">
      <c r="A22" s="259" t="s">
        <v>480</v>
      </c>
      <c r="B22" s="259">
        <v>26.6</v>
      </c>
      <c r="C22" s="259">
        <v>10</v>
      </c>
      <c r="D22" s="259">
        <v>270</v>
      </c>
      <c r="E22" s="259">
        <v>17</v>
      </c>
      <c r="F22" s="259">
        <v>6.7</v>
      </c>
    </row>
    <row r="23" spans="1:6" ht="12.75">
      <c r="A23" s="137" t="s">
        <v>481</v>
      </c>
      <c r="B23" s="323">
        <f>+B22/453.6</f>
        <v>0.05864197530864197</v>
      </c>
      <c r="C23" s="323">
        <f>+C22/453.6</f>
        <v>0.02204585537918871</v>
      </c>
      <c r="D23" s="323">
        <f>+D22/453.6</f>
        <v>0.5952380952380952</v>
      </c>
      <c r="E23" s="323">
        <f>+E22/453.6</f>
        <v>0.03747795414462081</v>
      </c>
      <c r="F23" s="323">
        <f>+F22/453.6</f>
        <v>0.014770723104056437</v>
      </c>
    </row>
    <row r="24" ht="13.5" thickBot="1"/>
    <row r="25" spans="1:6" ht="13.5" thickBot="1">
      <c r="A25" s="405" t="s">
        <v>482</v>
      </c>
      <c r="B25" s="405" t="s">
        <v>483</v>
      </c>
      <c r="C25" s="405"/>
      <c r="D25" s="405"/>
      <c r="E25" s="405"/>
      <c r="F25" s="405"/>
    </row>
    <row r="26" spans="1:6" ht="13.5" thickBot="1">
      <c r="A26" s="400"/>
      <c r="B26" s="65" t="s">
        <v>8</v>
      </c>
      <c r="C26" s="65" t="s">
        <v>9</v>
      </c>
      <c r="D26" s="65" t="s">
        <v>10</v>
      </c>
      <c r="E26" s="65" t="s">
        <v>11</v>
      </c>
      <c r="F26" s="65" t="s">
        <v>12</v>
      </c>
    </row>
    <row r="27" spans="1:6" ht="12.75">
      <c r="A27" s="133" t="s">
        <v>484</v>
      </c>
      <c r="B27" s="324">
        <f>+B18*B23</f>
        <v>32211.33596564145</v>
      </c>
      <c r="C27" s="324">
        <f>+B18*C23</f>
        <v>12109.524799113327</v>
      </c>
      <c r="D27" s="324">
        <f>+B18*D23</f>
        <v>326957.16957605985</v>
      </c>
      <c r="E27" s="324">
        <f>+B18*E23</f>
        <v>20586.192158492657</v>
      </c>
      <c r="F27" s="324">
        <f>+B18*F23</f>
        <v>8113.38161540593</v>
      </c>
    </row>
    <row r="28" spans="1:6" ht="12.75">
      <c r="A28" s="137" t="s">
        <v>485</v>
      </c>
      <c r="B28" s="22">
        <f>+B27/2000</f>
        <v>16.105667982820727</v>
      </c>
      <c r="C28" s="22">
        <f>+C27/2000</f>
        <v>6.0547623995566635</v>
      </c>
      <c r="D28" s="22">
        <f>+D27/2000</f>
        <v>163.47858478802993</v>
      </c>
      <c r="E28" s="22">
        <f>+E27/2000</f>
        <v>10.293096079246329</v>
      </c>
      <c r="F28" s="22">
        <f>+F27/2000</f>
        <v>4.056690807702965</v>
      </c>
    </row>
    <row r="29" spans="1:6" ht="12.75">
      <c r="A29" s="137" t="s">
        <v>486</v>
      </c>
      <c r="B29" s="22">
        <f>+B27/365</f>
        <v>88.25023552230535</v>
      </c>
      <c r="C29" s="22">
        <f>+C27/365</f>
        <v>33.176780271543365</v>
      </c>
      <c r="D29" s="22">
        <f>+D27/365</f>
        <v>895.7730673316709</v>
      </c>
      <c r="E29" s="22">
        <f>+E27/365</f>
        <v>56.40052646162372</v>
      </c>
      <c r="F29" s="22">
        <f>+F27/365</f>
        <v>22.228442781934053</v>
      </c>
    </row>
    <row r="30" spans="1:6" ht="12.75">
      <c r="A30" s="137"/>
      <c r="B30" s="137"/>
      <c r="C30" s="137"/>
      <c r="D30" s="137"/>
      <c r="E30" s="137"/>
      <c r="F30" s="137"/>
    </row>
    <row r="31" spans="1:6" ht="12.75">
      <c r="A31" s="137" t="s">
        <v>487</v>
      </c>
      <c r="B31" s="22">
        <f>+B13*B23</f>
        <v>73625.91077860902</v>
      </c>
      <c r="C31" s="22">
        <f>+B13*C23</f>
        <v>27678.913826544744</v>
      </c>
      <c r="D31" s="22">
        <f>+B13*D23</f>
        <v>747330.6733167082</v>
      </c>
      <c r="E31" s="22">
        <f>+B13*E23</f>
        <v>47054.153505126065</v>
      </c>
      <c r="F31" s="22">
        <f>+B13*F23</f>
        <v>18544.87226378498</v>
      </c>
    </row>
    <row r="32" spans="1:6" ht="12.75">
      <c r="A32" s="137" t="s">
        <v>488</v>
      </c>
      <c r="B32" s="22">
        <f>+B31/2000</f>
        <v>36.812955389304506</v>
      </c>
      <c r="C32" s="22">
        <f>+C31/2000</f>
        <v>13.839456913272372</v>
      </c>
      <c r="D32" s="22">
        <f>+D31/2000</f>
        <v>373.6653366583541</v>
      </c>
      <c r="E32" s="22">
        <f>+E31/2000</f>
        <v>23.527076752563033</v>
      </c>
      <c r="F32" s="22">
        <f>+F31/2000</f>
        <v>9.272436131892489</v>
      </c>
    </row>
    <row r="33" spans="1:6" ht="12.75">
      <c r="A33" s="137" t="s">
        <v>489</v>
      </c>
      <c r="B33" s="22">
        <f>+B31/365</f>
        <v>201.71482405098362</v>
      </c>
      <c r="C33" s="22">
        <f>+C31/365</f>
        <v>75.83264062067053</v>
      </c>
      <c r="D33" s="22">
        <f>+D31/365</f>
        <v>2047.4812967581047</v>
      </c>
      <c r="E33" s="22">
        <f>+E31/365</f>
        <v>128.91548905513991</v>
      </c>
      <c r="F33" s="22">
        <f>+F31/365</f>
        <v>50.80786921584926</v>
      </c>
    </row>
    <row r="34" spans="1:6" ht="12.75">
      <c r="A34" s="50"/>
      <c r="B34" s="325"/>
      <c r="C34" s="325"/>
      <c r="D34" s="325"/>
      <c r="E34" s="325"/>
      <c r="F34" s="325"/>
    </row>
    <row r="35" spans="1:6" ht="12.75">
      <c r="A35" s="258" t="s">
        <v>490</v>
      </c>
      <c r="B35" s="325"/>
      <c r="C35" s="325"/>
      <c r="D35" s="325"/>
      <c r="E35" s="325"/>
      <c r="F35" s="325"/>
    </row>
    <row r="37" spans="1:6" ht="12.75">
      <c r="A37" s="48" t="s">
        <v>383</v>
      </c>
      <c r="F37" s="88">
        <v>37067</v>
      </c>
    </row>
  </sheetData>
  <sheetProtection/>
  <mergeCells count="4">
    <mergeCell ref="B25:F25"/>
    <mergeCell ref="A25:A26"/>
    <mergeCell ref="A1:C1"/>
    <mergeCell ref="A9:C9"/>
  </mergeCells>
  <printOptions horizontalCentered="1"/>
  <pageMargins left="0.75" right="0.75" top="1.25" bottom="1" header="0.5" footer="0.5"/>
  <pageSetup horizontalDpi="600" verticalDpi="600" orientation="landscape" scale="90" r:id="rId1"/>
  <headerFooter alignWithMargins="0">
    <oddHeader>&amp;C&amp;"Arial,Bold"INCREASED RAIL CAR EMISSIONS
ASSOCIATED WITH ETHANOL TRANSPORT
ALTERNATIVE 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3" width="20.7109375" style="0" customWidth="1"/>
    <col min="5" max="5" width="25.7109375" style="0" customWidth="1"/>
    <col min="11" max="11" width="8.421875" style="0" customWidth="1"/>
  </cols>
  <sheetData>
    <row r="1" spans="1:4" ht="17.25">
      <c r="A1" s="1"/>
      <c r="C1" s="1" t="s">
        <v>5</v>
      </c>
      <c r="D1" s="1"/>
    </row>
    <row r="2" spans="1:5" ht="17.25">
      <c r="A2" s="1"/>
      <c r="B2" s="395" t="s">
        <v>132</v>
      </c>
      <c r="C2" s="396"/>
      <c r="D2" s="396"/>
      <c r="E2" s="396"/>
    </row>
    <row r="3" spans="3:9" ht="17.25">
      <c r="C3" s="399" t="s">
        <v>5</v>
      </c>
      <c r="D3" s="399"/>
      <c r="F3" s="89" t="s">
        <v>5</v>
      </c>
      <c r="G3" s="90"/>
      <c r="H3" s="90"/>
      <c r="I3" s="90"/>
    </row>
    <row r="4" spans="2:9" ht="15">
      <c r="B4" s="382" t="s">
        <v>133</v>
      </c>
      <c r="C4" s="396"/>
      <c r="D4" s="396"/>
      <c r="E4" s="396"/>
      <c r="F4" s="91"/>
      <c r="G4" s="91"/>
      <c r="H4" s="91"/>
      <c r="I4" s="91"/>
    </row>
    <row r="5" spans="3:9" ht="15">
      <c r="C5" s="91"/>
      <c r="D5" s="91"/>
      <c r="E5" s="91"/>
      <c r="F5" s="91"/>
      <c r="G5" s="91"/>
      <c r="H5" s="91"/>
      <c r="I5" s="91"/>
    </row>
    <row r="6" spans="3:9" ht="15.75" thickBot="1">
      <c r="C6" s="91"/>
      <c r="D6" s="91"/>
      <c r="E6" s="91"/>
      <c r="F6" s="91"/>
      <c r="G6" s="91"/>
      <c r="H6" s="91"/>
      <c r="I6" s="91"/>
    </row>
    <row r="7" spans="2:9" ht="15.75" thickBot="1">
      <c r="B7" s="400" t="s">
        <v>134</v>
      </c>
      <c r="C7" s="400"/>
      <c r="D7" s="132" t="s">
        <v>135</v>
      </c>
      <c r="E7" s="132" t="s">
        <v>136</v>
      </c>
      <c r="F7" s="91"/>
      <c r="G7" s="91"/>
      <c r="H7" s="91"/>
      <c r="I7" s="91"/>
    </row>
    <row r="8" spans="2:9" ht="15.75" thickBot="1">
      <c r="B8" s="401" t="s">
        <v>137</v>
      </c>
      <c r="C8" s="401"/>
      <c r="D8" s="134">
        <v>75</v>
      </c>
      <c r="E8" s="135"/>
      <c r="F8" s="91"/>
      <c r="G8" s="91"/>
      <c r="H8" s="91"/>
      <c r="I8" s="91"/>
    </row>
    <row r="9" spans="2:9" ht="15">
      <c r="B9" s="398" t="s">
        <v>138</v>
      </c>
      <c r="C9" s="398"/>
      <c r="D9" s="136">
        <v>3.5</v>
      </c>
      <c r="E9" s="135" t="s">
        <v>139</v>
      </c>
      <c r="F9" s="91"/>
      <c r="G9" s="91"/>
      <c r="H9" s="91"/>
      <c r="I9" s="91"/>
    </row>
    <row r="10" spans="2:5" ht="12.75">
      <c r="B10" s="398" t="s">
        <v>140</v>
      </c>
      <c r="C10" s="398"/>
      <c r="D10" s="136">
        <f>+D8*D9</f>
        <v>262.5</v>
      </c>
      <c r="E10" s="137"/>
    </row>
    <row r="12" spans="1:2" ht="12.75">
      <c r="A12" s="48" t="s">
        <v>5</v>
      </c>
      <c r="B12" s="48" t="s">
        <v>88</v>
      </c>
    </row>
    <row r="13" ht="12.75">
      <c r="A13" s="48"/>
    </row>
    <row r="14" spans="1:2" ht="12.75">
      <c r="A14" s="48" t="s">
        <v>5</v>
      </c>
      <c r="B14" s="48" t="s">
        <v>89</v>
      </c>
    </row>
  </sheetData>
  <sheetProtection/>
  <mergeCells count="7">
    <mergeCell ref="B2:E2"/>
    <mergeCell ref="B10:C10"/>
    <mergeCell ref="B9:C9"/>
    <mergeCell ref="C3:D3"/>
    <mergeCell ref="B7:C7"/>
    <mergeCell ref="B8:C8"/>
    <mergeCell ref="B4:E4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6.7109375" style="0" customWidth="1"/>
    <col min="2" max="2" width="9.7109375" style="0" customWidth="1"/>
    <col min="6" max="6" width="9.00390625" style="0" customWidth="1"/>
  </cols>
  <sheetData>
    <row r="1" ht="12" customHeight="1"/>
    <row r="2" ht="17.25">
      <c r="E2" s="1" t="s">
        <v>0</v>
      </c>
    </row>
    <row r="3" ht="13.5" thickBot="1"/>
    <row r="4" spans="1:13" ht="13.5" thickTop="1">
      <c r="A4" s="2" t="s">
        <v>1</v>
      </c>
      <c r="B4" s="3"/>
      <c r="C4" s="3" t="s">
        <v>2</v>
      </c>
      <c r="D4" s="4"/>
      <c r="E4" s="5" t="s">
        <v>3</v>
      </c>
      <c r="F4" s="5"/>
      <c r="G4" s="6"/>
      <c r="H4" s="7"/>
      <c r="I4" s="8"/>
      <c r="J4" s="5" t="s">
        <v>4</v>
      </c>
      <c r="K4" s="9"/>
      <c r="L4" s="10"/>
      <c r="M4" s="11"/>
    </row>
    <row r="5" spans="1:13" ht="13.5" thickBot="1">
      <c r="A5" s="12" t="s">
        <v>5</v>
      </c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7" t="s">
        <v>8</v>
      </c>
      <c r="J5" s="15" t="s">
        <v>9</v>
      </c>
      <c r="K5" s="15" t="s">
        <v>10</v>
      </c>
      <c r="L5" s="15" t="s">
        <v>11</v>
      </c>
      <c r="M5" s="18" t="s">
        <v>12</v>
      </c>
    </row>
    <row r="6" spans="1:13" ht="15.75" thickTop="1">
      <c r="A6" s="19" t="s">
        <v>18</v>
      </c>
      <c r="B6" s="20">
        <v>1</v>
      </c>
      <c r="C6" s="21">
        <v>8</v>
      </c>
      <c r="D6" s="22">
        <f>0.011*37*0.48</f>
        <v>0.19535999999999998</v>
      </c>
      <c r="E6" s="22">
        <f>0.002*37*0.48</f>
        <v>0.035519999999999996</v>
      </c>
      <c r="F6" s="22">
        <f>0.018*37*0.48</f>
        <v>0.31967999999999996</v>
      </c>
      <c r="G6" s="22">
        <f>0.002*37*0.48</f>
        <v>0.035519999999999996</v>
      </c>
      <c r="H6" s="22">
        <f>0.001*37*0.48</f>
        <v>0.017759999999999998</v>
      </c>
      <c r="I6" s="23">
        <f aca="true" t="shared" si="0" ref="I6:I12">B6*C6*D6</f>
        <v>1.5628799999999998</v>
      </c>
      <c r="J6" s="24">
        <f aca="true" t="shared" si="1" ref="J6:J12">B6*C6*E6</f>
        <v>0.28415999999999997</v>
      </c>
      <c r="K6" s="24">
        <f aca="true" t="shared" si="2" ref="K6:K12">B6*C6*F6</f>
        <v>2.5574399999999997</v>
      </c>
      <c r="L6" s="24">
        <f aca="true" t="shared" si="3" ref="L6:L12">B6*C6*G6</f>
        <v>0.28415999999999997</v>
      </c>
      <c r="M6" s="25">
        <f aca="true" t="shared" si="4" ref="M6:M12">B6*C6*H6</f>
        <v>0.14207999999999998</v>
      </c>
    </row>
    <row r="7" spans="1:13" ht="15">
      <c r="A7" s="26" t="s">
        <v>19</v>
      </c>
      <c r="B7" s="21">
        <v>3</v>
      </c>
      <c r="C7" s="21">
        <v>8</v>
      </c>
      <c r="D7" s="24">
        <f>0.015*79*0.465</f>
        <v>0.5510250000000001</v>
      </c>
      <c r="E7" s="24">
        <f>0.003*119*0.465</f>
        <v>0.166005</v>
      </c>
      <c r="F7" s="24">
        <f>0.022*119*0.465</f>
        <v>1.21737</v>
      </c>
      <c r="G7" s="24">
        <f>0.002*119*0.465</f>
        <v>0.11067000000000002</v>
      </c>
      <c r="H7" s="24">
        <f>0.001*119*0.465</f>
        <v>0.05533500000000001</v>
      </c>
      <c r="I7" s="23">
        <f t="shared" si="0"/>
        <v>13.224600000000002</v>
      </c>
      <c r="J7" s="24">
        <f t="shared" si="1"/>
        <v>3.9841200000000003</v>
      </c>
      <c r="K7" s="24">
        <f t="shared" si="2"/>
        <v>29.216880000000003</v>
      </c>
      <c r="L7" s="24">
        <f t="shared" si="3"/>
        <v>2.65608</v>
      </c>
      <c r="M7" s="25">
        <f t="shared" si="4"/>
        <v>1.32804</v>
      </c>
    </row>
    <row r="8" spans="1:13" ht="15">
      <c r="A8" s="19" t="s">
        <v>20</v>
      </c>
      <c r="B8" s="20">
        <v>4</v>
      </c>
      <c r="C8" s="21">
        <v>8</v>
      </c>
      <c r="D8" s="22">
        <f>0.009*194*0.43</f>
        <v>0.7507799999999999</v>
      </c>
      <c r="E8" s="22">
        <f>0.003*194*0.43</f>
        <v>0.25026</v>
      </c>
      <c r="F8" s="22">
        <f>0.023*194*0.43</f>
        <v>1.9186599999999998</v>
      </c>
      <c r="G8" s="22">
        <f>0.002*194*0.43</f>
        <v>0.16684000000000002</v>
      </c>
      <c r="H8" s="27">
        <f>0.0015*194*0.43</f>
        <v>0.12513</v>
      </c>
      <c r="I8" s="23">
        <f t="shared" si="0"/>
        <v>24.024959999999997</v>
      </c>
      <c r="J8" s="24">
        <f t="shared" si="1"/>
        <v>8.00832</v>
      </c>
      <c r="K8" s="24">
        <f t="shared" si="2"/>
        <v>61.397119999999994</v>
      </c>
      <c r="L8" s="24">
        <f t="shared" si="3"/>
        <v>5.3388800000000005</v>
      </c>
      <c r="M8" s="25">
        <f t="shared" si="4"/>
        <v>4.00416</v>
      </c>
    </row>
    <row r="9" spans="1:13" ht="15">
      <c r="A9" s="19" t="s">
        <v>21</v>
      </c>
      <c r="B9" s="20">
        <v>0</v>
      </c>
      <c r="C9" s="21">
        <v>8</v>
      </c>
      <c r="D9" s="22">
        <f>0.009*300*0.43</f>
        <v>1.1609999999999998</v>
      </c>
      <c r="E9" s="22">
        <f>0.003*300*0.43</f>
        <v>0.387</v>
      </c>
      <c r="F9" s="22">
        <f>0.023*300*0.43</f>
        <v>2.9669999999999996</v>
      </c>
      <c r="G9" s="22">
        <f>0.002*300*0.43</f>
        <v>0.258</v>
      </c>
      <c r="H9" s="27">
        <f>0.0015*300*0.43</f>
        <v>0.1935</v>
      </c>
      <c r="I9" s="23">
        <f t="shared" si="0"/>
        <v>0</v>
      </c>
      <c r="J9" s="24">
        <f t="shared" si="1"/>
        <v>0</v>
      </c>
      <c r="K9" s="24">
        <f t="shared" si="2"/>
        <v>0</v>
      </c>
      <c r="L9" s="24">
        <f t="shared" si="3"/>
        <v>0</v>
      </c>
      <c r="M9" s="25">
        <f t="shared" si="4"/>
        <v>0</v>
      </c>
    </row>
    <row r="10" spans="1:13" ht="15">
      <c r="A10" s="19" t="s">
        <v>141</v>
      </c>
      <c r="B10" s="20">
        <v>4</v>
      </c>
      <c r="C10" s="21">
        <v>8</v>
      </c>
      <c r="D10" s="22">
        <v>1.8</v>
      </c>
      <c r="E10" s="22">
        <v>0.19</v>
      </c>
      <c r="F10" s="22">
        <v>4.17</v>
      </c>
      <c r="G10" s="22">
        <v>0.45</v>
      </c>
      <c r="H10" s="138">
        <v>0.26</v>
      </c>
      <c r="I10" s="23">
        <f t="shared" si="0"/>
        <v>57.6</v>
      </c>
      <c r="J10" s="24">
        <f t="shared" si="1"/>
        <v>6.08</v>
      </c>
      <c r="K10" s="24">
        <f t="shared" si="2"/>
        <v>133.44</v>
      </c>
      <c r="L10" s="24">
        <f t="shared" si="3"/>
        <v>14.4</v>
      </c>
      <c r="M10" s="25">
        <f t="shared" si="4"/>
        <v>8.32</v>
      </c>
    </row>
    <row r="11" spans="1:13" ht="15">
      <c r="A11" s="19" t="s">
        <v>25</v>
      </c>
      <c r="B11" s="20">
        <v>0</v>
      </c>
      <c r="C11" s="21">
        <v>8</v>
      </c>
      <c r="D11" s="22">
        <f>0.013*43*0.505</f>
        <v>0.28229499999999996</v>
      </c>
      <c r="E11" s="22">
        <f>0.003*43*0.505</f>
        <v>0.06514500000000001</v>
      </c>
      <c r="F11" s="22">
        <f>0.031*43*0.505</f>
        <v>0.673165</v>
      </c>
      <c r="G11" s="22">
        <f>0.002*43*0.505</f>
        <v>0.04343</v>
      </c>
      <c r="H11" s="22">
        <f>0.0015*43*0.505</f>
        <v>0.032572500000000004</v>
      </c>
      <c r="I11" s="23">
        <f t="shared" si="0"/>
        <v>0</v>
      </c>
      <c r="J11" s="24">
        <f t="shared" si="1"/>
        <v>0</v>
      </c>
      <c r="K11" s="24">
        <f t="shared" si="2"/>
        <v>0</v>
      </c>
      <c r="L11" s="24">
        <f t="shared" si="3"/>
        <v>0</v>
      </c>
      <c r="M11" s="25">
        <f t="shared" si="4"/>
        <v>0</v>
      </c>
    </row>
    <row r="12" spans="1:13" ht="15.75" thickBot="1">
      <c r="A12" s="29" t="s">
        <v>29</v>
      </c>
      <c r="B12" s="30">
        <v>8</v>
      </c>
      <c r="C12" s="30">
        <v>8</v>
      </c>
      <c r="D12" s="31">
        <f>0.011*35*0.45</f>
        <v>0.17325</v>
      </c>
      <c r="E12" s="31">
        <f>0.002*35*0.45</f>
        <v>0.03150000000000001</v>
      </c>
      <c r="F12" s="31">
        <f>0.018*35*0.45</f>
        <v>0.28350000000000003</v>
      </c>
      <c r="G12" s="31">
        <f>0.002*35*0.45</f>
        <v>0.03150000000000001</v>
      </c>
      <c r="H12" s="31">
        <f>0.001*35*0.45</f>
        <v>0.015750000000000004</v>
      </c>
      <c r="I12" s="32">
        <f t="shared" si="0"/>
        <v>11.088</v>
      </c>
      <c r="J12" s="31">
        <f t="shared" si="1"/>
        <v>2.0160000000000005</v>
      </c>
      <c r="K12" s="31">
        <f t="shared" si="2"/>
        <v>18.144000000000002</v>
      </c>
      <c r="L12" s="31">
        <f t="shared" si="3"/>
        <v>2.0160000000000005</v>
      </c>
      <c r="M12" s="33">
        <f t="shared" si="4"/>
        <v>1.0080000000000002</v>
      </c>
    </row>
    <row r="13" spans="1:13" ht="14.25" thickBot="1" thickTop="1">
      <c r="A13" s="26"/>
      <c r="B13" s="34"/>
      <c r="C13" s="35"/>
      <c r="D13" s="34"/>
      <c r="E13" s="34"/>
      <c r="F13" s="34"/>
      <c r="G13" s="34"/>
      <c r="H13" s="34"/>
      <c r="I13" s="36"/>
      <c r="J13" s="37"/>
      <c r="K13" s="37"/>
      <c r="L13" s="37"/>
      <c r="M13" s="38"/>
    </row>
    <row r="14" spans="1:13" ht="13.5" thickBot="1">
      <c r="A14" s="39" t="s">
        <v>13</v>
      </c>
      <c r="B14" s="40"/>
      <c r="C14" s="41"/>
      <c r="D14" s="41"/>
      <c r="E14" s="40"/>
      <c r="F14" s="40"/>
      <c r="G14" s="40"/>
      <c r="H14" s="40"/>
      <c r="I14" s="42">
        <f>SUM(I6:I12)</f>
        <v>107.50044</v>
      </c>
      <c r="J14" s="42">
        <f>SUM(J6:J12)</f>
        <v>20.372600000000002</v>
      </c>
      <c r="K14" s="42">
        <f>SUM(K6:K12)</f>
        <v>244.75544</v>
      </c>
      <c r="L14" s="42">
        <f>SUM(L6:L12)</f>
        <v>24.695120000000003</v>
      </c>
      <c r="M14" s="42">
        <f>SUM(M6:M12)</f>
        <v>14.802280000000001</v>
      </c>
    </row>
    <row r="15" spans="1:13" ht="14.25" thickBot="1" thickTop="1">
      <c r="A15" s="43" t="s">
        <v>5</v>
      </c>
      <c r="B15" s="44"/>
      <c r="C15" s="45"/>
      <c r="D15" s="45"/>
      <c r="E15" s="46"/>
      <c r="F15" s="46"/>
      <c r="G15" s="46"/>
      <c r="H15" s="46"/>
      <c r="I15" s="46" t="s">
        <v>5</v>
      </c>
      <c r="J15" s="46" t="s">
        <v>5</v>
      </c>
      <c r="K15" s="46" t="s">
        <v>5</v>
      </c>
      <c r="L15" s="46" t="s">
        <v>5</v>
      </c>
      <c r="M15" s="47" t="s">
        <v>5</v>
      </c>
    </row>
    <row r="16" ht="13.5" thickTop="1"/>
    <row r="17" ht="12.75">
      <c r="A17" s="48" t="s">
        <v>14</v>
      </c>
    </row>
    <row r="18" ht="12.75">
      <c r="A18" s="48" t="s">
        <v>15</v>
      </c>
    </row>
    <row r="19" spans="1:5" ht="12.75">
      <c r="A19" s="48" t="s">
        <v>16</v>
      </c>
      <c r="B19" s="48"/>
      <c r="C19" s="48"/>
      <c r="D19" s="48"/>
      <c r="E19" s="49"/>
    </row>
    <row r="22" ht="12.75">
      <c r="A22" s="48" t="s">
        <v>17</v>
      </c>
    </row>
    <row r="24" ht="12.75">
      <c r="C24" t="s">
        <v>5</v>
      </c>
    </row>
  </sheetData>
  <sheetProtection/>
  <printOptions/>
  <pageMargins left="0.75" right="0.75" top="1" bottom="1" header="0.5" footer="0.5"/>
  <pageSetup horizontalDpi="300" verticalDpi="300" orientation="landscape" scale="75" r:id="rId1"/>
  <headerFooter alignWithMargins="0">
    <oddHeader xml:space="preserve">&amp;C&amp;"Arial,Bold"&amp;12Construction Equipment Emissions for the Equilon CARB Phase 3 Project 
Carson Terminal Construction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C28">
      <selection activeCell="L36" sqref="L36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359" t="s">
        <v>31</v>
      </c>
      <c r="B2" s="356" t="s">
        <v>8</v>
      </c>
      <c r="C2" s="357"/>
      <c r="D2" s="356" t="s">
        <v>9</v>
      </c>
      <c r="E2" s="358"/>
      <c r="F2" s="358"/>
      <c r="G2" s="358"/>
      <c r="H2" s="358"/>
      <c r="I2" s="53" t="s">
        <v>10</v>
      </c>
      <c r="J2" s="52"/>
      <c r="K2" s="54" t="s">
        <v>12</v>
      </c>
    </row>
    <row r="3" spans="1:11" ht="53.25" thickBot="1">
      <c r="A3" s="360"/>
      <c r="B3" s="56" t="s">
        <v>32</v>
      </c>
      <c r="C3" s="57" t="s">
        <v>33</v>
      </c>
      <c r="D3" s="56" t="s">
        <v>34</v>
      </c>
      <c r="E3" s="58" t="s">
        <v>33</v>
      </c>
      <c r="F3" s="59" t="s">
        <v>35</v>
      </c>
      <c r="G3" s="59" t="s">
        <v>36</v>
      </c>
      <c r="H3" s="57" t="s">
        <v>37</v>
      </c>
      <c r="I3" s="56" t="s">
        <v>32</v>
      </c>
      <c r="J3" s="57" t="s">
        <v>33</v>
      </c>
      <c r="K3" s="60" t="s">
        <v>38</v>
      </c>
    </row>
    <row r="4" spans="1:11" ht="27" thickBot="1">
      <c r="A4" s="61" t="s">
        <v>39</v>
      </c>
      <c r="B4" s="62">
        <v>8.99</v>
      </c>
      <c r="C4" s="62">
        <v>11.76</v>
      </c>
      <c r="D4" s="62">
        <v>0.54</v>
      </c>
      <c r="E4" s="62">
        <v>1.18</v>
      </c>
      <c r="F4" s="63">
        <v>0.37</v>
      </c>
      <c r="G4" s="62">
        <v>0.17</v>
      </c>
      <c r="H4" s="54">
        <v>0.39</v>
      </c>
      <c r="I4" s="62">
        <v>0.88</v>
      </c>
      <c r="J4" s="54">
        <v>0.72</v>
      </c>
      <c r="K4" s="54">
        <v>0.05</v>
      </c>
    </row>
    <row r="5" spans="1:11" ht="13.5" thickBot="1">
      <c r="A5" s="64" t="s">
        <v>40</v>
      </c>
      <c r="B5" s="65">
        <v>11.28</v>
      </c>
      <c r="C5" s="65">
        <v>13.95</v>
      </c>
      <c r="D5" s="65">
        <v>0.57</v>
      </c>
      <c r="E5" s="65">
        <v>1.25</v>
      </c>
      <c r="F5" s="53">
        <v>0.37</v>
      </c>
      <c r="G5" s="65">
        <v>0.16</v>
      </c>
      <c r="H5" s="65">
        <v>0.34</v>
      </c>
      <c r="I5" s="65">
        <v>1.36</v>
      </c>
      <c r="J5" s="52">
        <v>1.07</v>
      </c>
      <c r="K5" s="52">
        <v>0.07</v>
      </c>
    </row>
    <row r="6" spans="1:11" ht="13.5" thickBot="1">
      <c r="A6" s="64" t="s">
        <v>41</v>
      </c>
      <c r="B6" s="65">
        <v>48.75</v>
      </c>
      <c r="C6" s="65" t="s">
        <v>42</v>
      </c>
      <c r="D6" s="65">
        <v>1.39</v>
      </c>
      <c r="E6" s="65">
        <v>2.55</v>
      </c>
      <c r="F6" s="65">
        <v>0.09</v>
      </c>
      <c r="G6" s="65" t="s">
        <v>42</v>
      </c>
      <c r="H6" s="65">
        <v>0.11</v>
      </c>
      <c r="I6" s="65">
        <v>19.06</v>
      </c>
      <c r="J6" s="65">
        <v>1.57</v>
      </c>
      <c r="K6" s="52">
        <v>0.61</v>
      </c>
    </row>
    <row r="8" ht="13.5" thickBot="1"/>
    <row r="9" spans="1:12" ht="13.5" thickBot="1">
      <c r="A9" s="66"/>
      <c r="B9" s="356" t="s">
        <v>43</v>
      </c>
      <c r="C9" s="358"/>
      <c r="D9" s="357"/>
      <c r="E9" s="356" t="s">
        <v>44</v>
      </c>
      <c r="F9" s="358"/>
      <c r="G9" s="358"/>
      <c r="H9" s="358"/>
      <c r="I9" s="358"/>
      <c r="J9" s="358"/>
      <c r="K9" s="358"/>
      <c r="L9" s="357"/>
    </row>
    <row r="10" spans="1:12" ht="13.5" customHeight="1" thickBot="1">
      <c r="A10" s="67"/>
      <c r="B10" s="361" t="s">
        <v>45</v>
      </c>
      <c r="C10" s="363" t="s">
        <v>46</v>
      </c>
      <c r="D10" s="365" t="s">
        <v>47</v>
      </c>
      <c r="E10" s="356" t="s">
        <v>8</v>
      </c>
      <c r="F10" s="357"/>
      <c r="G10" s="356" t="s">
        <v>9</v>
      </c>
      <c r="H10" s="358"/>
      <c r="I10" s="357"/>
      <c r="J10" s="356" t="s">
        <v>10</v>
      </c>
      <c r="K10" s="357"/>
      <c r="L10" s="68" t="s">
        <v>12</v>
      </c>
    </row>
    <row r="11" spans="1:12" ht="66" thickBot="1">
      <c r="A11" s="69" t="s">
        <v>48</v>
      </c>
      <c r="B11" s="362"/>
      <c r="C11" s="364"/>
      <c r="D11" s="366"/>
      <c r="E11" s="70" t="s">
        <v>49</v>
      </c>
      <c r="F11" s="60" t="s">
        <v>50</v>
      </c>
      <c r="G11" s="70" t="s">
        <v>51</v>
      </c>
      <c r="H11" s="70" t="s">
        <v>52</v>
      </c>
      <c r="I11" s="71" t="s">
        <v>53</v>
      </c>
      <c r="J11" s="72" t="s">
        <v>54</v>
      </c>
      <c r="K11" s="70" t="s">
        <v>50</v>
      </c>
      <c r="L11" s="70" t="s">
        <v>55</v>
      </c>
    </row>
    <row r="12" spans="1:12" ht="12.75" customHeight="1">
      <c r="A12" s="367" t="s">
        <v>56</v>
      </c>
      <c r="B12" s="354">
        <v>50</v>
      </c>
      <c r="C12" s="354">
        <f>B12*2</f>
        <v>100</v>
      </c>
      <c r="D12" s="354">
        <v>11.5</v>
      </c>
      <c r="E12" s="350">
        <f>C12*D12*B$4/453.6</f>
        <v>22.79210758377425</v>
      </c>
      <c r="F12" s="350">
        <f>C12*C$4/453.6</f>
        <v>2.5925925925925926</v>
      </c>
      <c r="G12" s="350">
        <f>C12*D12*(D$4+H$4)/453.6</f>
        <v>2.3578042328042326</v>
      </c>
      <c r="H12" s="350">
        <f>C12*(E$4+F$4)/453.6</f>
        <v>0.341710758377425</v>
      </c>
      <c r="I12" s="350">
        <f>B12*8*G$4/453.6</f>
        <v>0.14991181657848324</v>
      </c>
      <c r="J12" s="350">
        <f>C12*D12*I$4/453.6</f>
        <v>2.2310405643738975</v>
      </c>
      <c r="K12" s="352">
        <f>C12*J$4/453.6</f>
        <v>0.15873015873015872</v>
      </c>
      <c r="L12" s="350">
        <f>C12*D12*K$4/453.6</f>
        <v>0.1267636684303351</v>
      </c>
    </row>
    <row r="13" spans="1:12" ht="13.5" thickBot="1">
      <c r="A13" s="368"/>
      <c r="B13" s="355"/>
      <c r="C13" s="355"/>
      <c r="D13" s="355"/>
      <c r="E13" s="351"/>
      <c r="F13" s="351"/>
      <c r="G13" s="351"/>
      <c r="H13" s="351"/>
      <c r="I13" s="351"/>
      <c r="J13" s="351"/>
      <c r="K13" s="353"/>
      <c r="L13" s="351"/>
    </row>
    <row r="14" spans="1:12" ht="12.75">
      <c r="A14" s="348" t="s">
        <v>57</v>
      </c>
      <c r="B14" s="354">
        <v>0</v>
      </c>
      <c r="C14" s="354">
        <f>B14</f>
        <v>0</v>
      </c>
      <c r="D14" s="354">
        <v>10</v>
      </c>
      <c r="E14" s="350">
        <f>C14*D14*B$4/453.6</f>
        <v>0</v>
      </c>
      <c r="F14" s="350">
        <f>C14*C$4/453.6</f>
        <v>0</v>
      </c>
      <c r="G14" s="350">
        <f>C14*D14*(D$4+H$4)/453.6</f>
        <v>0</v>
      </c>
      <c r="H14" s="350">
        <f>C14*(E$4+F$4)/453.6</f>
        <v>0</v>
      </c>
      <c r="I14" s="350">
        <f>B14*8*G$4/453.6</f>
        <v>0</v>
      </c>
      <c r="J14" s="350">
        <f>C14*D14*I$4/453.6</f>
        <v>0</v>
      </c>
      <c r="K14" s="352">
        <f>C14*J$4/453.6</f>
        <v>0</v>
      </c>
      <c r="L14" s="350">
        <f>C14*D14*K$4/453.6</f>
        <v>0</v>
      </c>
    </row>
    <row r="15" spans="1:12" ht="13.5" thickBot="1">
      <c r="A15" s="349"/>
      <c r="B15" s="355"/>
      <c r="C15" s="355"/>
      <c r="D15" s="355"/>
      <c r="E15" s="351"/>
      <c r="F15" s="351"/>
      <c r="G15" s="351"/>
      <c r="H15" s="351"/>
      <c r="I15" s="351"/>
      <c r="J15" s="351"/>
      <c r="K15" s="353"/>
      <c r="L15" s="351"/>
    </row>
    <row r="16" spans="1:12" ht="12.75">
      <c r="A16" s="361" t="s">
        <v>40</v>
      </c>
      <c r="B16" s="354">
        <v>5</v>
      </c>
      <c r="C16" s="354">
        <f>B16*2</f>
        <v>10</v>
      </c>
      <c r="D16" s="354">
        <v>11.5</v>
      </c>
      <c r="E16" s="350">
        <f>C16*D16*B6/453.6</f>
        <v>12.35945767195767</v>
      </c>
      <c r="F16" s="350">
        <f>C16*C5/453.6</f>
        <v>0.3075396825396825</v>
      </c>
      <c r="G16" s="350">
        <f>C16*D16*(D6+H6)/453.6</f>
        <v>0.3802910052910053</v>
      </c>
      <c r="H16" s="350">
        <f>C16*(E5+F5)/453.6</f>
        <v>0.03571428571428572</v>
      </c>
      <c r="I16" s="350">
        <f>B16*8*G5/453.6</f>
        <v>0.014109347442680775</v>
      </c>
      <c r="J16" s="350">
        <f>I5*C16*D16/453.6</f>
        <v>0.3447971781305115</v>
      </c>
      <c r="K16" s="350">
        <f>J5*C16/453.6</f>
        <v>0.023589065255731925</v>
      </c>
      <c r="L16" s="350">
        <f>K5*C16*D16/453.6</f>
        <v>0.017746913580246913</v>
      </c>
    </row>
    <row r="17" spans="1:12" ht="13.5" thickBot="1">
      <c r="A17" s="369"/>
      <c r="B17" s="360"/>
      <c r="C17" s="355"/>
      <c r="D17" s="360"/>
      <c r="E17" s="351"/>
      <c r="F17" s="351"/>
      <c r="G17" s="351"/>
      <c r="H17" s="351"/>
      <c r="I17" s="351"/>
      <c r="J17" s="351"/>
      <c r="K17" s="351"/>
      <c r="L17" s="351"/>
    </row>
    <row r="18" spans="1:12" ht="13.5" thickBot="1">
      <c r="A18" s="76" t="s">
        <v>58</v>
      </c>
      <c r="B18" s="77">
        <v>0</v>
      </c>
      <c r="C18" s="73">
        <v>0</v>
      </c>
      <c r="D18" s="73">
        <v>0</v>
      </c>
      <c r="E18" s="78">
        <f>C18*D18*B$6/453.6</f>
        <v>0</v>
      </c>
      <c r="F18" s="78" t="s">
        <v>42</v>
      </c>
      <c r="G18" s="78">
        <f>C18*D18*(D$6+H$6)/453.6</f>
        <v>0</v>
      </c>
      <c r="H18" s="78">
        <f>C18*(E5+F5)/453.6</f>
        <v>0</v>
      </c>
      <c r="I18" s="78" t="s">
        <v>42</v>
      </c>
      <c r="J18" s="78">
        <f>C18*D18*I$6/453.6</f>
        <v>0</v>
      </c>
      <c r="K18" s="78">
        <f>J4*C18/453.6</f>
        <v>0</v>
      </c>
      <c r="L18" s="79">
        <f>K$6*C18*D18/453.6</f>
        <v>0</v>
      </c>
    </row>
    <row r="19" spans="1:13" ht="13.5" thickBot="1">
      <c r="A19" s="61" t="s">
        <v>59</v>
      </c>
      <c r="B19" s="62">
        <v>1</v>
      </c>
      <c r="C19" s="65">
        <v>1</v>
      </c>
      <c r="D19" s="65">
        <v>5</v>
      </c>
      <c r="E19" s="78">
        <f>C19*D19*B$6/453.6</f>
        <v>0.5373677248677249</v>
      </c>
      <c r="F19" s="78" t="s">
        <v>42</v>
      </c>
      <c r="G19" s="78">
        <f>C19*D19*(D$6+H$6)/453.6</f>
        <v>0.016534391534391533</v>
      </c>
      <c r="H19" s="78">
        <f>C19*(E6+F6)/453.6</f>
        <v>0.005820105820105819</v>
      </c>
      <c r="I19" s="78" t="s">
        <v>42</v>
      </c>
      <c r="J19" s="78">
        <f>C19*D19*I$6/453.6</f>
        <v>0.2100970017636684</v>
      </c>
      <c r="K19" s="78">
        <f>J5*C19/453.6</f>
        <v>0.002358906525573192</v>
      </c>
      <c r="L19" s="79">
        <f>K$6*C19*D19/453.6</f>
        <v>0.006723985890652557</v>
      </c>
      <c r="M19" t="s">
        <v>5</v>
      </c>
    </row>
    <row r="20" spans="1:12" ht="13.5" thickBot="1">
      <c r="A20" s="80" t="s">
        <v>41</v>
      </c>
      <c r="B20" s="62">
        <v>6</v>
      </c>
      <c r="C20" s="65">
        <f>B20*2</f>
        <v>12</v>
      </c>
      <c r="D20" s="65">
        <v>50</v>
      </c>
      <c r="E20" s="78">
        <f>C20*D20*B$6/453.6</f>
        <v>64.48412698412699</v>
      </c>
      <c r="F20" s="78" t="s">
        <v>42</v>
      </c>
      <c r="G20" s="78">
        <f>C20*D20*(D$6+H$6)/453.6</f>
        <v>1.984126984126984</v>
      </c>
      <c r="H20" s="78">
        <f>C20*(E6+F6)/453.6</f>
        <v>0.06984126984126983</v>
      </c>
      <c r="I20" s="78" t="s">
        <v>42</v>
      </c>
      <c r="J20" s="78">
        <f>C20*D20*I$6/453.6</f>
        <v>25.211640211640212</v>
      </c>
      <c r="K20" s="78">
        <f>J5*C20/453.6</f>
        <v>0.028306878306878305</v>
      </c>
      <c r="L20" s="79">
        <f>K$6*C20*D20/453.6</f>
        <v>0.8068783068783069</v>
      </c>
    </row>
    <row r="21" spans="1:12" ht="13.5" thickBot="1">
      <c r="A21" s="81"/>
      <c r="B21" s="53"/>
      <c r="C21" s="53"/>
      <c r="D21" s="53"/>
      <c r="E21" s="82"/>
      <c r="F21" s="82"/>
      <c r="G21" s="82"/>
      <c r="H21" s="82"/>
      <c r="I21" s="82"/>
      <c r="J21" s="82"/>
      <c r="K21" s="82"/>
      <c r="L21" s="82"/>
    </row>
    <row r="22" spans="1:12" ht="13.5" thickBot="1">
      <c r="A22" s="67" t="s">
        <v>48</v>
      </c>
      <c r="B22" s="370" t="s">
        <v>43</v>
      </c>
      <c r="C22" s="358"/>
      <c r="D22" s="357"/>
      <c r="E22" s="371" t="s">
        <v>8</v>
      </c>
      <c r="F22" s="372"/>
      <c r="G22" s="371" t="s">
        <v>9</v>
      </c>
      <c r="H22" s="373"/>
      <c r="I22" s="372"/>
      <c r="J22" s="371" t="s">
        <v>10</v>
      </c>
      <c r="K22" s="372"/>
      <c r="L22" s="83" t="s">
        <v>12</v>
      </c>
    </row>
    <row r="23" spans="1:12" ht="12.75" customHeight="1">
      <c r="A23" s="367" t="s">
        <v>60</v>
      </c>
      <c r="B23" s="354">
        <f>B12+B14</f>
        <v>50</v>
      </c>
      <c r="C23" s="354">
        <f>C12+C14</f>
        <v>100</v>
      </c>
      <c r="D23" s="354"/>
      <c r="E23" s="374">
        <f>E12+F12+E14+F14</f>
        <v>25.38470017636684</v>
      </c>
      <c r="F23" s="352"/>
      <c r="G23" s="374">
        <f>G12+H12+I12+G14+H14+I14</f>
        <v>2.849426807760141</v>
      </c>
      <c r="H23" s="376"/>
      <c r="I23" s="377"/>
      <c r="J23" s="374">
        <f>J12+K12+J14+K14</f>
        <v>2.389770723104056</v>
      </c>
      <c r="K23" s="352"/>
      <c r="L23" s="350">
        <f>L12+L14</f>
        <v>0.1267636684303351</v>
      </c>
    </row>
    <row r="24" spans="1:12" ht="13.5" thickBot="1">
      <c r="A24" s="368"/>
      <c r="B24" s="355"/>
      <c r="C24" s="355"/>
      <c r="D24" s="355"/>
      <c r="E24" s="375"/>
      <c r="F24" s="353"/>
      <c r="G24" s="375"/>
      <c r="H24" s="378"/>
      <c r="I24" s="379"/>
      <c r="J24" s="375"/>
      <c r="K24" s="353"/>
      <c r="L24" s="351"/>
    </row>
    <row r="25" spans="1:12" ht="12.75" customHeight="1">
      <c r="A25" s="361" t="s">
        <v>61</v>
      </c>
      <c r="B25" s="354">
        <f>B16</f>
        <v>5</v>
      </c>
      <c r="C25" s="354">
        <f>C16</f>
        <v>10</v>
      </c>
      <c r="D25" s="354"/>
      <c r="E25" s="374">
        <f>E16+F16</f>
        <v>12.666997354497353</v>
      </c>
      <c r="F25" s="352"/>
      <c r="G25" s="374">
        <f>G16+H16+I16</f>
        <v>0.43011463844797176</v>
      </c>
      <c r="H25" s="376"/>
      <c r="I25" s="377"/>
      <c r="J25" s="374">
        <f>J16+K16</f>
        <v>0.3683862433862434</v>
      </c>
      <c r="K25" s="352"/>
      <c r="L25" s="350">
        <f>L16</f>
        <v>0.017746913580246913</v>
      </c>
    </row>
    <row r="26" spans="1:12" ht="15.75" customHeight="1" thickBot="1">
      <c r="A26" s="369"/>
      <c r="B26" s="360"/>
      <c r="C26" s="360"/>
      <c r="D26" s="360"/>
      <c r="E26" s="375"/>
      <c r="F26" s="353"/>
      <c r="G26" s="375"/>
      <c r="H26" s="378"/>
      <c r="I26" s="379"/>
      <c r="J26" s="375"/>
      <c r="K26" s="353"/>
      <c r="L26" s="351"/>
    </row>
    <row r="27" spans="1:12" ht="15.75" customHeight="1" thickBot="1">
      <c r="A27" s="76" t="s">
        <v>58</v>
      </c>
      <c r="B27" s="77">
        <f>+B18</f>
        <v>0</v>
      </c>
      <c r="C27" s="73">
        <f>+C18</f>
        <v>0</v>
      </c>
      <c r="D27" s="55"/>
      <c r="E27" s="371">
        <f>+E18</f>
        <v>0</v>
      </c>
      <c r="F27" s="357"/>
      <c r="G27" s="371">
        <f>+G18+H18</f>
        <v>0</v>
      </c>
      <c r="H27" s="380"/>
      <c r="I27" s="381"/>
      <c r="J27" s="371">
        <f>+J18+K18</f>
        <v>0</v>
      </c>
      <c r="K27" s="357"/>
      <c r="L27" s="75">
        <f>+L18</f>
        <v>0</v>
      </c>
    </row>
    <row r="28" spans="1:12" ht="27.75" customHeight="1" thickBot="1">
      <c r="A28" s="86" t="s">
        <v>62</v>
      </c>
      <c r="B28" s="65">
        <f>B20+B19</f>
        <v>7</v>
      </c>
      <c r="C28" s="65">
        <f>+C19+C20</f>
        <v>13</v>
      </c>
      <c r="D28" s="65"/>
      <c r="E28" s="371">
        <f>+E19+E20</f>
        <v>65.02149470899471</v>
      </c>
      <c r="F28" s="372"/>
      <c r="G28" s="371">
        <f>G19+G20+H19+H20</f>
        <v>2.0763227513227513</v>
      </c>
      <c r="H28" s="373"/>
      <c r="I28" s="372"/>
      <c r="J28" s="371">
        <f>J20+J19+K19+K20</f>
        <v>25.45240299823633</v>
      </c>
      <c r="K28" s="372"/>
      <c r="L28" s="79">
        <f>L20+L19</f>
        <v>0.8136022927689595</v>
      </c>
    </row>
    <row r="29" spans="1:12" ht="13.5" thickBot="1">
      <c r="A29" s="68" t="s">
        <v>63</v>
      </c>
      <c r="B29" s="64"/>
      <c r="C29" s="81"/>
      <c r="D29" s="87"/>
      <c r="E29" s="371">
        <f>SUM(E23:F28)</f>
        <v>103.07319223985891</v>
      </c>
      <c r="F29" s="357"/>
      <c r="G29" s="371">
        <f>SUM(G23:I28)</f>
        <v>5.355864197530864</v>
      </c>
      <c r="H29" s="358"/>
      <c r="I29" s="357"/>
      <c r="J29" s="371">
        <f>SUM(J23:K28)</f>
        <v>28.21055996472663</v>
      </c>
      <c r="K29" s="357"/>
      <c r="L29" s="78">
        <f>SUM(L23:L28)</f>
        <v>0.9581128747795414</v>
      </c>
    </row>
    <row r="31" ht="12.75">
      <c r="A31" s="48" t="s">
        <v>64</v>
      </c>
    </row>
    <row r="32" ht="12.75">
      <c r="A32" s="48" t="s">
        <v>65</v>
      </c>
    </row>
    <row r="33" ht="12.75">
      <c r="A33" s="48" t="s">
        <v>66</v>
      </c>
    </row>
    <row r="34" ht="12.75">
      <c r="A34" s="48" t="s">
        <v>67</v>
      </c>
    </row>
    <row r="35" ht="12.75">
      <c r="L35" s="88">
        <v>37067</v>
      </c>
    </row>
    <row r="36" ht="12.75">
      <c r="A36" s="48"/>
    </row>
    <row r="38" ht="12.75">
      <c r="A38" s="48" t="s">
        <v>17</v>
      </c>
    </row>
    <row r="39" ht="12.75">
      <c r="L39" s="88"/>
    </row>
  </sheetData>
  <sheetProtection/>
  <mergeCells count="76">
    <mergeCell ref="G14:G15"/>
    <mergeCell ref="H14:H15"/>
    <mergeCell ref="I14:I15"/>
    <mergeCell ref="B14:B15"/>
    <mergeCell ref="D14:D15"/>
    <mergeCell ref="G12:G13"/>
    <mergeCell ref="H12:H13"/>
    <mergeCell ref="G10:I10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E12:E13"/>
    <mergeCell ref="F12:F13"/>
    <mergeCell ref="F16:F17"/>
    <mergeCell ref="A12:A13"/>
    <mergeCell ref="B12:B13"/>
    <mergeCell ref="C12:C13"/>
    <mergeCell ref="D12:D13"/>
    <mergeCell ref="C14:C15"/>
    <mergeCell ref="E14:E15"/>
    <mergeCell ref="F14:F15"/>
    <mergeCell ref="A14:A15"/>
    <mergeCell ref="A16:A17"/>
    <mergeCell ref="B16:B17"/>
    <mergeCell ref="C16:C17"/>
    <mergeCell ref="D16:D17"/>
    <mergeCell ref="E16:E17"/>
    <mergeCell ref="L16:L17"/>
    <mergeCell ref="I12:I13"/>
    <mergeCell ref="J12:J13"/>
    <mergeCell ref="K12:K13"/>
    <mergeCell ref="L12:L13"/>
    <mergeCell ref="L14:L15"/>
    <mergeCell ref="K14:K15"/>
    <mergeCell ref="J14:J15"/>
    <mergeCell ref="G16:G17"/>
    <mergeCell ref="H16:H17"/>
    <mergeCell ref="I16:I17"/>
    <mergeCell ref="J16:J17"/>
    <mergeCell ref="K16:K17"/>
    <mergeCell ref="B22:D22"/>
    <mergeCell ref="E22:F22"/>
    <mergeCell ref="G22:I22"/>
    <mergeCell ref="J22:K22"/>
    <mergeCell ref="A23:A24"/>
    <mergeCell ref="B23:B24"/>
    <mergeCell ref="C23:C24"/>
    <mergeCell ref="D23:D24"/>
    <mergeCell ref="E23:F24"/>
    <mergeCell ref="G23:I24"/>
    <mergeCell ref="J23:K24"/>
    <mergeCell ref="L23:L24"/>
    <mergeCell ref="A25:A26"/>
    <mergeCell ref="B25:B26"/>
    <mergeCell ref="C25:C26"/>
    <mergeCell ref="D25:D26"/>
    <mergeCell ref="G25:I26"/>
    <mergeCell ref="J25:K26"/>
    <mergeCell ref="E25:F26"/>
    <mergeCell ref="L25:L26"/>
    <mergeCell ref="G27:I27"/>
    <mergeCell ref="J27:K27"/>
    <mergeCell ref="E27:F27"/>
    <mergeCell ref="E29:F29"/>
    <mergeCell ref="G29:I29"/>
    <mergeCell ref="J29:K29"/>
    <mergeCell ref="E28:F28"/>
    <mergeCell ref="G28:I28"/>
    <mergeCell ref="J28:K28"/>
  </mergeCells>
  <printOptions horizontalCentered="1"/>
  <pageMargins left="0.75" right="0.75" top="1.16" bottom="1" header="0.5" footer="0.5"/>
  <pageSetup firstPageNumber="3" useFirstPageNumber="1" fitToHeight="1" fitToWidth="1" horizontalDpi="600" verticalDpi="600" orientation="landscape" scale="73" r:id="rId1"/>
  <headerFooter alignWithMargins="0">
    <oddHeader>&amp;C&amp;"Arial,Bold"&amp;12Construction Vehicle Emissions for the Equilon CARB 
Phase 3 Project 
Carson Terminal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F26" sqref="F26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4" ht="17.25">
      <c r="A1" s="1"/>
      <c r="C1" s="1" t="s">
        <v>68</v>
      </c>
      <c r="D1" s="1"/>
    </row>
    <row r="2" spans="6:9" ht="17.25">
      <c r="F2" s="89" t="s">
        <v>69</v>
      </c>
      <c r="G2" s="90"/>
      <c r="H2" s="90"/>
      <c r="I2" s="90"/>
    </row>
    <row r="3" spans="6:9" ht="17.25">
      <c r="F3" s="89"/>
      <c r="G3" s="90"/>
      <c r="H3" s="90"/>
      <c r="I3" s="90"/>
    </row>
    <row r="4" spans="3:9" ht="15">
      <c r="C4" s="382" t="s">
        <v>142</v>
      </c>
      <c r="D4" s="382"/>
      <c r="E4" s="382"/>
      <c r="F4" s="382"/>
      <c r="G4" s="382"/>
      <c r="H4" s="382"/>
      <c r="I4" s="382"/>
    </row>
    <row r="5" ht="13.5" thickBot="1"/>
    <row r="6" spans="1:10" ht="39.75" thickBot="1">
      <c r="A6" s="356" t="s">
        <v>71</v>
      </c>
      <c r="B6" s="358"/>
      <c r="C6" s="81"/>
      <c r="D6" s="52" t="s">
        <v>72</v>
      </c>
      <c r="E6" s="53"/>
      <c r="F6" s="53" t="s">
        <v>73</v>
      </c>
      <c r="G6" s="92" t="s">
        <v>74</v>
      </c>
      <c r="H6" s="92" t="s">
        <v>75</v>
      </c>
      <c r="I6" s="93" t="s">
        <v>76</v>
      </c>
      <c r="J6" s="94" t="s">
        <v>77</v>
      </c>
    </row>
    <row r="7" spans="1:10" ht="12.75">
      <c r="A7" s="80"/>
      <c r="B7" s="50"/>
      <c r="C7" s="50"/>
      <c r="D7" s="95"/>
      <c r="E7" s="50"/>
      <c r="F7" s="50"/>
      <c r="G7" s="50"/>
      <c r="H7" s="50"/>
      <c r="I7" s="50"/>
      <c r="J7" s="96"/>
    </row>
    <row r="8" spans="1:10" ht="12.75">
      <c r="A8" s="67" t="s">
        <v>78</v>
      </c>
      <c r="B8" s="50"/>
      <c r="C8" s="50"/>
      <c r="D8" s="95"/>
      <c r="E8" s="50"/>
      <c r="F8" s="50"/>
      <c r="G8" s="50"/>
      <c r="H8" s="50"/>
      <c r="I8" s="50"/>
      <c r="J8" s="97"/>
    </row>
    <row r="9" spans="1:10" ht="12.75">
      <c r="A9" s="67" t="s">
        <v>79</v>
      </c>
      <c r="B9" s="50"/>
      <c r="D9" s="98">
        <v>50</v>
      </c>
      <c r="E9" s="99"/>
      <c r="F9" s="99" t="s">
        <v>80</v>
      </c>
      <c r="G9" s="99">
        <v>2</v>
      </c>
      <c r="H9" s="99">
        <v>11.5</v>
      </c>
      <c r="I9" s="50">
        <v>0.0012</v>
      </c>
      <c r="J9" s="77">
        <f>D9*G9*H9*I9</f>
        <v>1.38</v>
      </c>
    </row>
    <row r="10" spans="1:10" ht="12.75">
      <c r="A10" s="67" t="s">
        <v>81</v>
      </c>
      <c r="B10" s="50"/>
      <c r="C10" s="50"/>
      <c r="D10" s="95"/>
      <c r="E10" s="50"/>
      <c r="F10" s="50"/>
      <c r="G10" s="50"/>
      <c r="H10" s="50"/>
      <c r="I10" s="50"/>
      <c r="J10" s="97"/>
    </row>
    <row r="11" spans="1:10" ht="12.75">
      <c r="A11" s="67"/>
      <c r="B11" s="50"/>
      <c r="C11" s="50"/>
      <c r="D11" s="95"/>
      <c r="E11" s="50"/>
      <c r="F11" s="50"/>
      <c r="G11" s="50"/>
      <c r="H11" s="50"/>
      <c r="I11" s="50"/>
      <c r="J11" s="97"/>
    </row>
    <row r="12" spans="1:10" ht="12.75">
      <c r="A12" s="67" t="s">
        <v>82</v>
      </c>
      <c r="B12" s="50"/>
      <c r="C12" s="50"/>
      <c r="D12" s="98">
        <v>0</v>
      </c>
      <c r="E12" s="99"/>
      <c r="F12" s="99" t="s">
        <v>83</v>
      </c>
      <c r="G12" s="99"/>
      <c r="H12" s="99">
        <v>6</v>
      </c>
      <c r="I12" s="50">
        <v>0.0288</v>
      </c>
      <c r="J12" s="77">
        <f>D12*H12*I12</f>
        <v>0</v>
      </c>
    </row>
    <row r="13" spans="1:10" ht="12.75">
      <c r="A13" s="67" t="s">
        <v>81</v>
      </c>
      <c r="B13" s="50"/>
      <c r="C13" s="50"/>
      <c r="D13" s="98"/>
      <c r="E13" s="99"/>
      <c r="F13" s="99"/>
      <c r="G13" s="99"/>
      <c r="H13" s="99"/>
      <c r="I13" s="50"/>
      <c r="J13" s="77"/>
    </row>
    <row r="14" spans="1:10" ht="12.75">
      <c r="A14" s="67"/>
      <c r="B14" s="50"/>
      <c r="C14" s="50"/>
      <c r="D14" s="95"/>
      <c r="E14" s="50"/>
      <c r="F14" s="50"/>
      <c r="G14" s="50"/>
      <c r="H14" s="50"/>
      <c r="I14" s="50"/>
      <c r="J14" s="97"/>
    </row>
    <row r="15" spans="1:10" ht="12.75">
      <c r="A15" s="67" t="s">
        <v>84</v>
      </c>
      <c r="B15" s="50"/>
      <c r="C15" s="50"/>
      <c r="D15" s="98">
        <v>5</v>
      </c>
      <c r="E15" s="99"/>
      <c r="F15" s="99" t="s">
        <v>80</v>
      </c>
      <c r="G15" s="99">
        <v>2</v>
      </c>
      <c r="H15" s="99">
        <v>11.5</v>
      </c>
      <c r="I15" s="50">
        <v>0.0288</v>
      </c>
      <c r="J15" s="77">
        <f>D15*G15*H15*I15</f>
        <v>3.312</v>
      </c>
    </row>
    <row r="16" spans="1:10" ht="12.75">
      <c r="A16" s="67" t="s">
        <v>81</v>
      </c>
      <c r="B16" s="50"/>
      <c r="C16" s="50"/>
      <c r="D16" s="95"/>
      <c r="E16" s="50"/>
      <c r="F16" s="50"/>
      <c r="G16" s="50"/>
      <c r="H16" s="50"/>
      <c r="I16" s="50"/>
      <c r="J16" s="97"/>
    </row>
    <row r="17" spans="1:10" ht="12.75">
      <c r="A17" s="67"/>
      <c r="B17" s="50"/>
      <c r="C17" s="50"/>
      <c r="D17" s="95"/>
      <c r="E17" s="50"/>
      <c r="F17" s="50"/>
      <c r="G17" s="50"/>
      <c r="H17" s="50"/>
      <c r="I17" s="50"/>
      <c r="J17" s="97"/>
    </row>
    <row r="18" spans="1:10" ht="12.75">
      <c r="A18" s="67" t="s">
        <v>85</v>
      </c>
      <c r="B18" s="50"/>
      <c r="C18" s="50"/>
      <c r="D18" s="98">
        <v>6</v>
      </c>
      <c r="E18" s="99"/>
      <c r="F18" s="99" t="s">
        <v>83</v>
      </c>
      <c r="G18" s="99">
        <v>2</v>
      </c>
      <c r="H18" s="99">
        <v>50</v>
      </c>
      <c r="I18" s="50">
        <v>0.0288</v>
      </c>
      <c r="J18" s="77">
        <f>D18*G18*H18*I18</f>
        <v>17.28</v>
      </c>
    </row>
    <row r="19" spans="1:10" ht="12.75">
      <c r="A19" s="67" t="s">
        <v>81</v>
      </c>
      <c r="B19" s="50"/>
      <c r="C19" s="50"/>
      <c r="D19" s="95"/>
      <c r="E19" s="50"/>
      <c r="F19" s="50"/>
      <c r="G19" s="50"/>
      <c r="H19" s="50"/>
      <c r="I19" s="50"/>
      <c r="J19" s="97"/>
    </row>
    <row r="20" spans="1:10" ht="12.75">
      <c r="A20" s="67"/>
      <c r="B20" s="50"/>
      <c r="C20" s="50"/>
      <c r="D20" s="95"/>
      <c r="E20" s="50"/>
      <c r="F20" s="50"/>
      <c r="G20" s="50"/>
      <c r="H20" s="50"/>
      <c r="I20" s="50"/>
      <c r="J20" s="97"/>
    </row>
    <row r="21" spans="1:10" ht="12.75">
      <c r="A21" s="67" t="s">
        <v>86</v>
      </c>
      <c r="B21" s="50"/>
      <c r="C21" s="50"/>
      <c r="D21" s="98">
        <v>0</v>
      </c>
      <c r="E21" s="99"/>
      <c r="F21" s="99" t="s">
        <v>80</v>
      </c>
      <c r="G21" s="99">
        <v>1</v>
      </c>
      <c r="H21" s="99">
        <v>0</v>
      </c>
      <c r="I21" s="50">
        <v>17.82</v>
      </c>
      <c r="J21" s="77">
        <f>D21*G21*H21*I21</f>
        <v>0</v>
      </c>
    </row>
    <row r="22" spans="1:10" ht="12.75">
      <c r="A22" s="67"/>
      <c r="B22" s="50"/>
      <c r="C22" s="50"/>
      <c r="D22" s="98"/>
      <c r="E22" s="99"/>
      <c r="F22" s="99"/>
      <c r="G22" s="99"/>
      <c r="H22" s="99"/>
      <c r="I22" s="50"/>
      <c r="J22" s="77"/>
    </row>
    <row r="23" spans="1:10" ht="13.5" thickBot="1">
      <c r="A23" s="67" t="s">
        <v>86</v>
      </c>
      <c r="B23" s="50"/>
      <c r="C23" s="50"/>
      <c r="D23" s="98">
        <v>1</v>
      </c>
      <c r="E23" s="99"/>
      <c r="F23" s="99" t="s">
        <v>83</v>
      </c>
      <c r="G23" s="99">
        <v>1</v>
      </c>
      <c r="H23" s="99">
        <v>0.5</v>
      </c>
      <c r="I23" s="50">
        <v>17.82</v>
      </c>
      <c r="J23" s="77">
        <f>D23*G23*H23*I23</f>
        <v>8.91</v>
      </c>
    </row>
    <row r="24" spans="1:10" ht="13.5" thickBot="1">
      <c r="A24" s="64" t="s">
        <v>87</v>
      </c>
      <c r="B24" s="81"/>
      <c r="C24" s="81"/>
      <c r="D24" s="52">
        <f>SUM(D9:D23)</f>
        <v>62</v>
      </c>
      <c r="E24" s="81"/>
      <c r="F24" s="81"/>
      <c r="G24" s="81"/>
      <c r="H24" s="81"/>
      <c r="I24" s="81"/>
      <c r="J24" s="65">
        <f>SUM(J9:J23)</f>
        <v>30.882</v>
      </c>
    </row>
    <row r="26" ht="12.75">
      <c r="A26" s="48" t="s">
        <v>88</v>
      </c>
    </row>
    <row r="27" ht="12.75">
      <c r="A27" s="48"/>
    </row>
    <row r="28" ht="12.75">
      <c r="A28" s="48" t="s">
        <v>89</v>
      </c>
    </row>
  </sheetData>
  <sheetProtection/>
  <mergeCells count="2">
    <mergeCell ref="A6:B6"/>
    <mergeCell ref="C4:I4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2001-07-12T21:45:50Z</cp:lastPrinted>
  <dcterms:created xsi:type="dcterms:W3CDTF">2001-07-12T18:05:29Z</dcterms:created>
  <dcterms:modified xsi:type="dcterms:W3CDTF">2014-08-28T14:53:55Z</dcterms:modified>
  <cp:category/>
  <cp:version/>
  <cp:contentType/>
  <cp:contentStatus/>
</cp:coreProperties>
</file>