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292" windowHeight="5988" activeTab="0"/>
  </bookViews>
  <sheets>
    <sheet name="Equipment List &amp; Total Emission" sheetId="1" r:id="rId1"/>
    <sheet name="Calc Sheet" sheetId="2" r:id="rId2"/>
  </sheets>
  <definedNames>
    <definedName name="_xlnm.Print_Area" localSheetId="0">'Equipment List &amp; Total Emission'!$A:$IV</definedName>
    <definedName name="Z_C570655D_E7F9_11D4_B201_0010B57598D0_.wvu.PrintArea" localSheetId="0" hidden="1">'Equipment List &amp; Total Emission'!$A:$XFD</definedName>
  </definedNames>
  <calcPr fullCalcOnLoad="1"/>
</workbook>
</file>

<file path=xl/sharedStrings.xml><?xml version="1.0" encoding="utf-8"?>
<sst xmlns="http://schemas.openxmlformats.org/spreadsheetml/2006/main" count="130" uniqueCount="72">
  <si>
    <t xml:space="preserve">CO </t>
  </si>
  <si>
    <t>ROC</t>
  </si>
  <si>
    <t>NOx</t>
  </si>
  <si>
    <t>SOx</t>
  </si>
  <si>
    <t>PM10</t>
  </si>
  <si>
    <t>Cranes</t>
  </si>
  <si>
    <t>---</t>
  </si>
  <si>
    <t>Crane, 80 ton 250hp</t>
  </si>
  <si>
    <t>Crane, Manitowac, 350hp</t>
  </si>
  <si>
    <t>Backhoe or Bobcat, 150hp</t>
  </si>
  <si>
    <t>Pickup 1, 150 hp</t>
  </si>
  <si>
    <t>Wacker 1, 15hp</t>
  </si>
  <si>
    <t>Trctr/Lodr/Bckho</t>
  </si>
  <si>
    <t>Welders &lt;50hp</t>
  </si>
  <si>
    <t>Maximum Quarterly Emissions (lb/quarter)</t>
  </si>
  <si>
    <t>D</t>
  </si>
  <si>
    <t>Operatn</t>
  </si>
  <si>
    <r>
      <t xml:space="preserve">1 </t>
    </r>
    <r>
      <rPr>
        <sz val="8"/>
        <rFont val="Arial"/>
        <family val="2"/>
      </rPr>
      <t>SCAQMD CEQA Air Quality Handbook, April 1993  Emission Factors, (Tables A9-8-A &amp; A9-8-B)</t>
    </r>
  </si>
  <si>
    <t>Worker Transport - all four units</t>
  </si>
  <si>
    <t>Equipment</t>
  </si>
  <si>
    <t>Emission per unit (lbs/qtr)</t>
  </si>
  <si>
    <t>Total Emissions (lbs/qtr)</t>
  </si>
  <si>
    <t>Total Emissions (tons/qtr)</t>
  </si>
  <si>
    <t>see sheet 2</t>
  </si>
  <si>
    <r>
      <t>2</t>
    </r>
    <r>
      <rPr>
        <sz val="8"/>
        <rFont val="Arial"/>
        <family val="0"/>
      </rPr>
      <t xml:space="preserve"> Worst case maximum miles per day is 1,200 (i.e. a round trip commute for a maximum of 40 workers, gasoline vehicles)</t>
    </r>
  </si>
  <si>
    <t>Total Days in Operatn</t>
  </si>
  <si>
    <r>
      <t>SCAQMD Emission Factor Category</t>
    </r>
    <r>
      <rPr>
        <b/>
        <vertAlign val="superscript"/>
        <sz val="7"/>
        <rFont val="Arial"/>
        <family val="2"/>
      </rPr>
      <t>1</t>
    </r>
  </si>
  <si>
    <t>Load/ Useage Factor %</t>
  </si>
  <si>
    <t>SCAQMD Threshold Levels (t/qtr)</t>
  </si>
  <si>
    <t>Maximum Daily Emissions (lb/day)</t>
  </si>
  <si>
    <t>Total Maximum Emissions</t>
  </si>
  <si>
    <t xml:space="preserve">CONSTRUCTION EMISSION CALCULATIONS FOR INSTALLATION OF SCR ON UNITS 1 THROUGH 4    </t>
  </si>
  <si>
    <t xml:space="preserve">ALAMITOS GENERATING STATION   </t>
  </si>
  <si>
    <t>Total Maximum Emissions (lb/day)</t>
  </si>
  <si>
    <t>Calculation of Maximum Daily Emissions (lb/day) for Each Unit of Construction Equipment for the Proposed Alamitos SCR Project</t>
  </si>
  <si>
    <r>
      <t>2</t>
    </r>
    <r>
      <rPr>
        <sz val="8"/>
        <rFont val="Arial"/>
        <family val="0"/>
      </rPr>
      <t xml:space="preserve"> Fuels used:  D=diesel, G=gasoline</t>
    </r>
  </si>
  <si>
    <r>
      <t>3</t>
    </r>
    <r>
      <rPr>
        <sz val="8"/>
        <rFont val="Arial"/>
        <family val="0"/>
      </rPr>
      <t xml:space="preserve"> Construction equipment listing and horsepower ratings were provided by the Construction Contractor (The Industrial Company)</t>
    </r>
  </si>
  <si>
    <r>
      <t>Construction Equipment</t>
    </r>
    <r>
      <rPr>
        <b/>
        <vertAlign val="superscript"/>
        <sz val="7"/>
        <rFont val="Arial"/>
        <family val="2"/>
      </rPr>
      <t>3</t>
    </r>
  </si>
  <si>
    <r>
      <t>Fuel</t>
    </r>
    <r>
      <rPr>
        <b/>
        <vertAlign val="superscript"/>
        <sz val="7"/>
        <rFont val="Arial"/>
        <family val="2"/>
      </rPr>
      <t>2</t>
    </r>
  </si>
  <si>
    <t xml:space="preserve">ALAMITOS GENERATING STATION   CONSTRUCTION EMISSION CALCULATIONS FOR INSTALLATION OF SCR ON UNITS 1 THROUGH 4            </t>
  </si>
  <si>
    <t>Sample Emission Calculation:</t>
  </si>
  <si>
    <t>Crane, Manitowac 350hp</t>
  </si>
  <si>
    <t>n/a</t>
  </si>
  <si>
    <t xml:space="preserve">Fork Lift </t>
  </si>
  <si>
    <t>Fork Lift - 50 HP</t>
  </si>
  <si>
    <t>Fork Lift</t>
  </si>
  <si>
    <r>
      <t>Worker Transport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 total (lb/day)</t>
    </r>
  </si>
  <si>
    <t>VOC</t>
  </si>
  <si>
    <t>CEAQ Significance Thresholds</t>
  </si>
  <si>
    <t xml:space="preserve">= SCAQMD Emission factor (pounds per HP hour) * HP rating * Load/Useage Factor * Hours per Day </t>
  </si>
  <si>
    <t>Bobcat, 150hp</t>
  </si>
  <si>
    <t>Hrs/ day</t>
  </si>
  <si>
    <r>
      <t>Emission Factor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(pounds per HP hour)</t>
    </r>
  </si>
  <si>
    <r>
      <t>Emission Factor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(pounds per hour)</t>
    </r>
  </si>
  <si>
    <r>
      <t>1</t>
    </r>
    <r>
      <rPr>
        <sz val="8"/>
        <rFont val="Arial"/>
        <family val="2"/>
      </rPr>
      <t xml:space="preserve"> Total Emissions are calculated from the emission in pounds per day per unit (from Calculation Spreadsheet) multiplied </t>
    </r>
  </si>
  <si>
    <t xml:space="preserve">   by the number of units of equipment.</t>
  </si>
  <si>
    <r>
      <t>Total Emissions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per Equipment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(lb/day)</t>
    </r>
  </si>
  <si>
    <t>Welder 1, 35hp</t>
  </si>
  <si>
    <t>Paving Equip, 2 strk</t>
  </si>
  <si>
    <t>Units 1, 2, 3 &amp; 4</t>
  </si>
  <si>
    <t>= Crane, 350hp</t>
  </si>
  <si>
    <t>Item of Equipment</t>
  </si>
  <si>
    <t>Pollutant</t>
  </si>
  <si>
    <t>= CO</t>
  </si>
  <si>
    <t>Total Daily Emission</t>
  </si>
  <si>
    <t>= 0.009 lb per HP hour * 350 HP * (50/100) * 10 hours per day</t>
  </si>
  <si>
    <t>= 15.75 lb/day</t>
  </si>
  <si>
    <t xml:space="preserve">  This calculation is based on the numbers given in the 1993 Alamitos EIR, prorated for 1,200 miles &amp; 40 workers  </t>
  </si>
  <si>
    <t xml:space="preserve">  (Source:  Draft Subsequent Environmental Impact Report:  Aqueous Ammonia Storage Tank Installation at Alamitos Generating </t>
  </si>
  <si>
    <t xml:space="preserve">  Station, prepared by Arthur D Little, January 1993).  The emissions given in this source were for round trip commute for </t>
  </si>
  <si>
    <t xml:space="preserve">  maximum of 1,200 miles round trip.</t>
  </si>
  <si>
    <t xml:space="preserve">  80 workers of 2,400 miles per day.  For the proposed Alamitos Project assessed here, there will be 40 workers with 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</si>
</sst>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quotePrefix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64" fontId="2" fillId="34" borderId="20" xfId="0" applyNumberFormat="1" applyFont="1" applyFill="1" applyBorder="1" applyAlignment="1">
      <alignment horizontal="center"/>
    </xf>
    <xf numFmtId="164" fontId="2" fillId="34" borderId="2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 horizontal="center"/>
    </xf>
    <xf numFmtId="164" fontId="2" fillId="35" borderId="19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3" fillId="36" borderId="0" xfId="0" applyNumberFormat="1" applyFont="1" applyFill="1" applyBorder="1" applyAlignment="1">
      <alignment horizontal="center"/>
    </xf>
    <xf numFmtId="2" fontId="3" fillId="36" borderId="12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164" fontId="2" fillId="34" borderId="23" xfId="0" applyNumberFormat="1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35" borderId="17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5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 quotePrefix="1">
      <alignment horizontal="center"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165" fontId="2" fillId="0" borderId="19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left"/>
    </xf>
    <xf numFmtId="0" fontId="0" fillId="34" borderId="33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left"/>
    </xf>
    <xf numFmtId="0" fontId="18" fillId="37" borderId="25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6" borderId="24" xfId="0" applyFont="1" applyFill="1" applyBorder="1" applyAlignment="1">
      <alignment horizontal="left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>
      <alignment/>
    </xf>
    <xf numFmtId="0" fontId="3" fillId="38" borderId="33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26"/>
  <sheetViews>
    <sheetView tabSelected="1" zoomScalePageLayoutView="0" workbookViewId="0" topLeftCell="I1">
      <selection activeCell="L3" sqref="L3"/>
    </sheetView>
  </sheetViews>
  <sheetFormatPr defaultColWidth="9.140625" defaultRowHeight="12.75"/>
  <cols>
    <col min="1" max="1" width="5.421875" style="0" customWidth="1"/>
    <col min="2" max="2" width="5.00390625" style="27" customWidth="1"/>
    <col min="3" max="3" width="12.28125" style="0" customWidth="1"/>
    <col min="4" max="4" width="12.421875" style="0" customWidth="1"/>
    <col min="5" max="5" width="11.140625" style="27" customWidth="1"/>
    <col min="6" max="6" width="10.57421875" style="27" customWidth="1"/>
    <col min="7" max="7" width="10.8515625" style="27" customWidth="1"/>
    <col min="8" max="8" width="11.7109375" style="27" customWidth="1"/>
    <col min="9" max="9" width="13.7109375" style="27" customWidth="1"/>
    <col min="10" max="10" width="3.7109375" style="27" customWidth="1"/>
    <col min="11" max="11" width="0.9921875" style="27" customWidth="1"/>
    <col min="12" max="12" width="7.421875" style="0" customWidth="1"/>
    <col min="13" max="14" width="7.140625" style="0" customWidth="1"/>
    <col min="15" max="15" width="6.7109375" style="0" customWidth="1"/>
    <col min="16" max="16" width="8.140625" style="0" customWidth="1"/>
    <col min="21" max="21" width="8.00390625" style="0" customWidth="1"/>
    <col min="22" max="22" width="7.8515625" style="0" customWidth="1"/>
    <col min="23" max="23" width="8.28125" style="0" customWidth="1"/>
    <col min="24" max="24" width="8.140625" style="0" customWidth="1"/>
    <col min="25" max="25" width="8.00390625" style="0" customWidth="1"/>
  </cols>
  <sheetData>
    <row r="2" ht="13.5" thickBot="1">
      <c r="E2" s="144" t="s">
        <v>32</v>
      </c>
    </row>
    <row r="3" spans="2:248" ht="13.5" thickBot="1">
      <c r="B3" s="215" t="s">
        <v>31</v>
      </c>
      <c r="C3" s="215"/>
      <c r="D3" s="215"/>
      <c r="E3" s="215"/>
      <c r="F3" s="215"/>
      <c r="G3" s="215"/>
      <c r="H3" s="215"/>
      <c r="I3" s="215"/>
      <c r="J3" s="3"/>
      <c r="K3" s="3"/>
      <c r="L3" s="189">
        <v>1</v>
      </c>
      <c r="M3" s="190" t="s">
        <v>7</v>
      </c>
      <c r="N3" s="191"/>
      <c r="O3" s="189">
        <f>'Calc Sheet'!P9*'Equipment List &amp; Total Emission'!$L$3</f>
        <v>15.75</v>
      </c>
      <c r="P3" s="192">
        <f>'Calc Sheet'!Q9*'Equipment List &amp; Total Emission'!$L$3</f>
        <v>5.249999999999999</v>
      </c>
      <c r="Q3" s="192">
        <f>'Calc Sheet'!R9*'Equipment List &amp; Total Emission'!$L$3</f>
        <v>40.24999999999999</v>
      </c>
      <c r="R3" s="192">
        <f>'Calc Sheet'!S9*'Equipment List &amp; Total Emission'!$L$3</f>
        <v>3.5</v>
      </c>
      <c r="S3" s="193">
        <f>'Calc Sheet'!T9*'Equipment List &amp; Total Emission'!$L$3</f>
        <v>2.6249999999999996</v>
      </c>
      <c r="T3" s="3"/>
      <c r="U3" s="3"/>
      <c r="V3" s="3"/>
      <c r="W3" s="3"/>
      <c r="X3" s="3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</row>
    <row r="4" spans="4:11" ht="12.75">
      <c r="D4" s="36"/>
      <c r="K4" s="7"/>
    </row>
    <row r="5" ht="13.5" thickBot="1">
      <c r="K5" s="7"/>
    </row>
    <row r="6" spans="2:26" s="36" customFormat="1" ht="12.75">
      <c r="B6" s="218" t="s">
        <v>59</v>
      </c>
      <c r="C6" s="219"/>
      <c r="D6" s="219"/>
      <c r="E6" s="212" t="s">
        <v>56</v>
      </c>
      <c r="F6" s="213"/>
      <c r="G6" s="213"/>
      <c r="H6" s="213"/>
      <c r="I6" s="214"/>
      <c r="J6" s="143"/>
      <c r="K6" s="3"/>
      <c r="L6" s="212" t="s">
        <v>22</v>
      </c>
      <c r="M6" s="213"/>
      <c r="N6" s="213"/>
      <c r="O6" s="213"/>
      <c r="P6" s="214"/>
      <c r="Q6" s="212" t="s">
        <v>20</v>
      </c>
      <c r="R6" s="213"/>
      <c r="S6" s="213"/>
      <c r="T6" s="213"/>
      <c r="U6" s="213"/>
      <c r="V6" s="212" t="s">
        <v>21</v>
      </c>
      <c r="W6" s="213"/>
      <c r="X6" s="213"/>
      <c r="Y6" s="213"/>
      <c r="Z6" s="214"/>
    </row>
    <row r="7" spans="2:26" s="37" customFormat="1" ht="13.5" thickBot="1">
      <c r="B7" s="216" t="s">
        <v>19</v>
      </c>
      <c r="C7" s="217"/>
      <c r="D7" s="217"/>
      <c r="E7" s="117" t="s">
        <v>0</v>
      </c>
      <c r="F7" s="118" t="s">
        <v>47</v>
      </c>
      <c r="G7" s="118" t="s">
        <v>2</v>
      </c>
      <c r="H7" s="118" t="s">
        <v>3</v>
      </c>
      <c r="I7" s="119" t="s">
        <v>4</v>
      </c>
      <c r="J7" s="3"/>
      <c r="K7" s="3"/>
      <c r="L7" s="117" t="s">
        <v>0</v>
      </c>
      <c r="M7" s="118" t="s">
        <v>1</v>
      </c>
      <c r="N7" s="118" t="s">
        <v>2</v>
      </c>
      <c r="O7" s="118" t="s">
        <v>3</v>
      </c>
      <c r="P7" s="119" t="s">
        <v>4</v>
      </c>
      <c r="Q7" s="117" t="s">
        <v>0</v>
      </c>
      <c r="R7" s="118" t="s">
        <v>1</v>
      </c>
      <c r="S7" s="118" t="s">
        <v>2</v>
      </c>
      <c r="T7" s="118" t="s">
        <v>3</v>
      </c>
      <c r="U7" s="118" t="s">
        <v>4</v>
      </c>
      <c r="V7" s="117" t="s">
        <v>0</v>
      </c>
      <c r="W7" s="118" t="s">
        <v>1</v>
      </c>
      <c r="X7" s="118" t="s">
        <v>2</v>
      </c>
      <c r="Y7" s="118" t="s">
        <v>3</v>
      </c>
      <c r="Z7" s="119" t="s">
        <v>4</v>
      </c>
    </row>
    <row r="8" spans="2:26" ht="12.75">
      <c r="B8" s="123">
        <v>1</v>
      </c>
      <c r="C8" s="124" t="s">
        <v>8</v>
      </c>
      <c r="D8" s="196"/>
      <c r="E8" s="125">
        <f>'Calc Sheet'!P8</f>
        <v>15.75</v>
      </c>
      <c r="F8" s="125">
        <f>'Calc Sheet'!Q8*'Equipment List &amp; Total Emission'!$B$8</f>
        <v>5.25</v>
      </c>
      <c r="G8" s="125">
        <f>'Calc Sheet'!R8*'Equipment List &amp; Total Emission'!$B$8</f>
        <v>40.25</v>
      </c>
      <c r="H8" s="125">
        <f>'Calc Sheet'!S8*'Equipment List &amp; Total Emission'!$B$8</f>
        <v>3.5000000000000004</v>
      </c>
      <c r="I8" s="126">
        <f>'Calc Sheet'!T8*'Equipment List &amp; Total Emission'!$B$8</f>
        <v>2.625</v>
      </c>
      <c r="J8" s="7"/>
      <c r="K8" s="7"/>
      <c r="L8" s="107">
        <f>V8/2000</f>
        <v>0</v>
      </c>
      <c r="M8" s="108">
        <f>W8/2000</f>
        <v>0</v>
      </c>
      <c r="N8" s="108">
        <f>X8/2000</f>
        <v>0</v>
      </c>
      <c r="O8" s="108">
        <f>Y8/2000</f>
        <v>0</v>
      </c>
      <c r="P8" s="109">
        <f>Z8/2000</f>
        <v>0</v>
      </c>
      <c r="Q8" s="105">
        <f>'Calc Sheet'!V8</f>
        <v>0</v>
      </c>
      <c r="R8" s="86">
        <f>'Calc Sheet'!W8</f>
        <v>0</v>
      </c>
      <c r="S8" s="86">
        <f>'Calc Sheet'!X8</f>
        <v>0</v>
      </c>
      <c r="T8" s="86">
        <f>'Calc Sheet'!Y8</f>
        <v>0</v>
      </c>
      <c r="U8" s="106">
        <f>'Calc Sheet'!Z8</f>
        <v>0</v>
      </c>
      <c r="V8" s="105">
        <f>Q8*$B$8</f>
        <v>0</v>
      </c>
      <c r="W8" s="86">
        <f>R8*$B$8</f>
        <v>0</v>
      </c>
      <c r="X8" s="86">
        <f>S8*$B$8</f>
        <v>0</v>
      </c>
      <c r="Y8" s="86">
        <f>T8*$B$8</f>
        <v>0</v>
      </c>
      <c r="Z8" s="106">
        <f>U8*$B$8</f>
        <v>0</v>
      </c>
    </row>
    <row r="9" spans="1:26" ht="12.75">
      <c r="A9" s="38"/>
      <c r="B9" s="45">
        <v>3</v>
      </c>
      <c r="C9" s="33" t="s">
        <v>45</v>
      </c>
      <c r="D9" s="49"/>
      <c r="E9" s="35">
        <f>'Calc Sheet'!P10*'Equipment List &amp; Total Emission'!$B$9</f>
        <v>3.7800000000000002</v>
      </c>
      <c r="F9" s="35">
        <f>'Calc Sheet'!Q10*'Equipment List &amp; Total Emission'!$B$9</f>
        <v>1.1129999999999998</v>
      </c>
      <c r="G9" s="35">
        <f>'Calc Sheet'!R10*'Equipment List &amp; Total Emission'!$B$9</f>
        <v>9.261</v>
      </c>
      <c r="H9" s="134">
        <v>0</v>
      </c>
      <c r="I9" s="46">
        <f>'Calc Sheet'!T10*'Equipment List &amp; Total Emission'!$B$9</f>
        <v>0.6509999999999999</v>
      </c>
      <c r="J9" s="7"/>
      <c r="K9" s="7"/>
      <c r="L9" s="42">
        <f aca="true" t="shared" si="0" ref="L9:N12">V9/2000</f>
        <v>0</v>
      </c>
      <c r="M9" s="43">
        <f t="shared" si="0"/>
        <v>0</v>
      </c>
      <c r="N9" s="43">
        <f t="shared" si="0"/>
        <v>0</v>
      </c>
      <c r="O9" s="43" t="s">
        <v>6</v>
      </c>
      <c r="P9" s="44">
        <f>Z9/2000</f>
        <v>0</v>
      </c>
      <c r="Q9" s="47">
        <f>'Calc Sheet'!V10</f>
        <v>0</v>
      </c>
      <c r="R9" s="7">
        <f>'Calc Sheet'!W10</f>
        <v>0</v>
      </c>
      <c r="S9" s="7">
        <f>'Calc Sheet'!X10</f>
        <v>0</v>
      </c>
      <c r="T9" s="7">
        <f>'Calc Sheet'!Y10</f>
        <v>0</v>
      </c>
      <c r="U9" s="48">
        <f>'Calc Sheet'!Z10</f>
        <v>0</v>
      </c>
      <c r="V9" s="45">
        <f>Q9*$B$9</f>
        <v>0</v>
      </c>
      <c r="W9" s="35">
        <f>R9*$B$9</f>
        <v>0</v>
      </c>
      <c r="X9" s="35">
        <f>S9*$B$9</f>
        <v>0</v>
      </c>
      <c r="Y9" s="7" t="str">
        <f>'Calc Sheet'!S10</f>
        <v>---</v>
      </c>
      <c r="Z9" s="44">
        <f>U9*$B$9</f>
        <v>0</v>
      </c>
    </row>
    <row r="10" spans="2:26" s="38" customFormat="1" ht="12.75">
      <c r="B10" s="110">
        <v>1</v>
      </c>
      <c r="C10" s="111" t="s">
        <v>9</v>
      </c>
      <c r="D10" s="112"/>
      <c r="E10" s="99">
        <f>'Calc Sheet'!P11*'Equipment List &amp; Total Emission'!$B$10</f>
        <v>11.25</v>
      </c>
      <c r="F10" s="99">
        <f>'Calc Sheet'!Q11*'Equipment List &amp; Total Emission'!$B$10</f>
        <v>2.25</v>
      </c>
      <c r="G10" s="99">
        <f>'Calc Sheet'!R11*'Equipment List &amp; Total Emission'!$B$10</f>
        <v>16.5</v>
      </c>
      <c r="H10" s="99">
        <f>'Calc Sheet'!S11*'Equipment List &amp; Total Emission'!$B$10</f>
        <v>1.5</v>
      </c>
      <c r="I10" s="113">
        <f>'Calc Sheet'!T11*'Equipment List &amp; Total Emission'!$B$10</f>
        <v>0.75</v>
      </c>
      <c r="J10" s="7"/>
      <c r="K10" s="7"/>
      <c r="L10" s="114">
        <f t="shared" si="0"/>
        <v>0</v>
      </c>
      <c r="M10" s="115">
        <f t="shared" si="0"/>
        <v>0</v>
      </c>
      <c r="N10" s="115">
        <f t="shared" si="0"/>
        <v>0</v>
      </c>
      <c r="O10" s="115">
        <f>Y10/2000</f>
        <v>0</v>
      </c>
      <c r="P10" s="116">
        <f>Z10/2000</f>
        <v>0</v>
      </c>
      <c r="Q10" s="110">
        <f>'Calc Sheet'!V11</f>
        <v>0</v>
      </c>
      <c r="R10" s="99">
        <f>'Calc Sheet'!W11</f>
        <v>0</v>
      </c>
      <c r="S10" s="99">
        <f>'Calc Sheet'!X11</f>
        <v>0</v>
      </c>
      <c r="T10" s="99">
        <f>'Calc Sheet'!Y11</f>
        <v>0</v>
      </c>
      <c r="U10" s="113">
        <f>'Calc Sheet'!Z11</f>
        <v>0</v>
      </c>
      <c r="V10" s="110">
        <f>Q10*$B$10</f>
        <v>0</v>
      </c>
      <c r="W10" s="99">
        <f>R10*$B$10</f>
        <v>0</v>
      </c>
      <c r="X10" s="99">
        <f>S10*$B$10</f>
        <v>0</v>
      </c>
      <c r="Y10" s="99">
        <f>T10*$B$10</f>
        <v>0</v>
      </c>
      <c r="Z10" s="113">
        <f>U10*$B$10</f>
        <v>0</v>
      </c>
    </row>
    <row r="11" spans="2:26" s="38" customFormat="1" ht="12.75">
      <c r="B11" s="45">
        <v>8</v>
      </c>
      <c r="C11" s="34" t="s">
        <v>10</v>
      </c>
      <c r="D11" s="49"/>
      <c r="E11" s="7">
        <f>'Calc Sheet'!P12*$B$11</f>
        <v>7.2</v>
      </c>
      <c r="F11" s="7">
        <f>'Calc Sheet'!Q12*$B$11</f>
        <v>1.4400000000000002</v>
      </c>
      <c r="G11" s="7">
        <f>'Calc Sheet'!R12*$B$11</f>
        <v>10.56</v>
      </c>
      <c r="H11" s="134">
        <v>0</v>
      </c>
      <c r="I11" s="48">
        <f>'Calc Sheet'!T12*$B$11</f>
        <v>0.48</v>
      </c>
      <c r="J11" s="7"/>
      <c r="K11" s="7"/>
      <c r="L11" s="42">
        <f t="shared" si="0"/>
        <v>0</v>
      </c>
      <c r="M11" s="43">
        <f t="shared" si="0"/>
        <v>0</v>
      </c>
      <c r="N11" s="43">
        <f t="shared" si="0"/>
        <v>0</v>
      </c>
      <c r="O11" s="43">
        <f>Y11/2000</f>
        <v>0</v>
      </c>
      <c r="P11" s="44">
        <f>Z11/2000</f>
        <v>0</v>
      </c>
      <c r="Q11" s="146">
        <f>'Calc Sheet'!V12</f>
        <v>0</v>
      </c>
      <c r="R11" s="56">
        <f>'Calc Sheet'!W12</f>
        <v>0</v>
      </c>
      <c r="S11" s="56">
        <f>'Calc Sheet'!X12</f>
        <v>0</v>
      </c>
      <c r="T11" s="7">
        <f>'Calc Sheet'!Y12</f>
        <v>0</v>
      </c>
      <c r="U11" s="147">
        <f>'Calc Sheet'!Z12</f>
        <v>0</v>
      </c>
      <c r="V11" s="42">
        <f>Q11*$B$11</f>
        <v>0</v>
      </c>
      <c r="W11" s="35">
        <f>R11*$B$11</f>
        <v>0</v>
      </c>
      <c r="X11" s="43">
        <f>S11*$B$11</f>
        <v>0</v>
      </c>
      <c r="Y11" s="35">
        <f>T11*$B$11</f>
        <v>0</v>
      </c>
      <c r="Z11" s="44">
        <f>U11*$B$11</f>
        <v>0</v>
      </c>
    </row>
    <row r="12" spans="2:26" s="38" customFormat="1" ht="13.5" thickBot="1">
      <c r="B12" s="45">
        <v>1</v>
      </c>
      <c r="C12" s="32" t="s">
        <v>11</v>
      </c>
      <c r="D12" s="49"/>
      <c r="E12" s="7">
        <f>'Calc Sheet'!P14*'Equipment List &amp; Total Emission'!$B$12</f>
        <v>0.44999999999999996</v>
      </c>
      <c r="F12" s="7">
        <f>'Calc Sheet'!Q14*'Equipment List &amp; Total Emission'!$B$12</f>
        <v>0.09</v>
      </c>
      <c r="G12" s="7">
        <f>'Calc Sheet'!R14*'Equipment List &amp; Total Emission'!$B$12</f>
        <v>1.08</v>
      </c>
      <c r="H12" s="7">
        <f>'Calc Sheet'!S14*'Equipment List &amp; Total Emission'!$B$12</f>
        <v>0.09</v>
      </c>
      <c r="I12" s="48">
        <f>'Calc Sheet'!T14*'Equipment List &amp; Total Emission'!$B$12</f>
        <v>0.045</v>
      </c>
      <c r="J12" s="7"/>
      <c r="K12" s="7"/>
      <c r="L12" s="42">
        <f t="shared" si="0"/>
        <v>0.0005250000000000001</v>
      </c>
      <c r="M12" s="43">
        <f t="shared" si="0"/>
        <v>0.00010499999999999999</v>
      </c>
      <c r="N12" s="43">
        <f t="shared" si="0"/>
        <v>0</v>
      </c>
      <c r="O12" s="43">
        <f>Y12/2000</f>
        <v>0</v>
      </c>
      <c r="P12" s="44">
        <f>Z12/2000</f>
        <v>0</v>
      </c>
      <c r="Q12" s="47">
        <f>'Calc Sheet'!V14</f>
        <v>1.05</v>
      </c>
      <c r="R12" s="7">
        <f>'Calc Sheet'!W14</f>
        <v>0.21</v>
      </c>
      <c r="S12" s="7">
        <f>'Calc Sheet'!X14</f>
        <v>0</v>
      </c>
      <c r="T12" s="7">
        <f>'Calc Sheet'!Y14</f>
        <v>0</v>
      </c>
      <c r="U12" s="48">
        <f>'Calc Sheet'!Z14</f>
        <v>0</v>
      </c>
      <c r="V12" s="135">
        <f>Q12*$B$12</f>
        <v>1.05</v>
      </c>
      <c r="W12" s="136">
        <f>R12*$B$12</f>
        <v>0.21</v>
      </c>
      <c r="X12" s="136">
        <f>S12*$B$12</f>
        <v>0</v>
      </c>
      <c r="Y12" s="136">
        <f>T12*$B$12</f>
        <v>0</v>
      </c>
      <c r="Z12" s="137">
        <f>U12*$B$12</f>
        <v>0</v>
      </c>
    </row>
    <row r="13" spans="2:26" s="38" customFormat="1" ht="13.5" thickBot="1">
      <c r="B13" s="102">
        <v>2</v>
      </c>
      <c r="C13" s="103" t="s">
        <v>57</v>
      </c>
      <c r="D13" s="197"/>
      <c r="E13" s="81">
        <f>'Calc Sheet'!P13*'Equipment List &amp; Total Emission'!$B$13</f>
        <v>5.389999999999999</v>
      </c>
      <c r="F13" s="81">
        <f>'Calc Sheet'!Q13*'Equipment List &amp; Total Emission'!$B$13</f>
        <v>0.98</v>
      </c>
      <c r="G13" s="81">
        <f>'Calc Sheet'!R13*'Equipment List &amp; Total Emission'!$B$13</f>
        <v>8.819999999999999</v>
      </c>
      <c r="H13" s="81">
        <f>'Calc Sheet'!S13*'Equipment List &amp; Total Emission'!$B$13</f>
        <v>0.98</v>
      </c>
      <c r="I13" s="104">
        <f>'Calc Sheet'!T13*'Equipment List &amp; Total Emission'!$B$13</f>
        <v>0.49</v>
      </c>
      <c r="J13" s="7"/>
      <c r="K13" s="7"/>
      <c r="L13" s="130">
        <f>V13/2000</f>
        <v>0.10741500000000001</v>
      </c>
      <c r="M13" s="131">
        <f>W13/2000</f>
        <v>0.019530000000000002</v>
      </c>
      <c r="N13" s="131">
        <f>X13/2000</f>
        <v>0.17577</v>
      </c>
      <c r="O13" s="131">
        <f>Y13/2000</f>
        <v>0.019530000000000002</v>
      </c>
      <c r="P13" s="132">
        <f>Z13/2000</f>
        <v>0.009765000000000001</v>
      </c>
      <c r="Q13" s="127">
        <v>107.415</v>
      </c>
      <c r="R13" s="128">
        <v>19.53</v>
      </c>
      <c r="S13" s="128">
        <v>175.77</v>
      </c>
      <c r="T13" s="128">
        <v>19.53</v>
      </c>
      <c r="U13" s="129">
        <v>9.765</v>
      </c>
      <c r="V13" s="127">
        <f>Q13*$B$13</f>
        <v>214.83</v>
      </c>
      <c r="W13" s="128">
        <f>R13*$B$13</f>
        <v>39.06</v>
      </c>
      <c r="X13" s="128">
        <f>S13*$B$13</f>
        <v>351.54</v>
      </c>
      <c r="Y13" s="128">
        <f>T13*$B$13</f>
        <v>39.06</v>
      </c>
      <c r="Z13" s="129">
        <f>U13*$B$13</f>
        <v>19.53</v>
      </c>
    </row>
    <row r="14" spans="2:17" ht="12.75">
      <c r="B14" s="204" t="s">
        <v>46</v>
      </c>
      <c r="C14" s="205"/>
      <c r="D14" s="206"/>
      <c r="E14" s="201">
        <v>10.8</v>
      </c>
      <c r="F14" s="202">
        <v>16.2</v>
      </c>
      <c r="G14" s="202">
        <v>3.6</v>
      </c>
      <c r="H14" s="202">
        <v>0</v>
      </c>
      <c r="I14" s="203">
        <v>0.8</v>
      </c>
      <c r="J14" s="7"/>
      <c r="L14" s="121">
        <f>(10.8*93)/2000</f>
        <v>0.5022000000000001</v>
      </c>
      <c r="M14" s="52">
        <f>(16.2*93)/2000</f>
        <v>0.7533</v>
      </c>
      <c r="N14" s="52">
        <f>(3.6*93)/2000</f>
        <v>0.1674</v>
      </c>
      <c r="O14" s="53">
        <v>0</v>
      </c>
      <c r="P14" s="122">
        <f>(0.8*93)/2000</f>
        <v>0.037200000000000004</v>
      </c>
      <c r="Q14" s="31" t="s">
        <v>18</v>
      </c>
    </row>
    <row r="15" spans="2:17" ht="13.5" thickBot="1">
      <c r="B15" s="198" t="s">
        <v>33</v>
      </c>
      <c r="C15" s="199"/>
      <c r="D15" s="200"/>
      <c r="E15" s="138">
        <f>SUM(E8:E12,E13:E14)</f>
        <v>54.620000000000005</v>
      </c>
      <c r="F15" s="138">
        <f>SUM(F8:F12,F13:F14)</f>
        <v>27.323</v>
      </c>
      <c r="G15" s="138">
        <f>SUM(G8:G12,G13:G14)</f>
        <v>90.07099999999998</v>
      </c>
      <c r="H15" s="138">
        <f>SUM(H8:H12,H13:H14)</f>
        <v>6.07</v>
      </c>
      <c r="I15" s="139">
        <f>SUM(I8:I12,I13:I14)</f>
        <v>5.841</v>
      </c>
      <c r="J15" s="145"/>
      <c r="L15" s="40">
        <f>SUM(L8:L12,L13:L13)</f>
        <v>0.10794000000000001</v>
      </c>
      <c r="M15" s="39">
        <f>SUM(M8:M12,M13:M13)</f>
        <v>0.019635000000000003</v>
      </c>
      <c r="N15" s="39">
        <f>SUM(N8:N12,N13:N13)</f>
        <v>0.17577</v>
      </c>
      <c r="O15" s="133">
        <f>SUM(O8:O12,O13:O13)</f>
        <v>0.019530000000000002</v>
      </c>
      <c r="P15" s="41">
        <f>SUM(P8:P12,P13:P13)</f>
        <v>0.009765000000000001</v>
      </c>
      <c r="Q15" s="120" t="s">
        <v>30</v>
      </c>
    </row>
    <row r="16" spans="2:17" ht="13.5" thickBot="1">
      <c r="B16" s="194" t="s">
        <v>48</v>
      </c>
      <c r="C16" s="195"/>
      <c r="D16" s="195"/>
      <c r="E16" s="186">
        <v>550</v>
      </c>
      <c r="F16" s="187">
        <v>75</v>
      </c>
      <c r="G16" s="187">
        <v>100</v>
      </c>
      <c r="H16" s="187">
        <v>150</v>
      </c>
      <c r="I16" s="188">
        <v>150</v>
      </c>
      <c r="J16" s="35"/>
      <c r="L16" s="210">
        <v>24.75</v>
      </c>
      <c r="M16" s="209">
        <v>2.5</v>
      </c>
      <c r="N16" s="209">
        <v>2.5</v>
      </c>
      <c r="O16" s="209">
        <v>6.75</v>
      </c>
      <c r="P16" s="211">
        <v>6.75</v>
      </c>
      <c r="Q16" s="120" t="s">
        <v>28</v>
      </c>
    </row>
    <row r="19" spans="2:3" ht="12.75">
      <c r="B19" s="180" t="s">
        <v>54</v>
      </c>
      <c r="C19" s="27"/>
    </row>
    <row r="20" spans="2:3" ht="12.75">
      <c r="B20" s="159" t="s">
        <v>55</v>
      </c>
      <c r="C20" s="27"/>
    </row>
    <row r="21" ht="15">
      <c r="B21" s="18" t="s">
        <v>24</v>
      </c>
    </row>
    <row r="22" ht="12.75">
      <c r="B22" s="208" t="s">
        <v>67</v>
      </c>
    </row>
    <row r="23" ht="12.75">
      <c r="B23" s="159" t="s">
        <v>68</v>
      </c>
    </row>
    <row r="24" ht="12.75">
      <c r="B24" s="159" t="s">
        <v>69</v>
      </c>
    </row>
    <row r="25" ht="12.75">
      <c r="B25" s="159" t="s">
        <v>71</v>
      </c>
    </row>
    <row r="26" ht="12.75">
      <c r="B26" s="159" t="s">
        <v>70</v>
      </c>
    </row>
  </sheetData>
  <sheetProtection/>
  <mergeCells count="21">
    <mergeCell ref="GC3:GR3"/>
    <mergeCell ref="GS3:HH3"/>
    <mergeCell ref="HI3:HX3"/>
    <mergeCell ref="HY3:IN3"/>
    <mergeCell ref="DQ3:EF3"/>
    <mergeCell ref="EG3:EV3"/>
    <mergeCell ref="EW3:FL3"/>
    <mergeCell ref="FM3:GB3"/>
    <mergeCell ref="CK3:CZ3"/>
    <mergeCell ref="DA3:DP3"/>
    <mergeCell ref="B7:D7"/>
    <mergeCell ref="E6:I6"/>
    <mergeCell ref="B3:I3"/>
    <mergeCell ref="AO3:BD3"/>
    <mergeCell ref="B6:D6"/>
    <mergeCell ref="Q6:U6"/>
    <mergeCell ref="V6:Z6"/>
    <mergeCell ref="L6:P6"/>
    <mergeCell ref="Y3:AN3"/>
    <mergeCell ref="BE3:BT3"/>
    <mergeCell ref="BU3:CJ3"/>
  </mergeCells>
  <printOptions horizontalCentered="1" verticalCentered="1"/>
  <pageMargins left="0.75" right="0.75" top="0.68" bottom="0.81" header="0.5" footer="0.5"/>
  <pageSetup horizontalDpi="600" verticalDpi="600" orientation="landscape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19.140625" style="0" customWidth="1"/>
    <col min="2" max="2" width="5.140625" style="26" customWidth="1"/>
    <col min="3" max="3" width="6.421875" style="26" customWidth="1"/>
    <col min="4" max="4" width="3.8515625" style="0" customWidth="1"/>
    <col min="5" max="5" width="12.57421875" style="26" customWidth="1"/>
    <col min="6" max="6" width="6.140625" style="0" customWidth="1"/>
    <col min="7" max="7" width="5.8515625" style="0" customWidth="1"/>
    <col min="8" max="9" width="6.00390625" style="0" customWidth="1"/>
    <col min="10" max="10" width="5.7109375" style="0" customWidth="1"/>
    <col min="11" max="11" width="5.57421875" style="0" customWidth="1"/>
    <col min="12" max="12" width="5.421875" style="0" customWidth="1"/>
    <col min="13" max="14" width="5.57421875" style="0" customWidth="1"/>
    <col min="15" max="15" width="6.00390625" style="0" customWidth="1"/>
    <col min="16" max="16" width="6.28125" style="0" customWidth="1"/>
    <col min="17" max="17" width="6.140625" style="17" customWidth="1"/>
    <col min="18" max="18" width="6.421875" style="17" customWidth="1"/>
    <col min="19" max="19" width="5.7109375" style="17" customWidth="1"/>
    <col min="20" max="20" width="6.140625" style="17" customWidth="1"/>
    <col min="21" max="21" width="6.7109375" style="17" customWidth="1"/>
    <col min="22" max="22" width="8.421875" style="17" customWidth="1"/>
  </cols>
  <sheetData>
    <row r="1" spans="1:21" s="2" customFormat="1" ht="12.75" customHeight="1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16" s="2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s="2" customFormat="1" ht="12.75" customHeight="1">
      <c r="A3" s="215" t="s">
        <v>34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</row>
    <row r="4" spans="1:24" s="1" customFormat="1" ht="19.5" customHeight="1">
      <c r="A4" s="74"/>
      <c r="B4" s="20"/>
      <c r="C4" s="20"/>
      <c r="D4" s="2"/>
      <c r="E4" s="28"/>
      <c r="F4" s="3"/>
      <c r="G4" s="3"/>
      <c r="H4" s="3"/>
      <c r="I4" s="3"/>
      <c r="J4" s="3"/>
      <c r="K4" s="3"/>
      <c r="Q4" s="2"/>
      <c r="R4" s="2"/>
      <c r="S4" s="2"/>
      <c r="T4" s="2"/>
      <c r="U4" s="2"/>
      <c r="V4" s="2"/>
      <c r="W4" s="2"/>
      <c r="X4" s="2"/>
    </row>
    <row r="5" spans="1:27" s="1" customFormat="1" ht="9.75">
      <c r="A5" s="237" t="s">
        <v>37</v>
      </c>
      <c r="B5" s="227" t="s">
        <v>38</v>
      </c>
      <c r="C5" s="227" t="s">
        <v>27</v>
      </c>
      <c r="D5" s="227" t="s">
        <v>51</v>
      </c>
      <c r="E5" s="227" t="s">
        <v>26</v>
      </c>
      <c r="F5" s="232" t="s">
        <v>52</v>
      </c>
      <c r="G5" s="233"/>
      <c r="H5" s="233"/>
      <c r="I5" s="233"/>
      <c r="J5" s="233"/>
      <c r="K5" s="234" t="s">
        <v>53</v>
      </c>
      <c r="L5" s="235"/>
      <c r="M5" s="235"/>
      <c r="N5" s="235"/>
      <c r="O5" s="236"/>
      <c r="P5" s="224" t="s">
        <v>29</v>
      </c>
      <c r="Q5" s="225"/>
      <c r="R5" s="225"/>
      <c r="S5" s="225"/>
      <c r="T5" s="226"/>
      <c r="U5" s="148"/>
      <c r="V5" s="229" t="s">
        <v>14</v>
      </c>
      <c r="W5" s="230"/>
      <c r="X5" s="230"/>
      <c r="Y5" s="230"/>
      <c r="Z5" s="231"/>
      <c r="AA5" s="227" t="s">
        <v>25</v>
      </c>
    </row>
    <row r="6" spans="1:27" s="6" customFormat="1" ht="26.25" customHeight="1">
      <c r="A6" s="238"/>
      <c r="B6" s="228"/>
      <c r="C6" s="239"/>
      <c r="D6" s="228"/>
      <c r="E6" s="228"/>
      <c r="F6" s="50" t="s">
        <v>0</v>
      </c>
      <c r="G6" s="51" t="s">
        <v>1</v>
      </c>
      <c r="H6" s="51" t="s">
        <v>2</v>
      </c>
      <c r="I6" s="51" t="s">
        <v>3</v>
      </c>
      <c r="J6" s="51" t="s">
        <v>4</v>
      </c>
      <c r="K6" s="50" t="s">
        <v>0</v>
      </c>
      <c r="L6" s="51" t="s">
        <v>1</v>
      </c>
      <c r="M6" s="51" t="s">
        <v>2</v>
      </c>
      <c r="N6" s="51" t="s">
        <v>3</v>
      </c>
      <c r="O6" s="58" t="s">
        <v>4</v>
      </c>
      <c r="P6" s="50" t="s">
        <v>0</v>
      </c>
      <c r="Q6" s="51" t="s">
        <v>1</v>
      </c>
      <c r="R6" s="51" t="s">
        <v>2</v>
      </c>
      <c r="S6" s="51" t="s">
        <v>3</v>
      </c>
      <c r="T6" s="58" t="s">
        <v>4</v>
      </c>
      <c r="U6" s="3"/>
      <c r="V6" s="50" t="s">
        <v>0</v>
      </c>
      <c r="W6" s="51" t="s">
        <v>1</v>
      </c>
      <c r="X6" s="51" t="s">
        <v>2</v>
      </c>
      <c r="Y6" s="51" t="s">
        <v>3</v>
      </c>
      <c r="Z6" s="58" t="s">
        <v>4</v>
      </c>
      <c r="AA6" s="228" t="s">
        <v>16</v>
      </c>
    </row>
    <row r="7" spans="1:27" s="1" customFormat="1" ht="9.75">
      <c r="A7" s="4"/>
      <c r="B7" s="8"/>
      <c r="C7" s="8"/>
      <c r="D7" s="2"/>
      <c r="E7" s="173"/>
      <c r="F7" s="182"/>
      <c r="G7" s="173"/>
      <c r="H7" s="173"/>
      <c r="I7" s="173"/>
      <c r="J7" s="173"/>
      <c r="K7" s="183"/>
      <c r="L7" s="181"/>
      <c r="M7" s="181"/>
      <c r="N7" s="181"/>
      <c r="O7" s="184"/>
      <c r="P7" s="163"/>
      <c r="Q7" s="165"/>
      <c r="R7" s="165"/>
      <c r="S7" s="165"/>
      <c r="T7" s="166"/>
      <c r="U7" s="8"/>
      <c r="V7" s="149"/>
      <c r="W7" s="8"/>
      <c r="X7" s="8"/>
      <c r="Y7" s="8"/>
      <c r="Z7" s="73"/>
      <c r="AA7" s="28"/>
    </row>
    <row r="8" spans="1:27" s="9" customFormat="1" ht="9.75">
      <c r="A8" s="89" t="s">
        <v>41</v>
      </c>
      <c r="B8" s="90" t="s">
        <v>15</v>
      </c>
      <c r="C8" s="90">
        <v>50</v>
      </c>
      <c r="D8" s="90">
        <v>10</v>
      </c>
      <c r="E8" s="91" t="s">
        <v>5</v>
      </c>
      <c r="F8" s="91">
        <v>0.009</v>
      </c>
      <c r="G8" s="91">
        <v>0.003</v>
      </c>
      <c r="H8" s="91">
        <v>0.023</v>
      </c>
      <c r="I8" s="91">
        <v>0.002</v>
      </c>
      <c r="J8" s="91">
        <v>0.0015</v>
      </c>
      <c r="K8" s="91">
        <f>F8*350</f>
        <v>3.15</v>
      </c>
      <c r="L8" s="92">
        <f>G8*350</f>
        <v>1.05</v>
      </c>
      <c r="M8" s="92">
        <f>H8*350</f>
        <v>8.05</v>
      </c>
      <c r="N8" s="92">
        <f>I8*350</f>
        <v>0.7000000000000001</v>
      </c>
      <c r="O8" s="141">
        <f>J8*350</f>
        <v>0.525</v>
      </c>
      <c r="P8" s="91">
        <f>K8*($C8/100)*$D8</f>
        <v>15.75</v>
      </c>
      <c r="Q8" s="92">
        <f>L8*($C8/100)*$D8</f>
        <v>5.25</v>
      </c>
      <c r="R8" s="92">
        <f>M8*($C8/100)*$D8</f>
        <v>40.25</v>
      </c>
      <c r="S8" s="92">
        <f>N8*($C8/100)*$D8</f>
        <v>3.5000000000000004</v>
      </c>
      <c r="T8" s="141">
        <f>O8*($C8/100)*$D8</f>
        <v>2.625</v>
      </c>
      <c r="U8" s="7"/>
      <c r="V8" s="150"/>
      <c r="W8" s="93"/>
      <c r="X8" s="93"/>
      <c r="Y8" s="93"/>
      <c r="Z8" s="94"/>
      <c r="AA8" s="90">
        <v>56</v>
      </c>
    </row>
    <row r="9" spans="1:27" s="9" customFormat="1" ht="9.75">
      <c r="A9" s="95" t="s">
        <v>7</v>
      </c>
      <c r="B9" s="84" t="s">
        <v>15</v>
      </c>
      <c r="C9" s="84">
        <v>70</v>
      </c>
      <c r="D9" s="84">
        <v>10</v>
      </c>
      <c r="E9" s="85" t="s">
        <v>5</v>
      </c>
      <c r="F9" s="85">
        <v>0.009</v>
      </c>
      <c r="G9" s="85">
        <v>0.003</v>
      </c>
      <c r="H9" s="85">
        <v>0.023</v>
      </c>
      <c r="I9" s="85">
        <v>0.002</v>
      </c>
      <c r="J9" s="85">
        <v>0.0015</v>
      </c>
      <c r="K9" s="85">
        <f>F9*250</f>
        <v>2.25</v>
      </c>
      <c r="L9" s="86">
        <f>G9*250</f>
        <v>0.75</v>
      </c>
      <c r="M9" s="86">
        <f>H9*250</f>
        <v>5.75</v>
      </c>
      <c r="N9" s="86">
        <f>I9*250</f>
        <v>0.5</v>
      </c>
      <c r="O9" s="142">
        <f>J9*250</f>
        <v>0.375</v>
      </c>
      <c r="P9" s="85">
        <f aca="true" t="shared" si="0" ref="P9:P14">K9*($C9/100)*$D9</f>
        <v>15.75</v>
      </c>
      <c r="Q9" s="86">
        <f aca="true" t="shared" si="1" ref="Q9:Q14">L9*($C9/100)*$D9</f>
        <v>5.249999999999999</v>
      </c>
      <c r="R9" s="86">
        <f aca="true" t="shared" si="2" ref="R9:S14">M9*($C9/100)*$D9</f>
        <v>40.24999999999999</v>
      </c>
      <c r="S9" s="86">
        <f>N9*($C9/100)*$D9</f>
        <v>3.5</v>
      </c>
      <c r="T9" s="142">
        <f aca="true" t="shared" si="3" ref="T9:T14">O9*($C9/100)*$D9</f>
        <v>2.6249999999999996</v>
      </c>
      <c r="U9" s="7"/>
      <c r="V9" s="151"/>
      <c r="W9" s="87"/>
      <c r="X9" s="87"/>
      <c r="Y9" s="87"/>
      <c r="Z9" s="88"/>
      <c r="AA9" s="84">
        <v>56</v>
      </c>
    </row>
    <row r="10" spans="1:27" s="9" customFormat="1" ht="9.75">
      <c r="A10" s="75" t="s">
        <v>43</v>
      </c>
      <c r="B10" s="30" t="s">
        <v>15</v>
      </c>
      <c r="C10" s="76">
        <v>70</v>
      </c>
      <c r="D10" s="29">
        <v>10</v>
      </c>
      <c r="E10" s="64" t="s">
        <v>44</v>
      </c>
      <c r="F10" s="29" t="s">
        <v>42</v>
      </c>
      <c r="G10" s="7" t="s">
        <v>42</v>
      </c>
      <c r="H10" s="29" t="s">
        <v>42</v>
      </c>
      <c r="I10" s="7" t="s">
        <v>42</v>
      </c>
      <c r="J10" s="29" t="s">
        <v>42</v>
      </c>
      <c r="K10" s="161">
        <v>0.18</v>
      </c>
      <c r="L10" s="7">
        <v>0.053</v>
      </c>
      <c r="M10" s="7">
        <v>0.441</v>
      </c>
      <c r="N10" s="164" t="s">
        <v>6</v>
      </c>
      <c r="O10" s="167">
        <v>0.031</v>
      </c>
      <c r="P10" s="161">
        <f t="shared" si="0"/>
        <v>1.26</v>
      </c>
      <c r="Q10" s="134">
        <f t="shared" si="1"/>
        <v>0.37099999999999994</v>
      </c>
      <c r="R10" s="134">
        <f t="shared" si="2"/>
        <v>3.0869999999999997</v>
      </c>
      <c r="S10" s="164" t="s">
        <v>6</v>
      </c>
      <c r="T10" s="176">
        <f t="shared" si="3"/>
        <v>0.21699999999999997</v>
      </c>
      <c r="U10" s="54"/>
      <c r="V10" s="152"/>
      <c r="W10" s="52"/>
      <c r="X10" s="52"/>
      <c r="Y10" s="61"/>
      <c r="Z10" s="68"/>
      <c r="AA10" s="29">
        <v>112</v>
      </c>
    </row>
    <row r="11" spans="1:27" s="9" customFormat="1" ht="9.75">
      <c r="A11" s="96" t="s">
        <v>50</v>
      </c>
      <c r="B11" s="97" t="s">
        <v>15</v>
      </c>
      <c r="C11" s="97">
        <v>50</v>
      </c>
      <c r="D11" s="97">
        <v>10</v>
      </c>
      <c r="E11" s="160" t="s">
        <v>12</v>
      </c>
      <c r="F11" s="98">
        <v>0.015</v>
      </c>
      <c r="G11" s="98">
        <v>0.003</v>
      </c>
      <c r="H11" s="98">
        <v>0.022</v>
      </c>
      <c r="I11" s="98">
        <v>0.002</v>
      </c>
      <c r="J11" s="98">
        <v>0.001</v>
      </c>
      <c r="K11" s="98">
        <f>F11*150</f>
        <v>2.25</v>
      </c>
      <c r="L11" s="99">
        <f aca="true" t="shared" si="4" ref="L11:O12">G11*150</f>
        <v>0.45</v>
      </c>
      <c r="M11" s="99">
        <f t="shared" si="4"/>
        <v>3.3</v>
      </c>
      <c r="N11" s="99">
        <f t="shared" si="4"/>
        <v>0.3</v>
      </c>
      <c r="O11" s="168">
        <f t="shared" si="4"/>
        <v>0.15</v>
      </c>
      <c r="P11" s="98">
        <f t="shared" si="0"/>
        <v>11.25</v>
      </c>
      <c r="Q11" s="99">
        <f t="shared" si="1"/>
        <v>2.25</v>
      </c>
      <c r="R11" s="99">
        <f t="shared" si="2"/>
        <v>16.5</v>
      </c>
      <c r="S11" s="99">
        <f t="shared" si="2"/>
        <v>1.5</v>
      </c>
      <c r="T11" s="168">
        <f t="shared" si="3"/>
        <v>0.75</v>
      </c>
      <c r="U11" s="134"/>
      <c r="V11" s="153"/>
      <c r="W11" s="100"/>
      <c r="X11" s="100"/>
      <c r="Y11" s="100"/>
      <c r="Z11" s="101"/>
      <c r="AA11" s="97">
        <f>14</f>
        <v>14</v>
      </c>
    </row>
    <row r="12" spans="1:27" s="9" customFormat="1" ht="9.75">
      <c r="A12" s="59" t="s">
        <v>10</v>
      </c>
      <c r="B12" s="29" t="s">
        <v>15</v>
      </c>
      <c r="C12" s="29">
        <v>20</v>
      </c>
      <c r="D12" s="29">
        <v>2</v>
      </c>
      <c r="E12" s="172" t="s">
        <v>12</v>
      </c>
      <c r="F12" s="161">
        <v>0.015</v>
      </c>
      <c r="G12" s="161">
        <v>0.003</v>
      </c>
      <c r="H12" s="161">
        <v>0.022</v>
      </c>
      <c r="I12" s="161">
        <v>0.002</v>
      </c>
      <c r="J12" s="161">
        <v>0.001</v>
      </c>
      <c r="K12" s="161">
        <f>F12*150</f>
        <v>2.25</v>
      </c>
      <c r="L12" s="161">
        <f t="shared" si="4"/>
        <v>0.45</v>
      </c>
      <c r="M12" s="161">
        <f t="shared" si="4"/>
        <v>3.3</v>
      </c>
      <c r="N12" s="161">
        <f t="shared" si="4"/>
        <v>0.3</v>
      </c>
      <c r="O12" s="161">
        <f t="shared" si="4"/>
        <v>0.15</v>
      </c>
      <c r="P12" s="161">
        <f t="shared" si="0"/>
        <v>0.9</v>
      </c>
      <c r="Q12" s="7">
        <f t="shared" si="1"/>
        <v>0.18000000000000002</v>
      </c>
      <c r="R12" s="7">
        <f t="shared" si="2"/>
        <v>1.32</v>
      </c>
      <c r="S12" s="164" t="s">
        <v>6</v>
      </c>
      <c r="T12" s="167">
        <f t="shared" si="3"/>
        <v>0.06</v>
      </c>
      <c r="U12" s="54"/>
      <c r="V12" s="152"/>
      <c r="W12" s="52"/>
      <c r="X12" s="52"/>
      <c r="Y12" s="52"/>
      <c r="Z12" s="68"/>
      <c r="AA12" s="29">
        <v>80</v>
      </c>
    </row>
    <row r="13" spans="1:27" s="38" customFormat="1" ht="12.75">
      <c r="A13" s="78" t="s">
        <v>57</v>
      </c>
      <c r="B13" s="79" t="s">
        <v>15</v>
      </c>
      <c r="C13" s="79">
        <v>70</v>
      </c>
      <c r="D13" s="79">
        <v>10</v>
      </c>
      <c r="E13" s="80" t="s">
        <v>13</v>
      </c>
      <c r="F13" s="80">
        <v>0.011</v>
      </c>
      <c r="G13" s="80">
        <v>0.002</v>
      </c>
      <c r="H13" s="80">
        <v>0.018</v>
      </c>
      <c r="I13" s="80">
        <v>0.002</v>
      </c>
      <c r="J13" s="80">
        <v>0.001</v>
      </c>
      <c r="K13" s="80">
        <f>F13*35</f>
        <v>0.38499999999999995</v>
      </c>
      <c r="L13" s="80">
        <f>G13*35</f>
        <v>0.07</v>
      </c>
      <c r="M13" s="80">
        <f>H13*35</f>
        <v>0.63</v>
      </c>
      <c r="N13" s="80">
        <f>I13*35</f>
        <v>0.07</v>
      </c>
      <c r="O13" s="80">
        <f>J13*35</f>
        <v>0.035</v>
      </c>
      <c r="P13" s="80">
        <f t="shared" si="0"/>
        <v>2.6949999999999994</v>
      </c>
      <c r="Q13" s="81">
        <f t="shared" si="1"/>
        <v>0.49</v>
      </c>
      <c r="R13" s="81">
        <f t="shared" si="2"/>
        <v>4.409999999999999</v>
      </c>
      <c r="S13" s="81">
        <f t="shared" si="2"/>
        <v>0.49</v>
      </c>
      <c r="T13" s="177">
        <f t="shared" si="3"/>
        <v>0.245</v>
      </c>
      <c r="U13" s="7"/>
      <c r="V13" s="154"/>
      <c r="W13" s="82"/>
      <c r="X13" s="82"/>
      <c r="Y13" s="82"/>
      <c r="Z13" s="83"/>
      <c r="AA13" s="79">
        <v>56</v>
      </c>
    </row>
    <row r="14" spans="1:27" ht="12.75">
      <c r="A14" s="77" t="s">
        <v>11</v>
      </c>
      <c r="B14" s="62" t="s">
        <v>15</v>
      </c>
      <c r="C14" s="63">
        <v>30</v>
      </c>
      <c r="D14" s="62">
        <v>10</v>
      </c>
      <c r="E14" s="162" t="s">
        <v>58</v>
      </c>
      <c r="F14" s="62">
        <v>0.01</v>
      </c>
      <c r="G14" s="170">
        <v>0.002</v>
      </c>
      <c r="H14" s="62">
        <v>0.024</v>
      </c>
      <c r="I14" s="170">
        <v>0.002</v>
      </c>
      <c r="J14" s="185">
        <v>0.001</v>
      </c>
      <c r="K14" s="65">
        <f>F14*15</f>
        <v>0.15</v>
      </c>
      <c r="L14" s="65">
        <f>G14*15</f>
        <v>0.03</v>
      </c>
      <c r="M14" s="65">
        <f>H14*15</f>
        <v>0.36</v>
      </c>
      <c r="N14" s="65">
        <f>I14*15</f>
        <v>0.03</v>
      </c>
      <c r="O14" s="65">
        <f>J14*15</f>
        <v>0.015</v>
      </c>
      <c r="P14" s="169">
        <f t="shared" si="0"/>
        <v>0.44999999999999996</v>
      </c>
      <c r="Q14" s="179">
        <f t="shared" si="1"/>
        <v>0.09</v>
      </c>
      <c r="R14" s="170">
        <f t="shared" si="2"/>
        <v>1.08</v>
      </c>
      <c r="S14" s="171">
        <f t="shared" si="2"/>
        <v>0.09</v>
      </c>
      <c r="T14" s="178">
        <f t="shared" si="3"/>
        <v>0.045</v>
      </c>
      <c r="U14" s="54"/>
      <c r="V14" s="152">
        <f>K14*$AA$14</f>
        <v>1.05</v>
      </c>
      <c r="W14" s="52">
        <f>L14*$AA$14</f>
        <v>0.21</v>
      </c>
      <c r="X14" s="67"/>
      <c r="Y14" s="54"/>
      <c r="Z14" s="69"/>
      <c r="AA14" s="30">
        <v>7</v>
      </c>
    </row>
    <row r="15" spans="1:27" s="11" customFormat="1" ht="9.75">
      <c r="A15" s="10"/>
      <c r="B15" s="21"/>
      <c r="C15" s="21"/>
      <c r="E15" s="22"/>
      <c r="Q15" s="3"/>
      <c r="R15" s="3"/>
      <c r="S15" s="3"/>
      <c r="T15" s="3"/>
      <c r="U15" s="3"/>
      <c r="V15" s="3"/>
      <c r="W15" s="155" t="s">
        <v>0</v>
      </c>
      <c r="X15" s="66" t="s">
        <v>1</v>
      </c>
      <c r="Y15" s="3" t="s">
        <v>2</v>
      </c>
      <c r="Z15" s="66" t="s">
        <v>3</v>
      </c>
      <c r="AA15" s="66" t="s">
        <v>4</v>
      </c>
    </row>
    <row r="16" spans="1:27" s="11" customFormat="1" ht="15">
      <c r="A16" s="19" t="s">
        <v>17</v>
      </c>
      <c r="B16" s="22"/>
      <c r="C16" s="22"/>
      <c r="E16" s="22"/>
      <c r="F16" s="5"/>
      <c r="G16" s="5"/>
      <c r="H16" s="5"/>
      <c r="I16" s="5"/>
      <c r="J16" s="5"/>
      <c r="K16" s="5"/>
      <c r="P16" s="1"/>
      <c r="Q16" s="140"/>
      <c r="R16" s="140"/>
      <c r="S16" s="140"/>
      <c r="T16" s="140"/>
      <c r="U16" s="140"/>
      <c r="V16" s="55"/>
      <c r="W16" s="156">
        <f>SUM(V8:V14)</f>
        <v>1.05</v>
      </c>
      <c r="X16" s="71">
        <f>SUM(W8:W14)</f>
        <v>0.21</v>
      </c>
      <c r="Y16" s="71">
        <f>SUM(X8:X14)</f>
        <v>0</v>
      </c>
      <c r="Z16" s="71">
        <f>SUM(Y8:Y14)</f>
        <v>0</v>
      </c>
      <c r="AA16" s="72">
        <f>SUM(Z8:Z14)</f>
        <v>0</v>
      </c>
    </row>
    <row r="17" spans="1:27" s="11" customFormat="1" ht="15">
      <c r="A17" s="157" t="s">
        <v>35</v>
      </c>
      <c r="B17" s="22"/>
      <c r="C17" s="22"/>
      <c r="E17" s="22"/>
      <c r="F17" s="5"/>
      <c r="G17" s="5"/>
      <c r="H17" s="5"/>
      <c r="I17" s="5"/>
      <c r="J17" s="5"/>
      <c r="K17" s="5"/>
      <c r="P17" s="1"/>
      <c r="Q17" s="5"/>
      <c r="R17" s="55"/>
      <c r="S17" s="55"/>
      <c r="T17" s="55"/>
      <c r="U17" s="55"/>
      <c r="V17" s="55"/>
      <c r="W17" s="221" t="s">
        <v>23</v>
      </c>
      <c r="X17" s="222"/>
      <c r="Y17" s="222"/>
      <c r="Z17" s="222"/>
      <c r="AA17" s="223"/>
    </row>
    <row r="18" spans="1:22" s="9" customFormat="1" ht="13.5" customHeight="1">
      <c r="A18" s="158" t="s">
        <v>36</v>
      </c>
      <c r="B18" s="60"/>
      <c r="C18" s="60"/>
      <c r="D18" s="7"/>
      <c r="E18" s="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2"/>
      <c r="R18" s="52"/>
      <c r="S18" s="52"/>
      <c r="T18" s="53"/>
      <c r="U18" s="56"/>
      <c r="V18" s="56"/>
    </row>
    <row r="19" spans="2:29" s="11" customFormat="1" ht="12.75" customHeight="1">
      <c r="B19" s="70"/>
      <c r="C19" s="70"/>
      <c r="D19" s="14"/>
      <c r="E19" s="70"/>
      <c r="Q19" s="5"/>
      <c r="R19" s="55"/>
      <c r="S19" s="55"/>
      <c r="T19" s="55"/>
      <c r="U19" s="55"/>
      <c r="V19" s="55"/>
      <c r="W19" s="220"/>
      <c r="X19" s="220"/>
      <c r="Y19" s="220"/>
      <c r="Z19" s="220"/>
      <c r="AA19" s="220"/>
      <c r="AB19" s="5"/>
      <c r="AC19" s="2"/>
    </row>
    <row r="20" spans="1:29" s="1" customFormat="1" ht="9.75">
      <c r="A20" s="1" t="s">
        <v>40</v>
      </c>
      <c r="C20" s="22"/>
      <c r="E20" s="28"/>
      <c r="Q20" s="57"/>
      <c r="R20" s="3"/>
      <c r="S20" s="3"/>
      <c r="T20" s="3"/>
      <c r="U20" s="3"/>
      <c r="V20" s="3"/>
      <c r="W20" s="3"/>
      <c r="X20" s="3"/>
      <c r="Y20" s="3"/>
      <c r="Z20" s="3"/>
      <c r="AA20" s="3"/>
      <c r="AB20" s="57"/>
      <c r="AC20" s="2"/>
    </row>
    <row r="21" spans="1:22" s="1" customFormat="1" ht="9.75">
      <c r="A21" s="9"/>
      <c r="B21" s="1" t="s">
        <v>61</v>
      </c>
      <c r="C21" s="23"/>
      <c r="E21" s="207" t="s">
        <v>60</v>
      </c>
      <c r="Q21" s="2"/>
      <c r="R21" s="2"/>
      <c r="S21" s="2"/>
      <c r="T21" s="2"/>
      <c r="U21" s="2"/>
      <c r="V21" s="2"/>
    </row>
    <row r="22" spans="1:22" s="1" customFormat="1" ht="9.75">
      <c r="A22" s="9"/>
      <c r="B22" s="1" t="s">
        <v>62</v>
      </c>
      <c r="C22" s="23"/>
      <c r="E22" s="207" t="s">
        <v>63</v>
      </c>
      <c r="Q22" s="2"/>
      <c r="R22" s="2"/>
      <c r="S22" s="2"/>
      <c r="T22" s="2"/>
      <c r="U22" s="2"/>
      <c r="V22" s="2"/>
    </row>
    <row r="23" spans="2:22" s="1" customFormat="1" ht="15">
      <c r="B23" s="1" t="s">
        <v>64</v>
      </c>
      <c r="C23" s="24"/>
      <c r="D23" s="174"/>
      <c r="E23" s="175" t="s">
        <v>49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4"/>
      <c r="R23" s="15"/>
      <c r="S23" s="2"/>
      <c r="T23" s="2"/>
      <c r="U23" s="2"/>
      <c r="V23" s="2"/>
    </row>
    <row r="24" spans="2:22" s="1" customFormat="1" ht="15">
      <c r="B24" s="24"/>
      <c r="C24" s="24"/>
      <c r="E24" s="175" t="s">
        <v>65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6"/>
      <c r="R24" s="15"/>
      <c r="S24" s="2"/>
      <c r="T24" s="2"/>
      <c r="U24" s="2"/>
      <c r="V24" s="2"/>
    </row>
    <row r="25" spans="2:5" ht="15">
      <c r="B25" s="25"/>
      <c r="C25" s="25"/>
      <c r="E25" s="175" t="s">
        <v>66</v>
      </c>
    </row>
    <row r="26" spans="2:3" ht="15">
      <c r="B26" s="25"/>
      <c r="C26" s="25"/>
    </row>
  </sheetData>
  <sheetProtection/>
  <mergeCells count="14">
    <mergeCell ref="E5:E6"/>
    <mergeCell ref="A1:U1"/>
    <mergeCell ref="A3:U3"/>
    <mergeCell ref="F5:J5"/>
    <mergeCell ref="K5:O5"/>
    <mergeCell ref="A5:A6"/>
    <mergeCell ref="B5:B6"/>
    <mergeCell ref="C5:C6"/>
    <mergeCell ref="D5:D6"/>
    <mergeCell ref="W19:AA19"/>
    <mergeCell ref="W17:AA17"/>
    <mergeCell ref="P5:T5"/>
    <mergeCell ref="AA5:AA6"/>
    <mergeCell ref="V5:Z5"/>
  </mergeCells>
  <printOptions horizontalCentered="1" verticalCentered="1"/>
  <pageMargins left="0.27" right="0.27" top="0.61" bottom="1" header="0.32" footer="0.5"/>
  <pageSetup horizontalDpi="600" verticalDpi="600" orientation="landscape" r:id="rId1"/>
  <headerFooter alignWithMargins="0">
    <oddFooter>&amp;Cconstrn-emissions&amp;RPage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pcbrads0</dc:creator>
  <cp:keywords/>
  <dc:description/>
  <cp:lastModifiedBy>dsasaki</cp:lastModifiedBy>
  <cp:lastPrinted>2001-01-18T23:44:17Z</cp:lastPrinted>
  <dcterms:created xsi:type="dcterms:W3CDTF">2000-11-29T02:31:27Z</dcterms:created>
  <dcterms:modified xsi:type="dcterms:W3CDTF">2014-08-06T18:32:06Z</dcterms:modified>
  <cp:category/>
  <cp:version/>
  <cp:contentType/>
  <cp:contentStatus/>
</cp:coreProperties>
</file>