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16" tabRatio="815" activeTab="0"/>
  </bookViews>
  <sheets>
    <sheet name="CBE added CoPollutants" sheetId="1" r:id="rId1"/>
    <sheet name=" Replace Process Heater" sheetId="2" r:id="rId2"/>
    <sheet name="Optimize Process Heater" sheetId="3" r:id="rId3"/>
    <sheet name="Recover Flue Gas Heat" sheetId="4" r:id="rId4"/>
    <sheet name="Replace Refractory Brick" sheetId="5" r:id="rId5"/>
    <sheet name="Insulation Maintenanc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<sst xmlns="http://schemas.openxmlformats.org/spreadsheetml/2006/main" count="446" uniqueCount="118">
  <si>
    <t>Insulation Maintenance (Category 2)</t>
  </si>
  <si>
    <t>Iron and Steel</t>
  </si>
  <si>
    <t>Sub-Sector</t>
  </si>
  <si>
    <t>Annuity Factor</t>
  </si>
  <si>
    <t>Years</t>
  </si>
  <si>
    <t>Interest Rate</t>
  </si>
  <si>
    <t>Unit Cost for Size</t>
  </si>
  <si>
    <t>Number of Entities</t>
  </si>
  <si>
    <t>Efficiency of New Unit (percent)</t>
  </si>
  <si>
    <t>Petroleum</t>
  </si>
  <si>
    <t>77-83</t>
  </si>
  <si>
    <t>Food</t>
  </si>
  <si>
    <t>Number of Units</t>
  </si>
  <si>
    <t>Total</t>
  </si>
  <si>
    <t>Iron and Steal</t>
  </si>
  <si>
    <t>Chemical</t>
  </si>
  <si>
    <t>Assumptions</t>
  </si>
  <si>
    <t>Calculations</t>
  </si>
  <si>
    <t>Number of Total Process Heaters</t>
  </si>
  <si>
    <t>Insulation Maintenance (Category 1)</t>
  </si>
  <si>
    <r>
      <t>Carbon Intensity Natural Gas (MTCO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e/MMBTU)</t>
    </r>
  </si>
  <si>
    <t>Total Capital Cost 
(2 Year Payback)</t>
  </si>
  <si>
    <t>Price per Unit</t>
  </si>
  <si>
    <t>Hours per Year</t>
  </si>
  <si>
    <t>Recover Flue Gas Heat (Category 1)</t>
  </si>
  <si>
    <t>Recover Flue Gas Heat (Category 2)</t>
  </si>
  <si>
    <t>Replace Refractory Brick (Category 2)</t>
  </si>
  <si>
    <t>Replace Refractory Brick (Category 1)</t>
  </si>
  <si>
    <t>Optimize Process Heater (Category 1)</t>
  </si>
  <si>
    <r>
      <t xml:space="preserve">1  </t>
    </r>
    <r>
      <rPr>
        <sz val="10"/>
        <rFont val="Arial"/>
        <family val="0"/>
      </rPr>
      <t>Uses the widest range of boiler efficiencies</t>
    </r>
  </si>
  <si>
    <t>Assumption</t>
  </si>
  <si>
    <t>&gt;60</t>
  </si>
  <si>
    <t>10-100</t>
  </si>
  <si>
    <r>
      <t>2008 Emissions (MTCO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e)</t>
    </r>
  </si>
  <si>
    <t>Total Annual Capital Cost</t>
  </si>
  <si>
    <t>Total Annual Savings</t>
  </si>
  <si>
    <t xml:space="preserve">Total Annual Capital Cost </t>
  </si>
  <si>
    <t xml:space="preserve">Total Annual Savings </t>
  </si>
  <si>
    <r>
      <t>2</t>
    </r>
    <r>
      <rPr>
        <sz val="10"/>
        <rFont val="Arial"/>
        <family val="0"/>
      </rPr>
      <t xml:space="preserve"> For Category 2, staff assumed a 50 percent greater cost than Category 1</t>
    </r>
  </si>
  <si>
    <r>
      <t>Price per Unit</t>
    </r>
    <r>
      <rPr>
        <vertAlign val="superscript"/>
        <sz val="10"/>
        <rFont val="Arial"/>
        <family val="2"/>
      </rPr>
      <t>2</t>
    </r>
  </si>
  <si>
    <t>Optimize Process Heater (Category 2)</t>
  </si>
  <si>
    <r>
      <t>Carbon Intensity of Natural Gas
(MTCO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e/MMBTU)</t>
    </r>
  </si>
  <si>
    <t>10–30</t>
  </si>
  <si>
    <t>10–100</t>
  </si>
  <si>
    <t>77–83</t>
  </si>
  <si>
    <t>Replace Low Efficiency Process Heaters</t>
  </si>
  <si>
    <t>Replace Medium Efficiency Process Heaters</t>
  </si>
  <si>
    <r>
      <t>Abatement Cost 
($/MTCO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e)</t>
    </r>
  </si>
  <si>
    <r>
      <t>Carbon Intensity Natural Gas 
(MTCO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e/MMBTU)</t>
    </r>
  </si>
  <si>
    <t>Total Fuel Reduction 
(MMBTU)</t>
  </si>
  <si>
    <t>Efficiency Increase 
(percent)</t>
  </si>
  <si>
    <t>Feasibility 
(percent)</t>
  </si>
  <si>
    <r>
      <t>GHG Reduction 
(MTCO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e)</t>
    </r>
  </si>
  <si>
    <t>Process Heater Size Range 
(MMBTU/hr)</t>
  </si>
  <si>
    <r>
      <t>Process Heater Efficiency (staff estimate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) 
(percent)</t>
    </r>
  </si>
  <si>
    <t>Process Heater Size 
(staff estimate 
(MBTU/hr)</t>
  </si>
  <si>
    <t>Capacity
(staff estimate) 
(percent)</t>
  </si>
  <si>
    <t>Average Process Heater Fuel Use 
(MMBTU)</t>
  </si>
  <si>
    <t>Feasibility
(percent)</t>
  </si>
  <si>
    <t>Efficiency Increase
(percent)</t>
  </si>
  <si>
    <t>Process Heater Size 
(staff estimate) 
(MMBTU/hr)</t>
  </si>
  <si>
    <r>
      <t>Process Heater Efficiency 
(staff estimate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) 
(percent)</t>
    </r>
  </si>
  <si>
    <t>Capacity 
(staff estimate) 
(percent)</t>
  </si>
  <si>
    <r>
      <t>2008 Emissions 
(MTCO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e)</t>
    </r>
  </si>
  <si>
    <t>Total Fuel Reduction
(MMBTU)</t>
  </si>
  <si>
    <r>
      <t>Process Heater Efficiency 
(staff estimate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)
(percent)</t>
    </r>
  </si>
  <si>
    <t>Efficiency of Old Unit 
(percent)</t>
  </si>
  <si>
    <t>Efficiency of New Unit 
(percent)</t>
  </si>
  <si>
    <t>Unit Size 
(MMBTU/hr)</t>
  </si>
  <si>
    <t>Percent of Fuel Used By Process Heat</t>
  </si>
  <si>
    <t>2020 Price of Fuel 
($/MMBTU)</t>
  </si>
  <si>
    <t>Percent of Fuel Use By Process Heat</t>
  </si>
  <si>
    <t>Percent of Fuel Use by Process Heat</t>
  </si>
  <si>
    <t>2020 Price of Fuel ($/MMBTU)</t>
  </si>
  <si>
    <t>References for this spreadsheet can be found in the Cap-and-Trade Regulation Staff Report References and/or Appendix F.</t>
  </si>
  <si>
    <t>Proposed Regulation to Implement the California Cap-and-Trade Program: Supplemental Materials for the Compliance Pathways Analysis (Staff Report Chapter V and Appendix F)</t>
  </si>
  <si>
    <t>Available for download at http://www.arb.ca.gov/regact/2010/capandtrade10/capandtrade10.htm</t>
  </si>
  <si>
    <t xml:space="preserve">CBE Summary of CARB Potential for Industrial Boiler Fuel Reduction (MMBTU) Statewide, </t>
  </si>
  <si>
    <t>2008 data from CARB spreadsheet</t>
  </si>
  <si>
    <t>TOTAL 1-3</t>
  </si>
  <si>
    <t>Sub Sector</t>
  </si>
  <si>
    <t>GRAND TOTAL</t>
  </si>
  <si>
    <t>Million BTUs</t>
  </si>
  <si>
    <t>(Annual)</t>
  </si>
  <si>
    <t>`</t>
  </si>
  <si>
    <t>To calculate NOx &amp; CO CoPollutants, using AP42 Emission Factors:</t>
  </si>
  <si>
    <t>AP42 - 1.4 Natural Gas Combustion Emission Factors:</t>
  </si>
  <si>
    <t>AP42 Factors:</t>
  </si>
  <si>
    <t>Converting AP42  to lb/MMBTU assuming natural gas,</t>
  </si>
  <si>
    <t>at 1020 MMbtu/MMscf:</t>
  </si>
  <si>
    <t>Large Wall-Fired Boilers (&gt;100)</t>
  </si>
  <si>
    <t>Nox, (lb/ million scf)</t>
  </si>
  <si>
    <t>CO, (lb/ million scf)</t>
  </si>
  <si>
    <t>CO2 lbs/million scf</t>
  </si>
  <si>
    <t>Nox, (lb/ MMBTU)</t>
  </si>
  <si>
    <t>CO, (lb/ MMBTU</t>
  </si>
  <si>
    <t>TCO2 /MMBTU</t>
  </si>
  <si>
    <t>Uncontrolled (Pre-NSPS)c</t>
  </si>
  <si>
    <t>Uncontrolled (Post-NSPS)c</t>
  </si>
  <si>
    <t>Controlled - Low NOx burners</t>
  </si>
  <si>
    <t>Controlled - Flue gas recirculation</t>
  </si>
  <si>
    <t>Natural gas - (lbs/MM scf) /(1020 MM btu/MM scf)  = lbs/MMBTU</t>
  </si>
  <si>
    <t>For comparison SCAQMD refinery inventory:</t>
  </si>
  <si>
    <t>NOX CO-POLLUTANT REDUCTIONS USING AP42 EMISSION FACTORS</t>
  </si>
  <si>
    <t>*  using uncontrolled pre NSPS emission factor</t>
  </si>
  <si>
    <t>** using uncontrolled post NSPS emisssion factor</t>
  </si>
  <si>
    <t>Tons per day</t>
  </si>
  <si>
    <t>CO CO-POLLUTANT REDUCTIONS USING AP42 EMISSION FACTORS</t>
  </si>
  <si>
    <t>1. REPLACE HEATERS</t>
  </si>
  <si>
    <t>2. OPTIMIZE HEATERS</t>
  </si>
  <si>
    <t>4. REPLACEREFRACT. BRICK</t>
  </si>
  <si>
    <t>5. INSULATION MAINT.</t>
  </si>
  <si>
    <t>3. RECOV. FLUE GAS HEAT</t>
  </si>
  <si>
    <t>Total Petroleum &amp; Chemical (excluding Iron &amp; Steel, &amp; Food)</t>
  </si>
  <si>
    <t>TOTAL 4-5</t>
  </si>
  <si>
    <t>TONS PER DAY</t>
  </si>
  <si>
    <t>Estimations assume Category 1 similar to Pre-NSPS Emission Factors</t>
  </si>
  <si>
    <t>and Category 2 similar to Category 2 Post-NSPS Emission Factors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</si>
</sst>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"/>
    <numFmt numFmtId="173" formatCode="#,##0.0"/>
    <numFmt numFmtId="174" formatCode="#,##0.000"/>
    <numFmt numFmtId="175" formatCode="&quot;$&quot;#,##0"/>
    <numFmt numFmtId="176" formatCode="&quot;$&quot;#,##0.0"/>
    <numFmt numFmtId="177" formatCode="&quot;$&quot;#,##0.00"/>
    <numFmt numFmtId="178" formatCode="0.0%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* #,##0.0_);_(* \(#,##0.0\);_(* &quot;-&quot;??_);_(@_)"/>
    <numFmt numFmtId="182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11" xfId="0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 wrapText="1"/>
    </xf>
    <xf numFmtId="9" fontId="0" fillId="0" borderId="10" xfId="59" applyFont="1" applyBorder="1" applyAlignment="1">
      <alignment/>
    </xf>
    <xf numFmtId="0" fontId="0" fillId="0" borderId="13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1" fontId="0" fillId="0" borderId="18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0" xfId="0" applyNumberFormat="1" applyAlignment="1">
      <alignment horizontal="center" wrapText="1"/>
    </xf>
    <xf numFmtId="0" fontId="0" fillId="0" borderId="19" xfId="0" applyBorder="1" applyAlignment="1">
      <alignment/>
    </xf>
    <xf numFmtId="1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9" fontId="0" fillId="0" borderId="17" xfId="59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1" fontId="0" fillId="0" borderId="25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1" fontId="0" fillId="0" borderId="26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0" fillId="33" borderId="28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1" fontId="0" fillId="33" borderId="30" xfId="0" applyNumberFormat="1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33" borderId="31" xfId="0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37" xfId="0" applyBorder="1" applyAlignment="1">
      <alignment/>
    </xf>
    <xf numFmtId="178" fontId="0" fillId="0" borderId="38" xfId="0" applyNumberFormat="1" applyBorder="1" applyAlignment="1">
      <alignment/>
    </xf>
    <xf numFmtId="1" fontId="0" fillId="0" borderId="38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178" fontId="0" fillId="0" borderId="15" xfId="0" applyNumberFormat="1" applyBorder="1" applyAlignment="1">
      <alignment/>
    </xf>
    <xf numFmtId="180" fontId="0" fillId="0" borderId="10" xfId="44" applyNumberFormat="1" applyFont="1" applyBorder="1" applyAlignment="1">
      <alignment/>
    </xf>
    <xf numFmtId="180" fontId="0" fillId="0" borderId="12" xfId="44" applyNumberFormat="1" applyFont="1" applyBorder="1" applyAlignment="1">
      <alignment/>
    </xf>
    <xf numFmtId="180" fontId="0" fillId="0" borderId="15" xfId="44" applyNumberFormat="1" applyFont="1" applyBorder="1" applyAlignment="1">
      <alignment/>
    </xf>
    <xf numFmtId="180" fontId="0" fillId="0" borderId="16" xfId="44" applyNumberFormat="1" applyFont="1" applyBorder="1" applyAlignment="1">
      <alignment/>
    </xf>
    <xf numFmtId="0" fontId="0" fillId="0" borderId="19" xfId="0" applyFill="1" applyBorder="1" applyAlignment="1">
      <alignment/>
    </xf>
    <xf numFmtId="180" fontId="0" fillId="0" borderId="20" xfId="44" applyNumberFormat="1" applyFont="1" applyBorder="1" applyAlignment="1">
      <alignment/>
    </xf>
    <xf numFmtId="180" fontId="0" fillId="0" borderId="38" xfId="44" applyNumberFormat="1" applyFont="1" applyBorder="1" applyAlignment="1">
      <alignment/>
    </xf>
    <xf numFmtId="180" fontId="0" fillId="0" borderId="39" xfId="44" applyNumberFormat="1" applyFont="1" applyBorder="1" applyAlignment="1">
      <alignment/>
    </xf>
    <xf numFmtId="0" fontId="4" fillId="0" borderId="0" xfId="0" applyFont="1" applyAlignment="1">
      <alignment/>
    </xf>
    <xf numFmtId="0" fontId="0" fillId="33" borderId="40" xfId="0" applyFill="1" applyBorder="1" applyAlignment="1">
      <alignment horizontal="center" wrapText="1"/>
    </xf>
    <xf numFmtId="0" fontId="0" fillId="33" borderId="41" xfId="0" applyFill="1" applyBorder="1" applyAlignment="1">
      <alignment horizontal="center" wrapText="1"/>
    </xf>
    <xf numFmtId="0" fontId="0" fillId="33" borderId="42" xfId="0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0" fontId="0" fillId="33" borderId="44" xfId="0" applyFont="1" applyFill="1" applyBorder="1" applyAlignment="1">
      <alignment horizontal="center" wrapText="1"/>
    </xf>
    <xf numFmtId="0" fontId="0" fillId="33" borderId="44" xfId="0" applyFill="1" applyBorder="1" applyAlignment="1">
      <alignment horizontal="center" wrapText="1"/>
    </xf>
    <xf numFmtId="9" fontId="0" fillId="0" borderId="45" xfId="0" applyNumberFormat="1" applyBorder="1" applyAlignment="1">
      <alignment horizontal="right"/>
    </xf>
    <xf numFmtId="9" fontId="0" fillId="0" borderId="46" xfId="0" applyNumberFormat="1" applyBorder="1" applyAlignment="1">
      <alignment horizontal="right"/>
    </xf>
    <xf numFmtId="9" fontId="0" fillId="0" borderId="47" xfId="0" applyNumberFormat="1" applyBorder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 wrapText="1"/>
    </xf>
    <xf numFmtId="2" fontId="0" fillId="0" borderId="19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" fontId="0" fillId="33" borderId="29" xfId="0" applyNumberForma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0" fillId="0" borderId="28" xfId="0" applyNumberFormat="1" applyBorder="1" applyAlignment="1">
      <alignment/>
    </xf>
    <xf numFmtId="9" fontId="0" fillId="0" borderId="48" xfId="59" applyFont="1" applyBorder="1" applyAlignment="1">
      <alignment/>
    </xf>
    <xf numFmtId="9" fontId="0" fillId="0" borderId="38" xfId="59" applyFont="1" applyBorder="1" applyAlignment="1">
      <alignment/>
    </xf>
    <xf numFmtId="9" fontId="0" fillId="0" borderId="18" xfId="59" applyFont="1" applyBorder="1" applyAlignment="1">
      <alignment/>
    </xf>
    <xf numFmtId="9" fontId="0" fillId="0" borderId="15" xfId="59" applyFont="1" applyBorder="1" applyAlignment="1">
      <alignment/>
    </xf>
    <xf numFmtId="0" fontId="0" fillId="0" borderId="0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0" xfId="0" applyFill="1" applyBorder="1" applyAlignment="1">
      <alignment wrapText="1"/>
    </xf>
    <xf numFmtId="9" fontId="0" fillId="0" borderId="46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47" xfId="0" applyBorder="1" applyAlignment="1">
      <alignment wrapText="1"/>
    </xf>
    <xf numFmtId="9" fontId="0" fillId="0" borderId="47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9" fontId="0" fillId="0" borderId="0" xfId="0" applyNumberFormat="1" applyAlignment="1">
      <alignment wrapText="1"/>
    </xf>
    <xf numFmtId="172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37" xfId="0" applyBorder="1" applyAlignment="1">
      <alignment wrapText="1"/>
    </xf>
    <xf numFmtId="178" fontId="0" fillId="0" borderId="38" xfId="59" applyNumberFormat="1" applyFont="1" applyBorder="1" applyAlignment="1">
      <alignment wrapText="1"/>
    </xf>
    <xf numFmtId="168" fontId="0" fillId="0" borderId="38" xfId="42" applyNumberFormat="1" applyFont="1" applyBorder="1" applyAlignment="1">
      <alignment wrapText="1"/>
    </xf>
    <xf numFmtId="168" fontId="0" fillId="0" borderId="39" xfId="42" applyNumberFormat="1" applyFont="1" applyBorder="1" applyAlignment="1">
      <alignment wrapText="1"/>
    </xf>
    <xf numFmtId="0" fontId="0" fillId="0" borderId="22" xfId="0" applyBorder="1" applyAlignment="1">
      <alignment wrapText="1"/>
    </xf>
    <xf numFmtId="178" fontId="0" fillId="0" borderId="10" xfId="59" applyNumberFormat="1" applyFont="1" applyBorder="1" applyAlignment="1">
      <alignment wrapText="1"/>
    </xf>
    <xf numFmtId="168" fontId="0" fillId="0" borderId="10" xfId="42" applyNumberFormat="1" applyFont="1" applyBorder="1" applyAlignment="1">
      <alignment wrapText="1"/>
    </xf>
    <xf numFmtId="168" fontId="0" fillId="0" borderId="12" xfId="42" applyNumberFormat="1" applyFont="1" applyBorder="1" applyAlignment="1">
      <alignment wrapText="1"/>
    </xf>
    <xf numFmtId="0" fontId="0" fillId="0" borderId="35" xfId="0" applyBorder="1" applyAlignment="1">
      <alignment wrapText="1"/>
    </xf>
    <xf numFmtId="178" fontId="0" fillId="0" borderId="15" xfId="59" applyNumberFormat="1" applyFont="1" applyBorder="1" applyAlignment="1">
      <alignment wrapText="1"/>
    </xf>
    <xf numFmtId="168" fontId="0" fillId="0" borderId="15" xfId="42" applyNumberFormat="1" applyFont="1" applyBorder="1" applyAlignment="1">
      <alignment wrapText="1"/>
    </xf>
    <xf numFmtId="168" fontId="0" fillId="0" borderId="16" xfId="42" applyNumberFormat="1" applyFont="1" applyBorder="1" applyAlignment="1">
      <alignment wrapText="1"/>
    </xf>
    <xf numFmtId="0" fontId="0" fillId="0" borderId="36" xfId="0" applyFill="1" applyBorder="1" applyAlignment="1">
      <alignment wrapText="1"/>
    </xf>
    <xf numFmtId="180" fontId="0" fillId="0" borderId="20" xfId="44" applyNumberFormat="1" applyFont="1" applyBorder="1" applyAlignment="1">
      <alignment wrapText="1"/>
    </xf>
    <xf numFmtId="168" fontId="0" fillId="0" borderId="20" xfId="42" applyNumberFormat="1" applyFont="1" applyBorder="1" applyAlignment="1">
      <alignment wrapText="1"/>
    </xf>
    <xf numFmtId="168" fontId="0" fillId="0" borderId="21" xfId="42" applyNumberFormat="1" applyFont="1" applyFill="1" applyBorder="1" applyAlignment="1">
      <alignment wrapText="1"/>
    </xf>
    <xf numFmtId="2" fontId="0" fillId="0" borderId="19" xfId="0" applyNumberFormat="1" applyBorder="1" applyAlignment="1">
      <alignment wrapText="1"/>
    </xf>
    <xf numFmtId="1" fontId="0" fillId="0" borderId="20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0" fillId="0" borderId="0" xfId="0" applyNumberFormat="1" applyAlignment="1">
      <alignment wrapText="1"/>
    </xf>
    <xf numFmtId="175" fontId="0" fillId="0" borderId="0" xfId="0" applyNumberFormat="1" applyBorder="1" applyAlignment="1">
      <alignment wrapText="1"/>
    </xf>
    <xf numFmtId="0" fontId="0" fillId="33" borderId="28" xfId="0" applyFill="1" applyBorder="1" applyAlignment="1">
      <alignment/>
    </xf>
    <xf numFmtId="0" fontId="0" fillId="33" borderId="20" xfId="0" applyFill="1" applyBorder="1" applyAlignment="1">
      <alignment/>
    </xf>
    <xf numFmtId="3" fontId="0" fillId="33" borderId="20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180" fontId="0" fillId="33" borderId="21" xfId="44" applyNumberFormat="1" applyFont="1" applyFill="1" applyBorder="1" applyAlignment="1">
      <alignment/>
    </xf>
    <xf numFmtId="175" fontId="0" fillId="33" borderId="21" xfId="0" applyNumberFormat="1" applyFill="1" applyBorder="1" applyAlignment="1">
      <alignment/>
    </xf>
    <xf numFmtId="180" fontId="0" fillId="33" borderId="20" xfId="44" applyNumberFormat="1" applyFont="1" applyFill="1" applyBorder="1" applyAlignment="1">
      <alignment/>
    </xf>
    <xf numFmtId="175" fontId="0" fillId="33" borderId="20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9" xfId="0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180" fontId="0" fillId="0" borderId="39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1" xfId="44" applyNumberFormat="1" applyFont="1" applyBorder="1" applyAlignment="1">
      <alignment/>
    </xf>
    <xf numFmtId="180" fontId="0" fillId="0" borderId="13" xfId="44" applyNumberFormat="1" applyFont="1" applyBorder="1" applyAlignment="1">
      <alignment/>
    </xf>
    <xf numFmtId="180" fontId="0" fillId="0" borderId="14" xfId="44" applyNumberFormat="1" applyFont="1" applyBorder="1" applyAlignment="1">
      <alignment/>
    </xf>
    <xf numFmtId="180" fontId="0" fillId="33" borderId="20" xfId="44" applyNumberFormat="1" applyFont="1" applyFill="1" applyBorder="1" applyAlignment="1">
      <alignment wrapText="1"/>
    </xf>
    <xf numFmtId="175" fontId="0" fillId="33" borderId="20" xfId="0" applyNumberFormat="1" applyFill="1" applyBorder="1" applyAlignment="1">
      <alignment wrapText="1"/>
    </xf>
    <xf numFmtId="9" fontId="0" fillId="0" borderId="38" xfId="59" applyNumberFormat="1" applyFont="1" applyBorder="1" applyAlignment="1">
      <alignment wrapText="1"/>
    </xf>
    <xf numFmtId="9" fontId="0" fillId="0" borderId="10" xfId="59" applyNumberFormat="1" applyFont="1" applyBorder="1" applyAlignment="1">
      <alignment wrapText="1"/>
    </xf>
    <xf numFmtId="9" fontId="0" fillId="0" borderId="15" xfId="59" applyNumberFormat="1" applyFont="1" applyBorder="1" applyAlignment="1">
      <alignment wrapText="1"/>
    </xf>
    <xf numFmtId="9" fontId="0" fillId="0" borderId="13" xfId="59" applyNumberFormat="1" applyFont="1" applyBorder="1" applyAlignment="1">
      <alignment wrapText="1"/>
    </xf>
    <xf numFmtId="9" fontId="0" fillId="0" borderId="14" xfId="59" applyNumberFormat="1" applyFont="1" applyBorder="1" applyAlignment="1">
      <alignment wrapText="1"/>
    </xf>
    <xf numFmtId="180" fontId="0" fillId="0" borderId="48" xfId="44" applyNumberFormat="1" applyFont="1" applyBorder="1" applyAlignment="1">
      <alignment wrapText="1"/>
    </xf>
    <xf numFmtId="180" fontId="0" fillId="0" borderId="38" xfId="44" applyNumberFormat="1" applyFont="1" applyBorder="1" applyAlignment="1">
      <alignment wrapText="1"/>
    </xf>
    <xf numFmtId="180" fontId="0" fillId="0" borderId="39" xfId="44" applyNumberFormat="1" applyFont="1" applyBorder="1" applyAlignment="1">
      <alignment wrapText="1"/>
    </xf>
    <xf numFmtId="180" fontId="0" fillId="0" borderId="17" xfId="44" applyNumberFormat="1" applyFont="1" applyBorder="1" applyAlignment="1">
      <alignment wrapText="1"/>
    </xf>
    <xf numFmtId="180" fontId="0" fillId="0" borderId="10" xfId="44" applyNumberFormat="1" applyFont="1" applyBorder="1" applyAlignment="1">
      <alignment wrapText="1"/>
    </xf>
    <xf numFmtId="180" fontId="0" fillId="0" borderId="12" xfId="44" applyNumberFormat="1" applyFont="1" applyBorder="1" applyAlignment="1">
      <alignment wrapText="1"/>
    </xf>
    <xf numFmtId="180" fontId="0" fillId="0" borderId="18" xfId="44" applyNumberFormat="1" applyFont="1" applyBorder="1" applyAlignment="1">
      <alignment wrapText="1"/>
    </xf>
    <xf numFmtId="180" fontId="0" fillId="0" borderId="15" xfId="44" applyNumberFormat="1" applyFont="1" applyBorder="1" applyAlignment="1">
      <alignment wrapText="1"/>
    </xf>
    <xf numFmtId="180" fontId="0" fillId="0" borderId="16" xfId="44" applyNumberFormat="1" applyFont="1" applyBorder="1" applyAlignment="1">
      <alignment wrapText="1"/>
    </xf>
    <xf numFmtId="180" fontId="0" fillId="33" borderId="28" xfId="44" applyNumberFormat="1" applyFont="1" applyFill="1" applyBorder="1" applyAlignment="1">
      <alignment wrapText="1"/>
    </xf>
    <xf numFmtId="180" fontId="0" fillId="33" borderId="21" xfId="44" applyNumberFormat="1" applyFont="1" applyFill="1" applyBorder="1" applyAlignment="1">
      <alignment wrapText="1"/>
    </xf>
    <xf numFmtId="180" fontId="0" fillId="0" borderId="11" xfId="44" applyNumberFormat="1" applyFont="1" applyBorder="1" applyAlignment="1">
      <alignment wrapText="1"/>
    </xf>
    <xf numFmtId="180" fontId="0" fillId="0" borderId="13" xfId="44" applyNumberFormat="1" applyFont="1" applyBorder="1" applyAlignment="1">
      <alignment wrapText="1"/>
    </xf>
    <xf numFmtId="180" fontId="0" fillId="0" borderId="14" xfId="44" applyNumberFormat="1" applyFont="1" applyBorder="1" applyAlignment="1">
      <alignment wrapText="1"/>
    </xf>
    <xf numFmtId="0" fontId="0" fillId="33" borderId="19" xfId="0" applyFill="1" applyBorder="1" applyAlignment="1">
      <alignment horizontal="center" wrapText="1"/>
    </xf>
    <xf numFmtId="0" fontId="0" fillId="0" borderId="45" xfId="0" applyBorder="1" applyAlignment="1">
      <alignment wrapText="1"/>
    </xf>
    <xf numFmtId="9" fontId="0" fillId="0" borderId="45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0" fontId="0" fillId="33" borderId="51" xfId="0" applyFill="1" applyBorder="1" applyAlignment="1">
      <alignment horizontal="center" wrapText="1"/>
    </xf>
    <xf numFmtId="44" fontId="0" fillId="0" borderId="20" xfId="44" applyFont="1" applyBorder="1" applyAlignment="1">
      <alignment/>
    </xf>
    <xf numFmtId="9" fontId="0" fillId="0" borderId="38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48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0" fillId="0" borderId="13" xfId="0" applyBorder="1" applyAlignment="1" quotePrefix="1">
      <alignment horizontal="right"/>
    </xf>
    <xf numFmtId="180" fontId="0" fillId="0" borderId="26" xfId="44" applyNumberFormat="1" applyFont="1" applyBorder="1" applyAlignment="1">
      <alignment/>
    </xf>
    <xf numFmtId="180" fontId="0" fillId="0" borderId="25" xfId="44" applyNumberFormat="1" applyFont="1" applyBorder="1" applyAlignment="1">
      <alignment/>
    </xf>
    <xf numFmtId="180" fontId="0" fillId="0" borderId="27" xfId="44" applyNumberFormat="1" applyFont="1" applyBorder="1" applyAlignment="1">
      <alignment/>
    </xf>
    <xf numFmtId="180" fontId="0" fillId="0" borderId="17" xfId="44" applyNumberFormat="1" applyFont="1" applyBorder="1" applyAlignment="1">
      <alignment/>
    </xf>
    <xf numFmtId="0" fontId="0" fillId="0" borderId="52" xfId="0" applyBorder="1" applyAlignment="1">
      <alignment/>
    </xf>
    <xf numFmtId="180" fontId="0" fillId="0" borderId="53" xfId="44" applyNumberFormat="1" applyFont="1" applyBorder="1" applyAlignment="1">
      <alignment/>
    </xf>
    <xf numFmtId="180" fontId="0" fillId="0" borderId="54" xfId="44" applyNumberFormat="1" applyFont="1" applyBorder="1" applyAlignment="1">
      <alignment/>
    </xf>
    <xf numFmtId="180" fontId="0" fillId="0" borderId="55" xfId="44" applyNumberFormat="1" applyFont="1" applyBorder="1" applyAlignment="1">
      <alignment/>
    </xf>
    <xf numFmtId="0" fontId="0" fillId="0" borderId="56" xfId="0" applyFill="1" applyBorder="1" applyAlignment="1">
      <alignment/>
    </xf>
    <xf numFmtId="180" fontId="0" fillId="33" borderId="57" xfId="44" applyNumberFormat="1" applyFont="1" applyFill="1" applyBorder="1" applyAlignment="1">
      <alignment/>
    </xf>
    <xf numFmtId="180" fontId="0" fillId="0" borderId="30" xfId="44" applyNumberFormat="1" applyFont="1" applyBorder="1" applyAlignment="1">
      <alignment/>
    </xf>
    <xf numFmtId="180" fontId="0" fillId="33" borderId="31" xfId="44" applyNumberFormat="1" applyFont="1" applyFill="1" applyBorder="1" applyAlignment="1">
      <alignment/>
    </xf>
    <xf numFmtId="180" fontId="0" fillId="33" borderId="30" xfId="44" applyNumberFormat="1" applyFont="1" applyFill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0" fillId="33" borderId="29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9" fontId="0" fillId="0" borderId="11" xfId="44" applyNumberFormat="1" applyFont="1" applyBorder="1" applyAlignment="1">
      <alignment wrapText="1"/>
    </xf>
    <xf numFmtId="0" fontId="0" fillId="33" borderId="58" xfId="0" applyFill="1" applyBorder="1" applyAlignment="1">
      <alignment horizontal="center" wrapText="1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9" fontId="0" fillId="0" borderId="23" xfId="0" applyNumberFormat="1" applyBorder="1" applyAlignment="1">
      <alignment/>
    </xf>
    <xf numFmtId="9" fontId="0" fillId="0" borderId="22" xfId="0" applyNumberFormat="1" applyBorder="1" applyAlignment="1">
      <alignment/>
    </xf>
    <xf numFmtId="9" fontId="0" fillId="0" borderId="35" xfId="0" applyNumberFormat="1" applyBorder="1" applyAlignment="1">
      <alignment/>
    </xf>
    <xf numFmtId="0" fontId="4" fillId="0" borderId="0" xfId="0" applyFont="1" applyFill="1" applyBorder="1" applyAlignment="1">
      <alignment/>
    </xf>
    <xf numFmtId="180" fontId="0" fillId="0" borderId="48" xfId="44" applyNumberFormat="1" applyFont="1" applyBorder="1" applyAlignment="1">
      <alignment/>
    </xf>
    <xf numFmtId="180" fontId="0" fillId="33" borderId="29" xfId="44" applyNumberFormat="1" applyFont="1" applyFill="1" applyBorder="1" applyAlignment="1">
      <alignment/>
    </xf>
    <xf numFmtId="44" fontId="0" fillId="0" borderId="20" xfId="44" applyNumberFormat="1" applyFont="1" applyBorder="1" applyAlignment="1">
      <alignment wrapText="1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0" fillId="0" borderId="56" xfId="0" applyBorder="1" applyAlignment="1">
      <alignment/>
    </xf>
    <xf numFmtId="0" fontId="7" fillId="0" borderId="32" xfId="0" applyFont="1" applyBorder="1" applyAlignment="1">
      <alignment/>
    </xf>
    <xf numFmtId="0" fontId="0" fillId="0" borderId="62" xfId="0" applyBorder="1" applyAlignment="1">
      <alignment/>
    </xf>
    <xf numFmtId="0" fontId="7" fillId="0" borderId="63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5" xfId="0" applyFont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66" xfId="0" applyFill="1" applyBorder="1" applyAlignment="1">
      <alignment wrapText="1"/>
    </xf>
    <xf numFmtId="0" fontId="0" fillId="34" borderId="29" xfId="0" applyFill="1" applyBorder="1" applyAlignment="1">
      <alignment wrapText="1"/>
    </xf>
    <xf numFmtId="0" fontId="0" fillId="34" borderId="58" xfId="0" applyFill="1" applyBorder="1" applyAlignment="1">
      <alignment wrapText="1"/>
    </xf>
    <xf numFmtId="0" fontId="0" fillId="34" borderId="37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35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7" fillId="0" borderId="22" xfId="0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4" xfId="0" applyBorder="1" applyAlignment="1">
      <alignment/>
    </xf>
    <xf numFmtId="0" fontId="0" fillId="34" borderId="37" xfId="0" applyFont="1" applyFill="1" applyBorder="1" applyAlignment="1">
      <alignment/>
    </xf>
    <xf numFmtId="3" fontId="7" fillId="0" borderId="35" xfId="0" applyNumberFormat="1" applyFont="1" applyBorder="1" applyAlignment="1">
      <alignment/>
    </xf>
    <xf numFmtId="0" fontId="7" fillId="34" borderId="32" xfId="0" applyFont="1" applyFill="1" applyBorder="1" applyAlignment="1">
      <alignment/>
    </xf>
    <xf numFmtId="0" fontId="0" fillId="34" borderId="68" xfId="0" applyFill="1" applyBorder="1" applyAlignment="1">
      <alignment/>
    </xf>
    <xf numFmtId="0" fontId="7" fillId="34" borderId="32" xfId="0" applyFont="1" applyFill="1" applyBorder="1" applyAlignment="1">
      <alignment/>
    </xf>
    <xf numFmtId="0" fontId="8" fillId="34" borderId="68" xfId="0" applyFont="1" applyFill="1" applyBorder="1" applyAlignment="1">
      <alignment horizontal="right"/>
    </xf>
    <xf numFmtId="3" fontId="7" fillId="34" borderId="62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8" fillId="35" borderId="0" xfId="0" applyFont="1" applyFill="1" applyBorder="1" applyAlignment="1">
      <alignment horizontal="right"/>
    </xf>
    <xf numFmtId="3" fontId="7" fillId="35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69" xfId="0" applyFill="1" applyBorder="1" applyAlignment="1">
      <alignment/>
    </xf>
    <xf numFmtId="0" fontId="0" fillId="34" borderId="70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69" xfId="0" applyFont="1" applyFill="1" applyBorder="1" applyAlignment="1">
      <alignment horizontal="left"/>
    </xf>
    <xf numFmtId="0" fontId="0" fillId="34" borderId="59" xfId="0" applyFill="1" applyBorder="1" applyAlignment="1">
      <alignment horizontal="center"/>
    </xf>
    <xf numFmtId="0" fontId="0" fillId="34" borderId="71" xfId="0" applyFont="1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59" xfId="0" applyFont="1" applyFill="1" applyBorder="1" applyAlignment="1">
      <alignment horizontal="left"/>
    </xf>
    <xf numFmtId="0" fontId="0" fillId="34" borderId="26" xfId="0" applyFill="1" applyBorder="1" applyAlignment="1">
      <alignment horizontal="center"/>
    </xf>
    <xf numFmtId="0" fontId="0" fillId="34" borderId="59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4" borderId="60" xfId="0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8" fontId="0" fillId="35" borderId="12" xfId="42" applyNumberFormat="1" applyFont="1" applyFill="1" applyBorder="1" applyAlignment="1">
      <alignment horizontal="center"/>
    </xf>
    <xf numFmtId="182" fontId="0" fillId="35" borderId="13" xfId="42" applyNumberFormat="1" applyFont="1" applyFill="1" applyBorder="1" applyAlignment="1">
      <alignment horizontal="center"/>
    </xf>
    <xf numFmtId="182" fontId="0" fillId="35" borderId="10" xfId="42" applyNumberFormat="1" applyFont="1" applyFill="1" applyBorder="1" applyAlignment="1">
      <alignment horizontal="center"/>
    </xf>
    <xf numFmtId="182" fontId="0" fillId="35" borderId="12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8" fontId="0" fillId="35" borderId="16" xfId="42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wrapText="1"/>
    </xf>
    <xf numFmtId="0" fontId="0" fillId="0" borderId="65" xfId="0" applyBorder="1" applyAlignment="1">
      <alignment/>
    </xf>
    <xf numFmtId="43" fontId="0" fillId="35" borderId="13" xfId="42" applyNumberFormat="1" applyFont="1" applyFill="1" applyBorder="1" applyAlignment="1">
      <alignment horizontal="center"/>
    </xf>
    <xf numFmtId="43" fontId="0" fillId="35" borderId="12" xfId="42" applyNumberFormat="1" applyFont="1" applyFill="1" applyBorder="1" applyAlignment="1">
      <alignment horizontal="center"/>
    </xf>
    <xf numFmtId="43" fontId="0" fillId="0" borderId="22" xfId="0" applyNumberFormat="1" applyBorder="1" applyAlignment="1">
      <alignment/>
    </xf>
    <xf numFmtId="0" fontId="0" fillId="34" borderId="35" xfId="0" applyFont="1" applyFill="1" applyBorder="1" applyAlignment="1">
      <alignment/>
    </xf>
    <xf numFmtId="43" fontId="7" fillId="34" borderId="14" xfId="0" applyNumberFormat="1" applyFont="1" applyFill="1" applyBorder="1" applyAlignment="1">
      <alignment/>
    </xf>
    <xf numFmtId="43" fontId="7" fillId="34" borderId="16" xfId="42" applyNumberFormat="1" applyFont="1" applyFill="1" applyBorder="1" applyAlignment="1">
      <alignment horizontal="center"/>
    </xf>
    <xf numFmtId="43" fontId="7" fillId="34" borderId="22" xfId="0" applyNumberFormat="1" applyFont="1" applyFill="1" applyBorder="1" applyAlignment="1">
      <alignment/>
    </xf>
    <xf numFmtId="4" fontId="7" fillId="34" borderId="62" xfId="0" applyNumberFormat="1" applyFont="1" applyFill="1" applyBorder="1" applyAlignment="1">
      <alignment/>
    </xf>
    <xf numFmtId="0" fontId="0" fillId="34" borderId="33" xfId="0" applyFill="1" applyBorder="1" applyAlignment="1">
      <alignment wrapText="1"/>
    </xf>
    <xf numFmtId="0" fontId="0" fillId="34" borderId="34" xfId="0" applyFill="1" applyBorder="1" applyAlignment="1">
      <alignment wrapText="1"/>
    </xf>
    <xf numFmtId="3" fontId="0" fillId="0" borderId="11" xfId="0" applyNumberFormat="1" applyBorder="1" applyAlignment="1">
      <alignment/>
    </xf>
    <xf numFmtId="0" fontId="0" fillId="34" borderId="72" xfId="0" applyFill="1" applyBorder="1" applyAlignment="1">
      <alignment wrapText="1"/>
    </xf>
    <xf numFmtId="0" fontId="0" fillId="34" borderId="65" xfId="0" applyFill="1" applyBorder="1" applyAlignment="1">
      <alignment/>
    </xf>
    <xf numFmtId="3" fontId="0" fillId="0" borderId="37" xfId="0" applyNumberFormat="1" applyBorder="1" applyAlignment="1">
      <alignment/>
    </xf>
    <xf numFmtId="0" fontId="0" fillId="0" borderId="0" xfId="0" applyFont="1" applyAlignment="1">
      <alignment/>
    </xf>
    <xf numFmtId="0" fontId="0" fillId="33" borderId="3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65" xfId="0" applyFill="1" applyBorder="1" applyAlignment="1">
      <alignment horizontal="center" wrapText="1"/>
    </xf>
    <xf numFmtId="0" fontId="0" fillId="33" borderId="36" xfId="0" applyFill="1" applyBorder="1" applyAlignment="1">
      <alignment horizontal="center" wrapText="1"/>
    </xf>
    <xf numFmtId="0" fontId="0" fillId="33" borderId="32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36" xfId="0" applyFill="1" applyBorder="1" applyAlignment="1">
      <alignment wrapText="1"/>
    </xf>
    <xf numFmtId="0" fontId="0" fillId="33" borderId="32" xfId="0" applyFill="1" applyBorder="1" applyAlignment="1">
      <alignment horizontal="center" wrapText="1"/>
    </xf>
    <xf numFmtId="0" fontId="0" fillId="33" borderId="68" xfId="0" applyFill="1" applyBorder="1" applyAlignment="1">
      <alignment horizontal="center" wrapText="1"/>
    </xf>
    <xf numFmtId="0" fontId="0" fillId="33" borderId="62" xfId="0" applyFill="1" applyBorder="1" applyAlignment="1">
      <alignment horizontal="center" wrapText="1"/>
    </xf>
    <xf numFmtId="0" fontId="0" fillId="33" borderId="73" xfId="0" applyFill="1" applyBorder="1" applyAlignment="1">
      <alignment horizontal="center" wrapText="1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9" xfId="0" applyFill="1" applyBorder="1" applyAlignment="1">
      <alignment horizontal="center" wrapText="1"/>
    </xf>
    <xf numFmtId="0" fontId="0" fillId="33" borderId="31" xfId="0" applyFill="1" applyBorder="1" applyAlignment="1">
      <alignment horizontal="center" wrapText="1"/>
    </xf>
    <xf numFmtId="0" fontId="0" fillId="33" borderId="63" xfId="0" applyFill="1" applyBorder="1" applyAlignment="1">
      <alignment horizontal="center" wrapText="1"/>
    </xf>
    <xf numFmtId="0" fontId="0" fillId="33" borderId="51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5</xdr:col>
      <xdr:colOff>523875</xdr:colOff>
      <xdr:row>57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477375"/>
          <a:ext cx="39338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a%20Lee\AppData\Local\Microsoft\Windows\Temporary%20Internet%20Files\Content.Outlook\WOJ1MP29\Copy%20of%20compathboiler%20JM%20add%20CoPolluta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 Boiler Size"/>
      <sheetName val="CBE Total REDUX added"/>
      <sheetName val="Replace Boiler"/>
      <sheetName val="Optimize Boiler"/>
      <sheetName val="Feedwater Economizer"/>
      <sheetName val="Air Preheater"/>
      <sheetName val="Blowdown Practices"/>
      <sheetName val="Blowdown Heat Recovery"/>
      <sheetName val="Optimize Steam Quality"/>
      <sheetName val="Optimize Condensate Recovery"/>
      <sheetName val="Minimize Vented Steam"/>
      <sheetName val="Insulation Maintenance"/>
      <sheetName val="Steam Trap Maintenance"/>
      <sheetName val="Steam Leak Maintenance"/>
    </sheetNames>
    <sheetDataSet>
      <sheetData sheetId="5">
        <row r="17">
          <cell r="E17">
            <v>358415.8280306431</v>
          </cell>
          <cell r="J17">
            <v>215049.49681838584</v>
          </cell>
        </row>
      </sheetData>
      <sheetData sheetId="6">
        <row r="12">
          <cell r="E12">
            <v>189247.06639961235</v>
          </cell>
          <cell r="J12">
            <v>567741.1991988369</v>
          </cell>
        </row>
        <row r="13">
          <cell r="E13">
            <v>24138.90148586572</v>
          </cell>
          <cell r="J13">
            <v>72416.70445759717</v>
          </cell>
        </row>
        <row r="14">
          <cell r="E14">
            <v>20541.33355865676</v>
          </cell>
          <cell r="J14">
            <v>61624.00067597029</v>
          </cell>
        </row>
        <row r="15">
          <cell r="E15">
            <v>27964.772270596728</v>
          </cell>
          <cell r="J15">
            <v>83894.31681179018</v>
          </cell>
        </row>
        <row r="17">
          <cell r="E17">
            <v>436122.28710707545</v>
          </cell>
          <cell r="J17">
            <v>1308366.8613212262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6"/>
  <sheetViews>
    <sheetView tabSelected="1" zoomScalePageLayoutView="0" workbookViewId="0" topLeftCell="A98">
      <selection activeCell="C63" sqref="C63"/>
    </sheetView>
  </sheetViews>
  <sheetFormatPr defaultColWidth="9.140625" defaultRowHeight="12.75"/>
  <cols>
    <col min="1" max="1" width="1.7109375" style="0" customWidth="1"/>
    <col min="2" max="2" width="14.28125" style="0" customWidth="1"/>
    <col min="3" max="3" width="11.8515625" style="0" customWidth="1"/>
    <col min="4" max="4" width="13.421875" style="0" customWidth="1"/>
    <col min="5" max="5" width="11.57421875" style="0" customWidth="1"/>
    <col min="6" max="6" width="14.7109375" style="0" customWidth="1"/>
    <col min="7" max="7" width="11.140625" style="0" customWidth="1"/>
    <col min="8" max="8" width="13.7109375" style="0" customWidth="1"/>
    <col min="9" max="9" width="12.28125" style="0" customWidth="1"/>
    <col min="10" max="10" width="11.421875" style="0" customWidth="1"/>
    <col min="11" max="11" width="15.8515625" style="0" customWidth="1"/>
    <col min="12" max="12" width="12.8515625" style="0" customWidth="1"/>
    <col min="13" max="13" width="11.00390625" style="0" customWidth="1"/>
    <col min="14" max="14" width="14.140625" style="0" customWidth="1"/>
    <col min="15" max="15" width="13.57421875" style="0" customWidth="1"/>
    <col min="16" max="16" width="16.140625" style="0" customWidth="1"/>
  </cols>
  <sheetData>
    <row r="1" spans="2:3" ht="12.75">
      <c r="B1" s="232" t="s">
        <v>77</v>
      </c>
      <c r="C1" s="232"/>
    </row>
    <row r="2" spans="2:12" ht="13.5" thickBot="1">
      <c r="B2" t="s">
        <v>78</v>
      </c>
      <c r="L2" s="267" t="s">
        <v>84</v>
      </c>
    </row>
    <row r="3" spans="2:9" ht="13.5" thickBot="1">
      <c r="B3" s="233"/>
      <c r="C3" s="234" t="s">
        <v>108</v>
      </c>
      <c r="D3" s="235"/>
      <c r="E3" s="236" t="s">
        <v>109</v>
      </c>
      <c r="F3" s="237"/>
      <c r="G3" s="234" t="s">
        <v>112</v>
      </c>
      <c r="H3" s="238"/>
      <c r="I3" s="239" t="s">
        <v>79</v>
      </c>
    </row>
    <row r="4" spans="2:9" ht="71.25" customHeight="1" thickBot="1">
      <c r="B4" s="240" t="s">
        <v>80</v>
      </c>
      <c r="C4" s="241" t="s">
        <v>45</v>
      </c>
      <c r="D4" s="242" t="s">
        <v>46</v>
      </c>
      <c r="E4" s="243" t="s">
        <v>28</v>
      </c>
      <c r="F4" s="244" t="s">
        <v>40</v>
      </c>
      <c r="G4" s="241" t="s">
        <v>24</v>
      </c>
      <c r="H4" s="242" t="s">
        <v>25</v>
      </c>
      <c r="I4" s="245"/>
    </row>
    <row r="5" spans="2:9" ht="12.75">
      <c r="B5" s="69" t="s">
        <v>9</v>
      </c>
      <c r="C5" s="246">
        <f>' Replace Process Heater'!G16</f>
        <v>8052389.80614637</v>
      </c>
      <c r="D5" s="247">
        <f>' Replace Process Heater'!N16</f>
        <v>5040926.951815214</v>
      </c>
      <c r="E5" s="248">
        <f>'Optimize Process Heater'!E11</f>
        <v>2786019.5077292295</v>
      </c>
      <c r="F5" s="249">
        <f>'Optimize Process Heater'!J11</f>
        <v>1671611.7046375377</v>
      </c>
      <c r="G5" s="246">
        <f>'Recover Flue Gas Heat'!E11</f>
        <v>1240068.0301465413</v>
      </c>
      <c r="H5" s="247">
        <f>'Recover Flue Gas Heat'!J11</f>
        <v>744040.8180879249</v>
      </c>
      <c r="I5" s="250">
        <f aca="true" t="shared" si="0" ref="I5:I10">SUM(C5:H5)</f>
        <v>19535056.81856282</v>
      </c>
    </row>
    <row r="6" spans="2:9" ht="12.75">
      <c r="B6" s="45" t="s">
        <v>11</v>
      </c>
      <c r="C6" s="246">
        <f>' Replace Process Heater'!G17</f>
        <v>154108.4875083814</v>
      </c>
      <c r="D6" s="247">
        <f>' Replace Process Heater'!N17</f>
        <v>96474.41900931209</v>
      </c>
      <c r="E6" s="248">
        <f>'Optimize Process Heater'!E12</f>
        <v>53319.48189806655</v>
      </c>
      <c r="F6" s="249">
        <f>'Optimize Process Heater'!J12</f>
        <v>31991.689138839934</v>
      </c>
      <c r="G6" s="246">
        <f>'Recover Flue Gas Heat'!E12</f>
        <v>41532.23738350881</v>
      </c>
      <c r="H6" s="247">
        <f>'Recover Flue Gas Heat'!J12</f>
        <v>24919.342430105287</v>
      </c>
      <c r="I6" s="250">
        <f t="shared" si="0"/>
        <v>402345.6573682141</v>
      </c>
    </row>
    <row r="7" spans="2:9" ht="12.75">
      <c r="B7" s="45" t="s">
        <v>1</v>
      </c>
      <c r="C7" s="246">
        <f>' Replace Process Heater'!G18</f>
        <v>73910.59804593721</v>
      </c>
      <c r="D7" s="247">
        <f>' Replace Process Heater'!N18</f>
        <v>46269.23617509897</v>
      </c>
      <c r="E7" s="248">
        <f>'Optimize Process Heater'!E13</f>
        <v>25572.081449253674</v>
      </c>
      <c r="F7" s="249">
        <f>'Optimize Process Heater'!J13</f>
        <v>15343.248869552206</v>
      </c>
      <c r="G7" s="246">
        <f>'Recover Flue Gas Heat'!E13</f>
        <v>19918.906173380088</v>
      </c>
      <c r="H7" s="247">
        <f>'Recover Flue Gas Heat'!J13</f>
        <v>11951.343704028053</v>
      </c>
      <c r="I7" s="250">
        <f t="shared" si="0"/>
        <v>192965.4144172502</v>
      </c>
    </row>
    <row r="8" spans="2:9" ht="13.5" thickBot="1">
      <c r="B8" s="65" t="s">
        <v>15</v>
      </c>
      <c r="C8" s="246">
        <f>' Replace Process Heater'!G19</f>
        <v>189782.21444959834</v>
      </c>
      <c r="D8" s="247">
        <f>' Replace Process Heater'!N19</f>
        <v>118806.75213511457</v>
      </c>
      <c r="E8" s="248">
        <f>'Optimize Process Heater'!E14</f>
        <v>65662.11577003506</v>
      </c>
      <c r="F8" s="249">
        <f>'Optimize Process Heater'!J14</f>
        <v>39397.26946202104</v>
      </c>
      <c r="G8" s="246">
        <f>'Recover Flue Gas Heat'!E14</f>
        <v>29226.461025238154</v>
      </c>
      <c r="H8" s="247">
        <f>'Recover Flue Gas Heat'!J14</f>
        <v>17535.876615142894</v>
      </c>
      <c r="I8" s="250">
        <f t="shared" si="0"/>
        <v>460410.68945715006</v>
      </c>
    </row>
    <row r="9" spans="2:12" ht="12.75">
      <c r="B9" s="45"/>
      <c r="C9" s="246"/>
      <c r="D9" s="247"/>
      <c r="E9" s="246"/>
      <c r="F9" s="247"/>
      <c r="G9" s="246"/>
      <c r="H9" s="247"/>
      <c r="I9" s="250">
        <f t="shared" si="0"/>
        <v>0</v>
      </c>
      <c r="L9" t="s">
        <v>84</v>
      </c>
    </row>
    <row r="10" spans="2:9" ht="13.5" thickBot="1">
      <c r="B10" s="251" t="s">
        <v>13</v>
      </c>
      <c r="C10" s="252">
        <f aca="true" t="shared" si="1" ref="C10:H10">SUM(C5:C8)</f>
        <v>8470191.106150286</v>
      </c>
      <c r="D10" s="252">
        <f t="shared" si="1"/>
        <v>5302477.35913474</v>
      </c>
      <c r="E10" s="252">
        <f t="shared" si="1"/>
        <v>2930573.1868465845</v>
      </c>
      <c r="F10" s="252">
        <f t="shared" si="1"/>
        <v>1758343.912107951</v>
      </c>
      <c r="G10" s="252">
        <f t="shared" si="1"/>
        <v>1330745.6347286683</v>
      </c>
      <c r="H10" s="252">
        <f t="shared" si="1"/>
        <v>798447.3808372011</v>
      </c>
      <c r="I10" s="253">
        <f t="shared" si="0"/>
        <v>20590778.579805434</v>
      </c>
    </row>
    <row r="11" spans="2:9" ht="13.5" thickBot="1">
      <c r="B11" s="233"/>
      <c r="C11" s="236" t="s">
        <v>110</v>
      </c>
      <c r="D11" s="254"/>
      <c r="E11" s="234" t="s">
        <v>111</v>
      </c>
      <c r="F11" s="235"/>
      <c r="G11" s="236"/>
      <c r="H11" s="255"/>
      <c r="I11" s="239" t="s">
        <v>114</v>
      </c>
    </row>
    <row r="12" spans="2:9" ht="64.5" customHeight="1" thickBot="1">
      <c r="B12" s="240" t="s">
        <v>80</v>
      </c>
      <c r="C12" s="306" t="s">
        <v>27</v>
      </c>
      <c r="D12" s="307" t="s">
        <v>26</v>
      </c>
      <c r="E12" s="306" t="s">
        <v>19</v>
      </c>
      <c r="F12" s="309" t="s">
        <v>0</v>
      </c>
      <c r="G12" s="306"/>
      <c r="H12" s="309"/>
      <c r="I12" s="310"/>
    </row>
    <row r="13" spans="2:9" ht="13.5" thickBot="1">
      <c r="B13" s="297" t="s">
        <v>9</v>
      </c>
      <c r="C13" s="308">
        <f>'Replace Refractory Brick'!E11</f>
        <v>165342.4040195387</v>
      </c>
      <c r="D13" s="73">
        <f>'Replace Refractory Brick'!J11</f>
        <v>99205.44241172321</v>
      </c>
      <c r="E13" s="308">
        <f>'[1]Blowdown Practices'!E12</f>
        <v>189247.06639961235</v>
      </c>
      <c r="F13" s="73">
        <f>'[1]Blowdown Practices'!J12</f>
        <v>567741.1991988369</v>
      </c>
      <c r="G13" s="308"/>
      <c r="H13" s="73"/>
      <c r="I13" s="311">
        <f aca="true" t="shared" si="2" ref="I13:I18">SUM(C13:H13)</f>
        <v>1021536.1120297113</v>
      </c>
    </row>
    <row r="14" spans="2:9" ht="12.75">
      <c r="B14" s="69" t="s">
        <v>11</v>
      </c>
      <c r="C14" s="246">
        <f>'Replace Refractory Brick'!E12</f>
        <v>3164.360943505433</v>
      </c>
      <c r="D14" s="15">
        <f>'Replace Refractory Brick'!J12</f>
        <v>1898.61656610326</v>
      </c>
      <c r="E14" s="246">
        <f>'[1]Blowdown Practices'!E13</f>
        <v>24138.90148586572</v>
      </c>
      <c r="F14" s="15">
        <f>'[1]Blowdown Practices'!J13</f>
        <v>72416.70445759717</v>
      </c>
      <c r="G14" s="246"/>
      <c r="H14" s="15"/>
      <c r="I14" s="250">
        <f t="shared" si="2"/>
        <v>101618.58345307158</v>
      </c>
    </row>
    <row r="15" spans="2:9" ht="12.75">
      <c r="B15" s="45" t="s">
        <v>1</v>
      </c>
      <c r="C15" s="246">
        <f>'Replace Refractory Brick'!E13</f>
        <v>1517.6309465432448</v>
      </c>
      <c r="D15" s="15">
        <f>'Replace Refractory Brick'!J13</f>
        <v>910.5785679259469</v>
      </c>
      <c r="E15" s="246">
        <f>'[1]Blowdown Practices'!E14</f>
        <v>20541.33355865676</v>
      </c>
      <c r="F15" s="15">
        <f>'[1]Blowdown Practices'!J14</f>
        <v>61624.00067597029</v>
      </c>
      <c r="G15" s="246"/>
      <c r="H15" s="15"/>
      <c r="I15" s="250">
        <f t="shared" si="2"/>
        <v>84593.54374909624</v>
      </c>
    </row>
    <row r="16" spans="2:9" ht="12.75">
      <c r="B16" s="45" t="s">
        <v>15</v>
      </c>
      <c r="C16" s="246">
        <f>'Replace Refractory Brick'!E14</f>
        <v>3896.8614700317544</v>
      </c>
      <c r="D16" s="15">
        <f>'Replace Refractory Brick'!J14</f>
        <v>2338.116882019053</v>
      </c>
      <c r="E16" s="246">
        <f>'[1]Blowdown Practices'!E15</f>
        <v>27964.772270596728</v>
      </c>
      <c r="F16" s="15">
        <f>'[1]Blowdown Practices'!J15</f>
        <v>83894.31681179018</v>
      </c>
      <c r="G16" s="246"/>
      <c r="H16" s="15"/>
      <c r="I16" s="250">
        <f t="shared" si="2"/>
        <v>118094.06743443772</v>
      </c>
    </row>
    <row r="17" spans="2:9" ht="12.75">
      <c r="B17" s="45"/>
      <c r="C17" s="246"/>
      <c r="D17" s="15"/>
      <c r="E17" s="246"/>
      <c r="F17" s="15"/>
      <c r="G17" s="246"/>
      <c r="H17" s="15"/>
      <c r="I17" s="250">
        <f t="shared" si="2"/>
        <v>0</v>
      </c>
    </row>
    <row r="18" spans="2:9" ht="13.5" thickBot="1">
      <c r="B18" s="251" t="s">
        <v>13</v>
      </c>
      <c r="C18" s="252">
        <f>'[1]Air Preheater'!E17</f>
        <v>358415.8280306431</v>
      </c>
      <c r="D18" s="20">
        <f>'[1]Air Preheater'!J17</f>
        <v>215049.49681838584</v>
      </c>
      <c r="E18" s="252">
        <f>'[1]Blowdown Practices'!E17</f>
        <v>436122.28710707545</v>
      </c>
      <c r="F18" s="20">
        <f>'[1]Blowdown Practices'!J17</f>
        <v>1308366.8613212262</v>
      </c>
      <c r="G18" s="252"/>
      <c r="H18" s="20"/>
      <c r="I18" s="257">
        <f t="shared" si="2"/>
        <v>2317954.4732773304</v>
      </c>
    </row>
    <row r="19" spans="2:9" ht="13.5" thickBot="1">
      <c r="B19" s="258" t="s">
        <v>81</v>
      </c>
      <c r="C19" s="259"/>
      <c r="D19" s="259"/>
      <c r="E19" s="259"/>
      <c r="F19" s="259"/>
      <c r="G19" s="259"/>
      <c r="H19" s="259"/>
      <c r="I19" s="262">
        <f>SUM(I10,I18)</f>
        <v>22908733.053082764</v>
      </c>
    </row>
    <row r="20" spans="2:9" ht="13.5" thickBot="1">
      <c r="B20" s="260" t="s">
        <v>113</v>
      </c>
      <c r="C20" s="259"/>
      <c r="D20" s="259"/>
      <c r="E20" s="259"/>
      <c r="F20" s="259"/>
      <c r="G20" s="259"/>
      <c r="H20" s="261" t="s">
        <v>82</v>
      </c>
      <c r="I20" s="262">
        <f>I19-SUM(I6,I7,I14,I15)</f>
        <v>22127209.85409513</v>
      </c>
    </row>
    <row r="21" spans="2:9" ht="12.75">
      <c r="B21" s="263"/>
      <c r="C21" s="264"/>
      <c r="D21" s="264"/>
      <c r="E21" s="264"/>
      <c r="F21" s="264"/>
      <c r="G21" s="264"/>
      <c r="H21" s="265"/>
      <c r="I21" s="266" t="s">
        <v>83</v>
      </c>
    </row>
    <row r="25" ht="12.75">
      <c r="B25" s="267" t="s">
        <v>85</v>
      </c>
    </row>
    <row r="26" ht="12.75">
      <c r="B26" s="268" t="s">
        <v>86</v>
      </c>
    </row>
    <row r="27" spans="3:8" ht="12.75">
      <c r="C27" s="269"/>
      <c r="D27" s="269"/>
      <c r="E27" s="269"/>
      <c r="F27" s="269"/>
      <c r="G27" s="269"/>
      <c r="H27" s="269"/>
    </row>
    <row r="28" spans="2:8" ht="12.75">
      <c r="B28" s="270"/>
      <c r="C28" s="271" t="s">
        <v>87</v>
      </c>
      <c r="D28" s="271"/>
      <c r="E28" s="272"/>
      <c r="F28" s="273" t="s">
        <v>88</v>
      </c>
      <c r="G28" s="271"/>
      <c r="H28" s="272"/>
    </row>
    <row r="29" spans="2:8" ht="12.75">
      <c r="B29" s="274"/>
      <c r="C29" s="275"/>
      <c r="D29" s="276"/>
      <c r="E29" s="277"/>
      <c r="F29" s="278" t="s">
        <v>89</v>
      </c>
      <c r="G29" s="276"/>
      <c r="H29" s="279"/>
    </row>
    <row r="30" spans="2:8" ht="39">
      <c r="B30" s="280" t="s">
        <v>90</v>
      </c>
      <c r="C30" s="281" t="s">
        <v>91</v>
      </c>
      <c r="D30" s="282" t="s">
        <v>92</v>
      </c>
      <c r="E30" s="283" t="s">
        <v>93</v>
      </c>
      <c r="F30" s="281" t="s">
        <v>94</v>
      </c>
      <c r="G30" s="282" t="s">
        <v>95</v>
      </c>
      <c r="H30" s="283" t="s">
        <v>96</v>
      </c>
    </row>
    <row r="31" spans="2:8" ht="26.25">
      <c r="B31" s="284" t="s">
        <v>97</v>
      </c>
      <c r="C31" s="285">
        <v>280</v>
      </c>
      <c r="D31" s="286">
        <v>84</v>
      </c>
      <c r="E31" s="287">
        <v>120000</v>
      </c>
      <c r="F31" s="288">
        <f aca="true" t="shared" si="3" ref="F31:G34">C31/1020</f>
        <v>0.27450980392156865</v>
      </c>
      <c r="G31" s="289">
        <f t="shared" si="3"/>
        <v>0.08235294117647059</v>
      </c>
      <c r="H31" s="290">
        <f>E31/1020/2200</f>
        <v>0.053475935828877004</v>
      </c>
    </row>
    <row r="32" spans="2:8" ht="26.25">
      <c r="B32" s="284" t="s">
        <v>98</v>
      </c>
      <c r="C32" s="285">
        <v>190</v>
      </c>
      <c r="D32" s="286">
        <v>84</v>
      </c>
      <c r="E32" s="287">
        <v>120000</v>
      </c>
      <c r="F32" s="288">
        <f t="shared" si="3"/>
        <v>0.18627450980392157</v>
      </c>
      <c r="G32" s="289">
        <f t="shared" si="3"/>
        <v>0.08235294117647059</v>
      </c>
      <c r="H32" s="290">
        <f>E32/1020/2200</f>
        <v>0.053475935828877004</v>
      </c>
    </row>
    <row r="33" spans="2:8" ht="26.25">
      <c r="B33" s="284" t="s">
        <v>99</v>
      </c>
      <c r="C33" s="285">
        <v>140</v>
      </c>
      <c r="D33" s="286">
        <v>84</v>
      </c>
      <c r="E33" s="287">
        <v>120000</v>
      </c>
      <c r="F33" s="288">
        <f t="shared" si="3"/>
        <v>0.13725490196078433</v>
      </c>
      <c r="G33" s="289">
        <f t="shared" si="3"/>
        <v>0.08235294117647059</v>
      </c>
      <c r="H33" s="290">
        <f>E33/1020/2200</f>
        <v>0.053475935828877004</v>
      </c>
    </row>
    <row r="34" spans="2:8" ht="39.75" thickBot="1">
      <c r="B34" s="284" t="s">
        <v>100</v>
      </c>
      <c r="C34" s="291">
        <v>100</v>
      </c>
      <c r="D34" s="292">
        <v>84</v>
      </c>
      <c r="E34" s="293">
        <v>120000</v>
      </c>
      <c r="F34" s="288">
        <f t="shared" si="3"/>
        <v>0.09803921568627451</v>
      </c>
      <c r="G34" s="289">
        <f t="shared" si="3"/>
        <v>0.08235294117647059</v>
      </c>
      <c r="H34" s="290">
        <f>E34/1020/2200</f>
        <v>0.053475935828877004</v>
      </c>
    </row>
    <row r="35" spans="2:8" ht="12.75">
      <c r="B35" s="269"/>
      <c r="C35" s="269"/>
      <c r="D35" s="269"/>
      <c r="E35" s="269"/>
      <c r="F35" s="269"/>
      <c r="G35" s="269"/>
      <c r="H35" s="269"/>
    </row>
    <row r="36" spans="5:9" ht="12.75">
      <c r="E36" s="294" t="s">
        <v>101</v>
      </c>
      <c r="G36" s="269"/>
      <c r="H36" s="269"/>
      <c r="I36" s="269"/>
    </row>
    <row r="41" ht="12.75">
      <c r="B41" s="267" t="s">
        <v>102</v>
      </c>
    </row>
    <row r="42" ht="12.75">
      <c r="B42" s="269"/>
    </row>
    <row r="43" ht="12.75">
      <c r="B43" s="295"/>
    </row>
    <row r="44" ht="12.75">
      <c r="B44" s="296"/>
    </row>
    <row r="45" ht="12.75">
      <c r="B45" s="296"/>
    </row>
    <row r="46" ht="12.75">
      <c r="B46" s="295"/>
    </row>
    <row r="47" ht="12.75">
      <c r="B47" s="295"/>
    </row>
    <row r="48" ht="12.75">
      <c r="B48" s="295"/>
    </row>
    <row r="49" ht="12.75">
      <c r="B49" s="269"/>
    </row>
    <row r="50" ht="12.75">
      <c r="B50" s="269"/>
    </row>
    <row r="68" ht="12.75">
      <c r="B68" s="312" t="s">
        <v>116</v>
      </c>
    </row>
    <row r="69" ht="12.75">
      <c r="B69" s="312" t="s">
        <v>117</v>
      </c>
    </row>
    <row r="72" spans="2:7" ht="13.5" thickBot="1">
      <c r="B72" s="232" t="s">
        <v>103</v>
      </c>
      <c r="G72" s="232" t="s">
        <v>115</v>
      </c>
    </row>
    <row r="73" spans="2:9" ht="13.5" thickBot="1">
      <c r="B73" s="233"/>
      <c r="C73" s="234" t="s">
        <v>108</v>
      </c>
      <c r="D73" s="235"/>
      <c r="E73" s="236" t="s">
        <v>109</v>
      </c>
      <c r="F73" s="237"/>
      <c r="G73" s="234" t="s">
        <v>112</v>
      </c>
      <c r="H73" s="238"/>
      <c r="I73" s="239" t="s">
        <v>79</v>
      </c>
    </row>
    <row r="74" spans="2:9" ht="66" thickBot="1">
      <c r="B74" s="240" t="s">
        <v>80</v>
      </c>
      <c r="C74" s="241" t="s">
        <v>45</v>
      </c>
      <c r="D74" s="242" t="s">
        <v>46</v>
      </c>
      <c r="E74" s="243" t="s">
        <v>28</v>
      </c>
      <c r="F74" s="244" t="s">
        <v>40</v>
      </c>
      <c r="G74" s="241" t="s">
        <v>24</v>
      </c>
      <c r="H74" s="242" t="s">
        <v>25</v>
      </c>
      <c r="I74" s="245"/>
    </row>
    <row r="75" spans="2:9" ht="12.75">
      <c r="B75" s="69" t="s">
        <v>9</v>
      </c>
      <c r="C75" s="298">
        <f>C5*$F$31/2000/365</f>
        <v>3.0280273243633946</v>
      </c>
      <c r="D75" s="299">
        <f aca="true" t="shared" si="4" ref="D75:D80">D5*$F$32/2000/365</f>
        <v>1.2862961601462406</v>
      </c>
      <c r="E75" s="298">
        <f>E5*$F$31/2000/365</f>
        <v>1.0476570805320766</v>
      </c>
      <c r="F75" s="299">
        <f aca="true" t="shared" si="5" ref="F75:F80">F5*$F$32/2000/365</f>
        <v>0.4265460970737741</v>
      </c>
      <c r="G75" s="298">
        <f>G5*$F$31/2000/365</f>
        <v>0.4663162079519629</v>
      </c>
      <c r="H75" s="299">
        <f aca="true" t="shared" si="6" ref="H75:H80">H5*$F$32/2000/365</f>
        <v>0.18985731323758495</v>
      </c>
      <c r="I75" s="300">
        <f aca="true" t="shared" si="7" ref="I75:I80">SUM(C75:H75)</f>
        <v>6.444700183305034</v>
      </c>
    </row>
    <row r="76" spans="2:9" ht="12.75">
      <c r="B76" s="45" t="s">
        <v>11</v>
      </c>
      <c r="C76" s="298">
        <f>C6*$F$31/2000/365</f>
        <v>0.05795108313503464</v>
      </c>
      <c r="D76" s="299">
        <f t="shared" si="4"/>
        <v>0.02461743165695581</v>
      </c>
      <c r="E76" s="298">
        <f>E6*$F$31/2000/365</f>
        <v>0.020050302083613532</v>
      </c>
      <c r="F76" s="299">
        <f t="shared" si="5"/>
        <v>0.008163337276899796</v>
      </c>
      <c r="G76" s="298">
        <f>G6*$F$31/2000/365</f>
        <v>0.015617816904891843</v>
      </c>
      <c r="H76" s="299">
        <f t="shared" si="6"/>
        <v>0.006358682596991679</v>
      </c>
      <c r="I76" s="300">
        <f t="shared" si="7"/>
        <v>0.1327586536543873</v>
      </c>
    </row>
    <row r="77" spans="2:9" ht="12.75">
      <c r="B77" s="45" t="s">
        <v>1</v>
      </c>
      <c r="C77" s="298">
        <f>C7*$F$31/2000/365</f>
        <v>0.027793402434679586</v>
      </c>
      <c r="D77" s="299">
        <f t="shared" si="4"/>
        <v>0.011806546969203338</v>
      </c>
      <c r="E77" s="298">
        <f>E7*$F$31/2000/365</f>
        <v>0.009616146663700012</v>
      </c>
      <c r="F77" s="299">
        <f t="shared" si="5"/>
        <v>0.003915145427363577</v>
      </c>
      <c r="G77" s="298">
        <f>G7*$F$31/2000/365</f>
        <v>0.007490321956146152</v>
      </c>
      <c r="H77" s="299">
        <f t="shared" si="6"/>
        <v>0.0030496310821452187</v>
      </c>
      <c r="I77" s="300">
        <f t="shared" si="7"/>
        <v>0.06367119453323788</v>
      </c>
    </row>
    <row r="78" spans="2:9" ht="13.5" thickBot="1">
      <c r="B78" s="65" t="s">
        <v>15</v>
      </c>
      <c r="C78" s="298">
        <f>C8*$F$31/2000/365</f>
        <v>0.071365860926521</v>
      </c>
      <c r="D78" s="299">
        <f t="shared" si="4"/>
        <v>0.03031598563748559</v>
      </c>
      <c r="E78" s="298">
        <f>E8*$F$31/2000/365</f>
        <v>0.024691636335763927</v>
      </c>
      <c r="F78" s="299">
        <f t="shared" si="5"/>
        <v>0.010053023365275313</v>
      </c>
      <c r="G78" s="298">
        <f>G8*$F$31/2000/365</f>
        <v>0.010990342582684238</v>
      </c>
      <c r="H78" s="299">
        <f t="shared" si="6"/>
        <v>0.004474639480092869</v>
      </c>
      <c r="I78" s="300">
        <f t="shared" si="7"/>
        <v>0.15189148832782293</v>
      </c>
    </row>
    <row r="79" spans="2:9" ht="12.75">
      <c r="B79" s="45"/>
      <c r="C79" s="298">
        <f>C9*$F$31/2000/365</f>
        <v>0</v>
      </c>
      <c r="D79" s="299">
        <f t="shared" si="4"/>
        <v>0</v>
      </c>
      <c r="E79" s="298">
        <f>E9*$F$31/2000/365</f>
        <v>0</v>
      </c>
      <c r="F79" s="299">
        <f t="shared" si="5"/>
        <v>0</v>
      </c>
      <c r="G79" s="298">
        <f>G9*$F$31/2000/365</f>
        <v>0</v>
      </c>
      <c r="H79" s="299">
        <f t="shared" si="6"/>
        <v>0</v>
      </c>
      <c r="I79" s="300">
        <f t="shared" si="7"/>
        <v>0</v>
      </c>
    </row>
    <row r="80" spans="2:9" ht="13.5" thickBot="1">
      <c r="B80" s="301" t="s">
        <v>13</v>
      </c>
      <c r="C80" s="302">
        <f>SUM(C75:C79)</f>
        <v>3.1851376708596297</v>
      </c>
      <c r="D80" s="303">
        <f t="shared" si="4"/>
        <v>1.3530361244098854</v>
      </c>
      <c r="E80" s="302">
        <f>SUM(E75:E79)</f>
        <v>1.102015165615154</v>
      </c>
      <c r="F80" s="303">
        <f t="shared" si="5"/>
        <v>0.44867760314331284</v>
      </c>
      <c r="G80" s="302">
        <f>SUM(G75:G79)</f>
        <v>0.5004146893956851</v>
      </c>
      <c r="H80" s="303">
        <f t="shared" si="6"/>
        <v>0.2037402663968147</v>
      </c>
      <c r="I80" s="304">
        <f t="shared" si="7"/>
        <v>6.793021519820482</v>
      </c>
    </row>
    <row r="81" spans="2:9" ht="13.5" thickBot="1">
      <c r="B81" s="233"/>
      <c r="C81" s="236" t="s">
        <v>110</v>
      </c>
      <c r="D81" s="254"/>
      <c r="E81" s="234" t="s">
        <v>111</v>
      </c>
      <c r="F81" s="235"/>
      <c r="G81" s="236"/>
      <c r="H81" s="255"/>
      <c r="I81" s="239" t="s">
        <v>114</v>
      </c>
    </row>
    <row r="82" spans="2:9" ht="53.25" thickBot="1">
      <c r="B82" s="240" t="s">
        <v>80</v>
      </c>
      <c r="C82" s="306" t="s">
        <v>27</v>
      </c>
      <c r="D82" s="307" t="s">
        <v>26</v>
      </c>
      <c r="E82" s="306" t="s">
        <v>19</v>
      </c>
      <c r="F82" s="309" t="s">
        <v>0</v>
      </c>
      <c r="G82" s="306"/>
      <c r="H82" s="309"/>
      <c r="I82" s="310"/>
    </row>
    <row r="83" spans="2:9" ht="12.75">
      <c r="B83" s="69" t="s">
        <v>9</v>
      </c>
      <c r="C83" s="298">
        <f>C13*$F$31/2000/365</f>
        <v>0.062175494393594995</v>
      </c>
      <c r="D83" s="299">
        <f aca="true" t="shared" si="8" ref="D83:D88">D13*$F$32/2000/365</f>
        <v>0.025314308431677958</v>
      </c>
      <c r="E83" s="298">
        <f>E13*$F$31/2000/365</f>
        <v>0.07116462341108173</v>
      </c>
      <c r="F83" s="299">
        <f aca="true" t="shared" si="9" ref="F83:F88">F13*$F$32/2000/365</f>
        <v>0.14487084051541635</v>
      </c>
      <c r="G83" s="298">
        <f>G13*$F$31/2000/365</f>
        <v>0</v>
      </c>
      <c r="H83" s="299">
        <f aca="true" t="shared" si="10" ref="H83:H88">H13*$F$32/2000/365</f>
        <v>0</v>
      </c>
      <c r="I83" s="300">
        <f aca="true" t="shared" si="11" ref="I83:I88">SUM(C83:H83)</f>
        <v>0.30352526675177105</v>
      </c>
    </row>
    <row r="84" spans="2:9" ht="12.75">
      <c r="B84" s="45" t="s">
        <v>11</v>
      </c>
      <c r="C84" s="298">
        <f>C14*$F$31/2000/365</f>
        <v>0.0011899289070393788</v>
      </c>
      <c r="D84" s="299">
        <f t="shared" si="8"/>
        <v>0.0004844710550088899</v>
      </c>
      <c r="E84" s="298">
        <f>E14*$F$31/2000/365</f>
        <v>0.009077212484612412</v>
      </c>
      <c r="F84" s="299">
        <f t="shared" si="9"/>
        <v>0.018478611129389554</v>
      </c>
      <c r="G84" s="298">
        <f>G14*$F$31/2000/365</f>
        <v>0</v>
      </c>
      <c r="H84" s="299">
        <f t="shared" si="10"/>
        <v>0</v>
      </c>
      <c r="I84" s="300">
        <f t="shared" si="11"/>
        <v>0.029230223576050235</v>
      </c>
    </row>
    <row r="85" spans="2:9" ht="12.75">
      <c r="B85" s="45" t="s">
        <v>1</v>
      </c>
      <c r="C85" s="298">
        <f>C15*$F$31/2000/365</f>
        <v>0.0005706911966587545</v>
      </c>
      <c r="D85" s="299">
        <f t="shared" si="8"/>
        <v>0.00023235284435392146</v>
      </c>
      <c r="E85" s="298">
        <f>E15*$F$31/2000/365</f>
        <v>0.007724380065033432</v>
      </c>
      <c r="F85" s="299">
        <f t="shared" si="9"/>
        <v>0.015724630846675202</v>
      </c>
      <c r="G85" s="298">
        <f>G15*$F$31/2000/365</f>
        <v>0</v>
      </c>
      <c r="H85" s="299">
        <f t="shared" si="10"/>
        <v>0</v>
      </c>
      <c r="I85" s="300">
        <f t="shared" si="11"/>
        <v>0.02425205495272131</v>
      </c>
    </row>
    <row r="86" spans="2:9" ht="13.5" thickBot="1">
      <c r="B86" s="65" t="s">
        <v>15</v>
      </c>
      <c r="C86" s="298">
        <f>C16*$F$31/2000/365</f>
        <v>0.0014653790110245653</v>
      </c>
      <c r="D86" s="299">
        <f t="shared" si="8"/>
        <v>0.0005966185973457159</v>
      </c>
      <c r="E86" s="298">
        <f>E16*$F$31/2000/365</f>
        <v>0.010515896099606615</v>
      </c>
      <c r="F86" s="299">
        <f t="shared" si="9"/>
        <v>0.021407359917056317</v>
      </c>
      <c r="G86" s="298">
        <f>G16*$F$31/2000/365</f>
        <v>0</v>
      </c>
      <c r="H86" s="299">
        <f t="shared" si="10"/>
        <v>0</v>
      </c>
      <c r="I86" s="300">
        <f t="shared" si="11"/>
        <v>0.03398525362503321</v>
      </c>
    </row>
    <row r="87" spans="2:9" ht="12.75">
      <c r="B87" s="45"/>
      <c r="C87" s="298">
        <f>C17*$F$31/2000/365</f>
        <v>0</v>
      </c>
      <c r="D87" s="299">
        <f t="shared" si="8"/>
        <v>0</v>
      </c>
      <c r="E87" s="298">
        <f>E17*$F$31/2000/365</f>
        <v>0</v>
      </c>
      <c r="F87" s="299">
        <f t="shared" si="9"/>
        <v>0</v>
      </c>
      <c r="G87" s="298">
        <f>G17*$F$31/2000/365</f>
        <v>0</v>
      </c>
      <c r="H87" s="299">
        <f t="shared" si="10"/>
        <v>0</v>
      </c>
      <c r="I87" s="300">
        <f t="shared" si="11"/>
        <v>0</v>
      </c>
    </row>
    <row r="88" spans="2:9" ht="13.5" thickBot="1">
      <c r="B88" s="251" t="s">
        <v>13</v>
      </c>
      <c r="C88" s="302">
        <f>SUM(C83:C87)</f>
        <v>0.06540149350831768</v>
      </c>
      <c r="D88" s="303">
        <f t="shared" si="8"/>
        <v>0.05487430082660934</v>
      </c>
      <c r="E88" s="302">
        <f>SUM(E83:E87)</f>
        <v>0.09848211206033418</v>
      </c>
      <c r="F88" s="303">
        <f t="shared" si="9"/>
        <v>0.33385670648809157</v>
      </c>
      <c r="G88" s="302">
        <f>SUM(G83:G87)</f>
        <v>0</v>
      </c>
      <c r="H88" s="303">
        <f t="shared" si="10"/>
        <v>0</v>
      </c>
      <c r="I88" s="304">
        <f t="shared" si="11"/>
        <v>0.5526146128833528</v>
      </c>
    </row>
    <row r="89" spans="2:9" ht="12.75">
      <c r="B89" s="264" t="s">
        <v>104</v>
      </c>
      <c r="C89" s="269"/>
      <c r="D89" s="269"/>
      <c r="E89" s="269"/>
      <c r="F89" s="269" t="s">
        <v>105</v>
      </c>
      <c r="G89" s="269"/>
      <c r="H89" s="269"/>
      <c r="I89" s="269"/>
    </row>
    <row r="90" ht="13.5" thickBot="1"/>
    <row r="91" spans="2:9" ht="13.5" thickBot="1">
      <c r="B91" s="258" t="s">
        <v>81</v>
      </c>
      <c r="C91" s="259"/>
      <c r="D91" s="259"/>
      <c r="E91" s="259"/>
      <c r="F91" s="259"/>
      <c r="G91" s="259"/>
      <c r="H91" s="259"/>
      <c r="I91" s="305">
        <f>SUM(I80,I88)</f>
        <v>7.345636132703835</v>
      </c>
    </row>
    <row r="92" spans="2:9" ht="13.5" thickBot="1">
      <c r="B92" s="260" t="s">
        <v>113</v>
      </c>
      <c r="C92" s="259"/>
      <c r="D92" s="259"/>
      <c r="E92" s="259"/>
      <c r="F92" s="259"/>
      <c r="G92" s="259"/>
      <c r="H92" s="261" t="s">
        <v>106</v>
      </c>
      <c r="I92" s="305">
        <f>I91-SUM(I76,I77,I84,I85)</f>
        <v>7.095724005987439</v>
      </c>
    </row>
    <row r="93" spans="2:9" ht="12.75">
      <c r="B93" s="263"/>
      <c r="C93" s="264"/>
      <c r="D93" s="264"/>
      <c r="E93" s="264"/>
      <c r="F93" s="264"/>
      <c r="G93" s="264"/>
      <c r="H93" s="265"/>
      <c r="I93" s="266"/>
    </row>
    <row r="96" ht="13.5" thickBot="1">
      <c r="B96" s="232" t="s">
        <v>107</v>
      </c>
    </row>
    <row r="97" spans="2:9" ht="13.5" thickBot="1">
      <c r="B97" s="297"/>
      <c r="C97" s="234" t="s">
        <v>108</v>
      </c>
      <c r="D97" s="235"/>
      <c r="E97" s="236" t="s">
        <v>109</v>
      </c>
      <c r="F97" s="237"/>
      <c r="G97" s="234" t="s">
        <v>112</v>
      </c>
      <c r="H97" s="238"/>
      <c r="I97" s="239" t="s">
        <v>79</v>
      </c>
    </row>
    <row r="98" spans="2:9" ht="66" thickBot="1">
      <c r="B98" s="256" t="s">
        <v>80</v>
      </c>
      <c r="C98" s="241" t="s">
        <v>45</v>
      </c>
      <c r="D98" s="242" t="s">
        <v>46</v>
      </c>
      <c r="E98" s="243" t="s">
        <v>28</v>
      </c>
      <c r="F98" s="244" t="s">
        <v>40</v>
      </c>
      <c r="G98" s="241" t="s">
        <v>24</v>
      </c>
      <c r="H98" s="242" t="s">
        <v>25</v>
      </c>
      <c r="I98" s="245"/>
    </row>
    <row r="99" spans="2:9" ht="12.75">
      <c r="B99" s="69" t="s">
        <v>9</v>
      </c>
      <c r="C99" s="298">
        <f aca="true" t="shared" si="12" ref="C99:H103">C5*$G$31/2000/365</f>
        <v>0.9084081973090185</v>
      </c>
      <c r="D99" s="298">
        <f t="shared" si="12"/>
        <v>0.5686783023804433</v>
      </c>
      <c r="E99" s="298">
        <f t="shared" si="12"/>
        <v>0.31429712415962296</v>
      </c>
      <c r="F99" s="298">
        <f t="shared" si="12"/>
        <v>0.1885782744957738</v>
      </c>
      <c r="G99" s="298">
        <f t="shared" si="12"/>
        <v>0.13989486238558888</v>
      </c>
      <c r="H99" s="298">
        <f t="shared" si="12"/>
        <v>0.08393691743135333</v>
      </c>
      <c r="I99" s="300">
        <f aca="true" t="shared" si="13" ref="I99:I104">SUM(C99:H99)</f>
        <v>2.2037936781618</v>
      </c>
    </row>
    <row r="100" spans="2:9" ht="12.75">
      <c r="B100" s="45" t="s">
        <v>11</v>
      </c>
      <c r="C100" s="298">
        <f t="shared" si="12"/>
        <v>0.017385324940510392</v>
      </c>
      <c r="D100" s="298">
        <f t="shared" si="12"/>
        <v>0.010883496100969937</v>
      </c>
      <c r="E100" s="298">
        <f t="shared" si="12"/>
        <v>0.00601509062508406</v>
      </c>
      <c r="F100" s="298">
        <f t="shared" si="12"/>
        <v>0.003609054375050436</v>
      </c>
      <c r="G100" s="298">
        <f t="shared" si="12"/>
        <v>0.004685345071467553</v>
      </c>
      <c r="H100" s="298">
        <f t="shared" si="12"/>
        <v>0.0028112070428805325</v>
      </c>
      <c r="I100" s="300">
        <f t="shared" si="13"/>
        <v>0.04538951815596291</v>
      </c>
    </row>
    <row r="101" spans="2:9" ht="12.75">
      <c r="B101" s="45" t="s">
        <v>1</v>
      </c>
      <c r="C101" s="298">
        <f t="shared" si="12"/>
        <v>0.008338020730403874</v>
      </c>
      <c r="D101" s="298">
        <f t="shared" si="12"/>
        <v>0.005219736554805686</v>
      </c>
      <c r="E101" s="298">
        <f t="shared" si="12"/>
        <v>0.0028848439991100033</v>
      </c>
      <c r="F101" s="298">
        <f t="shared" si="12"/>
        <v>0.0017309063994660025</v>
      </c>
      <c r="G101" s="298">
        <f t="shared" si="12"/>
        <v>0.0022470965868438457</v>
      </c>
      <c r="H101" s="298">
        <f t="shared" si="12"/>
        <v>0.0013482579521063075</v>
      </c>
      <c r="I101" s="300">
        <f t="shared" si="13"/>
        <v>0.021768862222735722</v>
      </c>
    </row>
    <row r="102" spans="2:9" ht="13.5" thickBot="1">
      <c r="B102" s="65" t="s">
        <v>15</v>
      </c>
      <c r="C102" s="298">
        <f t="shared" si="12"/>
        <v>0.0214097582779563</v>
      </c>
      <c r="D102" s="298">
        <f t="shared" si="12"/>
        <v>0.013402856808151523</v>
      </c>
      <c r="E102" s="298">
        <f t="shared" si="12"/>
        <v>0.007407490900729176</v>
      </c>
      <c r="F102" s="298">
        <f t="shared" si="12"/>
        <v>0.004444494540437506</v>
      </c>
      <c r="G102" s="298">
        <f t="shared" si="12"/>
        <v>0.0032971027748052717</v>
      </c>
      <c r="H102" s="298">
        <f t="shared" si="12"/>
        <v>0.0019782616648831627</v>
      </c>
      <c r="I102" s="300">
        <f t="shared" si="13"/>
        <v>0.05193996496696294</v>
      </c>
    </row>
    <row r="103" spans="2:9" ht="12.75">
      <c r="B103" s="45"/>
      <c r="C103" s="298">
        <f t="shared" si="12"/>
        <v>0</v>
      </c>
      <c r="D103" s="298">
        <f t="shared" si="12"/>
        <v>0</v>
      </c>
      <c r="E103" s="298">
        <f t="shared" si="12"/>
        <v>0</v>
      </c>
      <c r="F103" s="298">
        <f t="shared" si="12"/>
        <v>0</v>
      </c>
      <c r="G103" s="298">
        <f t="shared" si="12"/>
        <v>0</v>
      </c>
      <c r="H103" s="298">
        <f t="shared" si="12"/>
        <v>0</v>
      </c>
      <c r="I103" s="300">
        <f t="shared" si="13"/>
        <v>0</v>
      </c>
    </row>
    <row r="104" spans="2:9" ht="13.5" thickBot="1">
      <c r="B104" s="301" t="s">
        <v>13</v>
      </c>
      <c r="C104" s="302">
        <f aca="true" t="shared" si="14" ref="C104:H104">SUM(C99:C103)</f>
        <v>0.955541301257889</v>
      </c>
      <c r="D104" s="303">
        <f t="shared" si="14"/>
        <v>0.5981843918443704</v>
      </c>
      <c r="E104" s="302">
        <f t="shared" si="14"/>
        <v>0.33060454968454617</v>
      </c>
      <c r="F104" s="303">
        <f t="shared" si="14"/>
        <v>0.19836272981072772</v>
      </c>
      <c r="G104" s="302">
        <f t="shared" si="14"/>
        <v>0.15012440681870556</v>
      </c>
      <c r="H104" s="303">
        <f t="shared" si="14"/>
        <v>0.09007464409122332</v>
      </c>
      <c r="I104" s="304">
        <f t="shared" si="13"/>
        <v>2.3228920235074626</v>
      </c>
    </row>
    <row r="105" spans="2:9" ht="13.5" thickBot="1">
      <c r="B105" s="233"/>
      <c r="C105" s="236" t="s">
        <v>110</v>
      </c>
      <c r="D105" s="254"/>
      <c r="E105" s="234" t="s">
        <v>111</v>
      </c>
      <c r="F105" s="235"/>
      <c r="G105" s="236"/>
      <c r="H105" s="255"/>
      <c r="I105" s="239" t="s">
        <v>114</v>
      </c>
    </row>
    <row r="106" spans="2:9" ht="53.25" thickBot="1">
      <c r="B106" s="240" t="s">
        <v>80</v>
      </c>
      <c r="C106" s="306" t="s">
        <v>27</v>
      </c>
      <c r="D106" s="307" t="s">
        <v>26</v>
      </c>
      <c r="E106" s="306" t="s">
        <v>19</v>
      </c>
      <c r="F106" s="309" t="s">
        <v>0</v>
      </c>
      <c r="G106" s="306"/>
      <c r="H106" s="309"/>
      <c r="I106" s="310"/>
    </row>
    <row r="107" spans="2:9" ht="12.75">
      <c r="B107" s="69" t="s">
        <v>9</v>
      </c>
      <c r="C107" s="298">
        <f aca="true" t="shared" si="15" ref="C107:H111">C13*$G$31/2000/365</f>
        <v>0.0186526483180785</v>
      </c>
      <c r="D107" s="298">
        <f t="shared" si="15"/>
        <v>0.0111915889908471</v>
      </c>
      <c r="E107" s="298">
        <f t="shared" si="15"/>
        <v>0.02134938702332452</v>
      </c>
      <c r="F107" s="298">
        <f t="shared" si="15"/>
        <v>0.06404816106997355</v>
      </c>
      <c r="G107" s="298">
        <f t="shared" si="15"/>
        <v>0</v>
      </c>
      <c r="H107" s="298">
        <f t="shared" si="15"/>
        <v>0</v>
      </c>
      <c r="I107" s="300">
        <f aca="true" t="shared" si="16" ref="I107:I112">SUM(C107:H107)</f>
        <v>0.11524178540222366</v>
      </c>
    </row>
    <row r="108" spans="2:9" ht="12.75">
      <c r="B108" s="45" t="s">
        <v>11</v>
      </c>
      <c r="C108" s="298">
        <f t="shared" si="15"/>
        <v>0.00035697867211181356</v>
      </c>
      <c r="D108" s="298">
        <f t="shared" si="15"/>
        <v>0.00021418720326708818</v>
      </c>
      <c r="E108" s="298">
        <f t="shared" si="15"/>
        <v>0.0027231637453837233</v>
      </c>
      <c r="F108" s="298">
        <f t="shared" si="15"/>
        <v>0.00816949123615117</v>
      </c>
      <c r="G108" s="298">
        <f t="shared" si="15"/>
        <v>0</v>
      </c>
      <c r="H108" s="298">
        <f t="shared" si="15"/>
        <v>0</v>
      </c>
      <c r="I108" s="300">
        <f t="shared" si="16"/>
        <v>0.011463820856913796</v>
      </c>
    </row>
    <row r="109" spans="2:9" ht="12.75">
      <c r="B109" s="45" t="s">
        <v>1</v>
      </c>
      <c r="C109" s="298">
        <f t="shared" si="15"/>
        <v>0.00017120735899762632</v>
      </c>
      <c r="D109" s="298">
        <f t="shared" si="15"/>
        <v>0.0001027244153985758</v>
      </c>
      <c r="E109" s="298">
        <f t="shared" si="15"/>
        <v>0.002317314019510029</v>
      </c>
      <c r="F109" s="298">
        <f t="shared" si="15"/>
        <v>0.00695194205853009</v>
      </c>
      <c r="G109" s="298">
        <f t="shared" si="15"/>
        <v>0</v>
      </c>
      <c r="H109" s="298">
        <f t="shared" si="15"/>
        <v>0</v>
      </c>
      <c r="I109" s="300">
        <f t="shared" si="16"/>
        <v>0.009543187852436321</v>
      </c>
    </row>
    <row r="110" spans="2:9" ht="13.5" thickBot="1">
      <c r="B110" s="65" t="s">
        <v>15</v>
      </c>
      <c r="C110" s="298">
        <f t="shared" si="15"/>
        <v>0.00043961370330736953</v>
      </c>
      <c r="D110" s="298">
        <f t="shared" si="15"/>
        <v>0.00026376822198442173</v>
      </c>
      <c r="E110" s="298">
        <f t="shared" si="15"/>
        <v>0.0031547688298819835</v>
      </c>
      <c r="F110" s="298">
        <f t="shared" si="15"/>
        <v>0.009464306489645951</v>
      </c>
      <c r="G110" s="298">
        <f t="shared" si="15"/>
        <v>0</v>
      </c>
      <c r="H110" s="298">
        <f t="shared" si="15"/>
        <v>0</v>
      </c>
      <c r="I110" s="300">
        <f t="shared" si="16"/>
        <v>0.013322457244819726</v>
      </c>
    </row>
    <row r="111" spans="2:9" ht="12.75">
      <c r="B111" s="45"/>
      <c r="C111" s="298">
        <f t="shared" si="15"/>
        <v>0</v>
      </c>
      <c r="D111" s="298">
        <f t="shared" si="15"/>
        <v>0</v>
      </c>
      <c r="E111" s="298">
        <f t="shared" si="15"/>
        <v>0</v>
      </c>
      <c r="F111" s="298">
        <f t="shared" si="15"/>
        <v>0</v>
      </c>
      <c r="G111" s="298">
        <f t="shared" si="15"/>
        <v>0</v>
      </c>
      <c r="H111" s="298">
        <f t="shared" si="15"/>
        <v>0</v>
      </c>
      <c r="I111" s="300">
        <f t="shared" si="16"/>
        <v>0</v>
      </c>
    </row>
    <row r="112" spans="2:9" ht="13.5" thickBot="1">
      <c r="B112" s="251" t="s">
        <v>13</v>
      </c>
      <c r="C112" s="302">
        <f aca="true" t="shared" si="17" ref="C112:H112">SUM(C107:C111)</f>
        <v>0.01962044805249531</v>
      </c>
      <c r="D112" s="303">
        <f t="shared" si="17"/>
        <v>0.011772268831497184</v>
      </c>
      <c r="E112" s="302">
        <f t="shared" si="17"/>
        <v>0.02954463361810026</v>
      </c>
      <c r="F112" s="303">
        <f t="shared" si="17"/>
        <v>0.08863390085430076</v>
      </c>
      <c r="G112" s="302">
        <f t="shared" si="17"/>
        <v>0</v>
      </c>
      <c r="H112" s="303">
        <f t="shared" si="17"/>
        <v>0</v>
      </c>
      <c r="I112" s="304">
        <f t="shared" si="16"/>
        <v>0.14957125135639351</v>
      </c>
    </row>
    <row r="113" spans="2:9" ht="12.75">
      <c r="B113" s="264" t="s">
        <v>104</v>
      </c>
      <c r="C113" s="269"/>
      <c r="D113" s="269"/>
      <c r="E113" s="269"/>
      <c r="F113" s="269" t="s">
        <v>105</v>
      </c>
      <c r="G113" s="269"/>
      <c r="H113" s="269"/>
      <c r="I113" s="269"/>
    </row>
    <row r="114" ht="13.5" thickBot="1"/>
    <row r="115" spans="2:9" ht="13.5" thickBot="1">
      <c r="B115" s="258" t="s">
        <v>81</v>
      </c>
      <c r="C115" s="259"/>
      <c r="D115" s="259"/>
      <c r="E115" s="259"/>
      <c r="F115" s="259"/>
      <c r="G115" s="259"/>
      <c r="H115" s="259"/>
      <c r="I115" s="305">
        <f>SUM(I104,I112)</f>
        <v>2.472463274863856</v>
      </c>
    </row>
    <row r="116" spans="2:9" ht="13.5" thickBot="1">
      <c r="B116" s="260" t="s">
        <v>113</v>
      </c>
      <c r="C116" s="259"/>
      <c r="D116" s="259"/>
      <c r="E116" s="259"/>
      <c r="F116" s="259"/>
      <c r="G116" s="259"/>
      <c r="H116" s="261" t="s">
        <v>106</v>
      </c>
      <c r="I116" s="305">
        <f>I115-SUM(I100,I101,I108,I109)</f>
        <v>2.384297885775807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C2">
      <selection activeCell="I14" sqref="I14:O14"/>
    </sheetView>
  </sheetViews>
  <sheetFormatPr defaultColWidth="9.140625" defaultRowHeight="12.75"/>
  <cols>
    <col min="1" max="1" width="12.7109375" style="0" bestFit="1" customWidth="1"/>
    <col min="2" max="2" width="14.00390625" style="0" customWidth="1"/>
    <col min="3" max="3" width="13.140625" style="0" customWidth="1"/>
    <col min="4" max="4" width="14.00390625" style="0" customWidth="1"/>
    <col min="5" max="5" width="15.7109375" style="0" customWidth="1"/>
    <col min="6" max="6" width="14.8515625" style="0" customWidth="1"/>
    <col min="7" max="7" width="18.7109375" style="0" customWidth="1"/>
    <col min="8" max="8" width="15.140625" style="0" customWidth="1"/>
    <col min="9" max="9" width="14.7109375" style="0" customWidth="1"/>
    <col min="10" max="10" width="11.28125" style="0" customWidth="1"/>
    <col min="11" max="11" width="10.140625" style="0" customWidth="1"/>
    <col min="12" max="13" width="9.421875" style="0" bestFit="1" customWidth="1"/>
    <col min="14" max="14" width="11.7109375" style="0" customWidth="1"/>
    <col min="15" max="15" width="11.421875" style="0" customWidth="1"/>
    <col min="16" max="16" width="8.8515625" style="0" customWidth="1"/>
    <col min="17" max="17" width="9.28125" style="0" bestFit="1" customWidth="1"/>
  </cols>
  <sheetData>
    <row r="1" ht="12.75">
      <c r="A1" t="s">
        <v>75</v>
      </c>
    </row>
    <row r="2" ht="12.75">
      <c r="A2" t="s">
        <v>76</v>
      </c>
    </row>
    <row r="3" ht="12.75">
      <c r="A3" s="231">
        <v>40480</v>
      </c>
    </row>
    <row r="5" ht="13.5" thickBot="1">
      <c r="A5" t="s">
        <v>74</v>
      </c>
    </row>
    <row r="6" spans="1:10" ht="13.5" thickBot="1">
      <c r="A6" s="316" t="s">
        <v>2</v>
      </c>
      <c r="B6" s="316" t="s">
        <v>69</v>
      </c>
      <c r="C6" s="318" t="s">
        <v>16</v>
      </c>
      <c r="D6" s="319"/>
      <c r="E6" s="319"/>
      <c r="F6" s="320"/>
      <c r="G6" s="313" t="s">
        <v>17</v>
      </c>
      <c r="H6" s="314"/>
      <c r="I6" s="314"/>
      <c r="J6" s="315"/>
    </row>
    <row r="7" spans="1:10" s="25" customFormat="1" ht="57" thickBot="1">
      <c r="A7" s="317"/>
      <c r="B7" s="317"/>
      <c r="C7" s="56" t="s">
        <v>53</v>
      </c>
      <c r="D7" s="58" t="s">
        <v>60</v>
      </c>
      <c r="E7" s="58" t="s">
        <v>61</v>
      </c>
      <c r="F7" s="217" t="s">
        <v>62</v>
      </c>
      <c r="G7" s="56" t="s">
        <v>18</v>
      </c>
      <c r="H7" s="215" t="s">
        <v>57</v>
      </c>
      <c r="I7" s="58" t="s">
        <v>63</v>
      </c>
      <c r="J7" s="59" t="s">
        <v>7</v>
      </c>
    </row>
    <row r="8" spans="1:10" ht="12.75">
      <c r="A8" s="46" t="s">
        <v>9</v>
      </c>
      <c r="B8" s="224">
        <v>0.6258278145695364</v>
      </c>
      <c r="C8" s="47" t="s">
        <v>31</v>
      </c>
      <c r="D8" s="48">
        <v>100</v>
      </c>
      <c r="E8" s="49" t="s">
        <v>44</v>
      </c>
      <c r="F8" s="218">
        <v>0.9</v>
      </c>
      <c r="G8" s="221">
        <f>J8/H8</f>
        <v>524.2973237555138</v>
      </c>
      <c r="H8" s="51">
        <f>F8*8760*D8</f>
        <v>788400</v>
      </c>
      <c r="I8" s="51">
        <v>35006223.792814</v>
      </c>
      <c r="J8" s="52">
        <f>I8/$G$24*B8</f>
        <v>413356010.0488471</v>
      </c>
    </row>
    <row r="9" spans="1:10" ht="12.75">
      <c r="A9" s="45" t="s">
        <v>11</v>
      </c>
      <c r="B9" s="225">
        <v>0.2576808721506442</v>
      </c>
      <c r="C9" s="197" t="s">
        <v>42</v>
      </c>
      <c r="D9" s="28">
        <v>20</v>
      </c>
      <c r="E9" s="49" t="s">
        <v>44</v>
      </c>
      <c r="F9" s="219">
        <v>0.8</v>
      </c>
      <c r="G9" s="222">
        <f>J9/H9</f>
        <v>56.441940345059805</v>
      </c>
      <c r="H9" s="30">
        <f>F9*8760*D9</f>
        <v>140160</v>
      </c>
      <c r="I9" s="30">
        <v>1627120.48246</v>
      </c>
      <c r="J9" s="31">
        <f>I9/$G$24*B9</f>
        <v>7910902.358763582</v>
      </c>
    </row>
    <row r="10" spans="1:10" ht="12.75">
      <c r="A10" s="45" t="s">
        <v>1</v>
      </c>
      <c r="B10" s="225">
        <v>0.7625754527162978</v>
      </c>
      <c r="C10" s="27" t="s">
        <v>43</v>
      </c>
      <c r="D10" s="28">
        <v>40</v>
      </c>
      <c r="E10" s="49" t="s">
        <v>44</v>
      </c>
      <c r="F10" s="219">
        <v>0.8</v>
      </c>
      <c r="G10" s="222">
        <f>J10/H10</f>
        <v>13.534807956471575</v>
      </c>
      <c r="H10" s="30">
        <f>F10*8760*D10</f>
        <v>280320</v>
      </c>
      <c r="I10" s="30">
        <v>263693.382341</v>
      </c>
      <c r="J10" s="31">
        <f>I10/$G$24*B10</f>
        <v>3794077.3663581116</v>
      </c>
    </row>
    <row r="11" spans="1:10" ht="13.5" thickBot="1">
      <c r="A11" s="65" t="s">
        <v>15</v>
      </c>
      <c r="B11" s="226">
        <v>0.20190318576748034</v>
      </c>
      <c r="C11" s="32" t="s">
        <v>43</v>
      </c>
      <c r="D11" s="33">
        <v>50</v>
      </c>
      <c r="E11" s="34" t="s">
        <v>44</v>
      </c>
      <c r="F11" s="220">
        <v>0.85</v>
      </c>
      <c r="G11" s="223">
        <f>J11/H11</f>
        <v>26.167482339724376</v>
      </c>
      <c r="H11" s="36">
        <f>F11*8760*D11</f>
        <v>372300</v>
      </c>
      <c r="I11" s="36">
        <v>2557335.3031380004</v>
      </c>
      <c r="J11" s="37">
        <f>I11/$G$24*B11</f>
        <v>9742153.675079385</v>
      </c>
    </row>
    <row r="13" ht="13.5" thickBot="1"/>
    <row r="14" spans="1:15" ht="13.5" thickBot="1">
      <c r="A14" s="316" t="s">
        <v>2</v>
      </c>
      <c r="B14" s="322" t="s">
        <v>45</v>
      </c>
      <c r="C14" s="323"/>
      <c r="D14" s="323"/>
      <c r="E14" s="323"/>
      <c r="F14" s="323"/>
      <c r="G14" s="323"/>
      <c r="H14" s="324"/>
      <c r="I14" s="318" t="s">
        <v>46</v>
      </c>
      <c r="J14" s="319"/>
      <c r="K14" s="319"/>
      <c r="L14" s="319"/>
      <c r="M14" s="319"/>
      <c r="N14" s="319"/>
      <c r="O14" s="320"/>
    </row>
    <row r="15" spans="1:15" s="25" customFormat="1" ht="54" thickBot="1">
      <c r="A15" s="317"/>
      <c r="B15" s="53" t="s">
        <v>51</v>
      </c>
      <c r="C15" s="54" t="s">
        <v>66</v>
      </c>
      <c r="D15" s="54" t="s">
        <v>67</v>
      </c>
      <c r="E15" s="61" t="s">
        <v>50</v>
      </c>
      <c r="F15" s="54" t="s">
        <v>12</v>
      </c>
      <c r="G15" s="54" t="s">
        <v>49</v>
      </c>
      <c r="H15" s="55" t="s">
        <v>52</v>
      </c>
      <c r="I15" s="54" t="s">
        <v>51</v>
      </c>
      <c r="J15" s="54" t="s">
        <v>66</v>
      </c>
      <c r="K15" s="54" t="s">
        <v>8</v>
      </c>
      <c r="L15" s="61" t="s">
        <v>50</v>
      </c>
      <c r="M15" s="54" t="s">
        <v>12</v>
      </c>
      <c r="N15" s="54" t="s">
        <v>49</v>
      </c>
      <c r="O15" s="55" t="s">
        <v>52</v>
      </c>
    </row>
    <row r="16" spans="1:15" ht="12.75">
      <c r="A16" s="69" t="s">
        <v>9</v>
      </c>
      <c r="B16" s="103">
        <v>0.15</v>
      </c>
      <c r="C16" s="191">
        <v>0.77</v>
      </c>
      <c r="D16" s="191">
        <v>0.87</v>
      </c>
      <c r="E16" s="191">
        <f>(D16-C16)/C16</f>
        <v>0.12987012987012983</v>
      </c>
      <c r="F16" s="71">
        <f>G8*B16</f>
        <v>78.64459856332708</v>
      </c>
      <c r="G16" s="72">
        <f>E16*H8*F16</f>
        <v>8052389.80614637</v>
      </c>
      <c r="H16" s="73">
        <f>G16*$G$24</f>
        <v>426776.6597257576</v>
      </c>
      <c r="I16" s="104">
        <v>0.2</v>
      </c>
      <c r="J16" s="191">
        <v>0.82</v>
      </c>
      <c r="K16" s="191">
        <v>0.87</v>
      </c>
      <c r="L16" s="191">
        <f>(K16-J16)/J16</f>
        <v>0.06097560975609762</v>
      </c>
      <c r="M16" s="71">
        <f>G8*I16</f>
        <v>104.85946475110278</v>
      </c>
      <c r="N16" s="72">
        <f>L16*H8*M16</f>
        <v>5040926.951815214</v>
      </c>
      <c r="O16" s="73">
        <f>N16*$G$24</f>
        <v>267169.12844620633</v>
      </c>
    </row>
    <row r="17" spans="1:15" ht="12.75">
      <c r="A17" s="45" t="s">
        <v>11</v>
      </c>
      <c r="B17" s="44">
        <v>0.15</v>
      </c>
      <c r="C17" s="192">
        <v>0.77</v>
      </c>
      <c r="D17" s="192">
        <v>0.87</v>
      </c>
      <c r="E17" s="192">
        <f>(D17-C17)/C17</f>
        <v>0.12987012987012983</v>
      </c>
      <c r="F17" s="1">
        <f>G9*B17</f>
        <v>8.46629105175897</v>
      </c>
      <c r="G17" s="5">
        <f>E17*H9*F17</f>
        <v>154108.4875083814</v>
      </c>
      <c r="H17" s="15">
        <f>G17*$G$24</f>
        <v>8167.749837944214</v>
      </c>
      <c r="I17" s="26">
        <v>0.2</v>
      </c>
      <c r="J17" s="192">
        <v>0.82</v>
      </c>
      <c r="K17" s="192">
        <v>0.87</v>
      </c>
      <c r="L17" s="192">
        <f>(K17-J17)/J17</f>
        <v>0.06097560975609762</v>
      </c>
      <c r="M17" s="1">
        <f>G9*I17</f>
        <v>11.288388069011962</v>
      </c>
      <c r="N17" s="5">
        <f>L17*H9*M17</f>
        <v>96474.41900931209</v>
      </c>
      <c r="O17" s="15">
        <f>N17*$G$24</f>
        <v>5113.14420749354</v>
      </c>
    </row>
    <row r="18" spans="1:15" ht="12.75">
      <c r="A18" s="45" t="s">
        <v>1</v>
      </c>
      <c r="B18" s="44">
        <v>0.15</v>
      </c>
      <c r="C18" s="192">
        <v>0.77</v>
      </c>
      <c r="D18" s="192">
        <v>0.87</v>
      </c>
      <c r="E18" s="192">
        <f>(D18-C18)/C18</f>
        <v>0.12987012987012983</v>
      </c>
      <c r="F18" s="1">
        <f>G10*B18</f>
        <v>2.030221193470736</v>
      </c>
      <c r="G18" s="5">
        <f>E18*H10*F18</f>
        <v>73910.59804593721</v>
      </c>
      <c r="H18" s="15">
        <f>G18*$G$24</f>
        <v>3917.261696434672</v>
      </c>
      <c r="I18" s="26">
        <v>0.2</v>
      </c>
      <c r="J18" s="192">
        <v>0.82</v>
      </c>
      <c r="K18" s="192">
        <v>0.87</v>
      </c>
      <c r="L18" s="192">
        <f>(K18-J18)/J18</f>
        <v>0.06097560975609762</v>
      </c>
      <c r="M18" s="1">
        <f>G10*I18</f>
        <v>2.706961591294315</v>
      </c>
      <c r="N18" s="5">
        <f>L18*H10*M18</f>
        <v>46269.23617509897</v>
      </c>
      <c r="O18" s="15">
        <f>N18*$G$24</f>
        <v>2452.2695172802455</v>
      </c>
    </row>
    <row r="19" spans="1:15" ht="13.5" thickBot="1">
      <c r="A19" s="65" t="s">
        <v>15</v>
      </c>
      <c r="B19" s="105">
        <v>0.15</v>
      </c>
      <c r="C19" s="193">
        <v>0.77</v>
      </c>
      <c r="D19" s="193">
        <v>0.87</v>
      </c>
      <c r="E19" s="193">
        <f>(D19-C19)/C19</f>
        <v>0.12987012987012983</v>
      </c>
      <c r="F19" s="18">
        <f>G11*B19</f>
        <v>3.9251223509586564</v>
      </c>
      <c r="G19" s="19">
        <f>E19*H11*F19</f>
        <v>189782.21444959834</v>
      </c>
      <c r="H19" s="20">
        <f>G19*$G$24</f>
        <v>10058.457365828712</v>
      </c>
      <c r="I19" s="106">
        <v>0.2</v>
      </c>
      <c r="J19" s="193">
        <v>0.82</v>
      </c>
      <c r="K19" s="193">
        <v>0.87</v>
      </c>
      <c r="L19" s="193">
        <f>(K19-J19)/J19</f>
        <v>0.06097560975609762</v>
      </c>
      <c r="M19" s="18">
        <f>G11*I19</f>
        <v>5.233496467944875</v>
      </c>
      <c r="N19" s="19">
        <f>L19*H11*M19</f>
        <v>118806.75213511457</v>
      </c>
      <c r="O19" s="20">
        <f>N19*$G$24</f>
        <v>6296.757863161072</v>
      </c>
    </row>
    <row r="20" spans="1:15" ht="14.25" customHeight="1" thickBot="1">
      <c r="A20" s="66" t="s">
        <v>13</v>
      </c>
      <c r="B20" s="144"/>
      <c r="C20" s="145"/>
      <c r="D20" s="145"/>
      <c r="E20" s="145"/>
      <c r="F20" s="146"/>
      <c r="G20" s="67">
        <f>SUM(G16:G19)</f>
        <v>8470191.106150286</v>
      </c>
      <c r="H20" s="68">
        <f>SUM(H16:H19)</f>
        <v>448920.1286259652</v>
      </c>
      <c r="I20" s="147"/>
      <c r="J20" s="145"/>
      <c r="K20" s="145"/>
      <c r="L20" s="145"/>
      <c r="M20" s="148"/>
      <c r="N20" s="102">
        <f>SUM(N16:N19)</f>
        <v>5302477.35913474</v>
      </c>
      <c r="O20" s="68">
        <f>SUM(O16:O19)</f>
        <v>281031.30003414117</v>
      </c>
    </row>
    <row r="21" spans="1:16" ht="14.25" customHeight="1">
      <c r="A21" s="6"/>
      <c r="B21" s="7"/>
      <c r="C21" s="7"/>
      <c r="D21" s="7"/>
      <c r="E21" s="7"/>
      <c r="F21" s="14"/>
      <c r="G21" s="14"/>
      <c r="H21" s="14"/>
      <c r="I21" s="7"/>
      <c r="J21" s="7"/>
      <c r="K21" s="7"/>
      <c r="L21" s="7"/>
      <c r="M21" s="7"/>
      <c r="N21" s="7"/>
      <c r="O21" s="14"/>
      <c r="P21" s="14"/>
    </row>
    <row r="22" ht="13.5" thickBot="1"/>
    <row r="23" spans="1:9" s="25" customFormat="1" ht="42" thickBot="1">
      <c r="A23" s="214" t="s">
        <v>68</v>
      </c>
      <c r="B23" s="57" t="s">
        <v>6</v>
      </c>
      <c r="C23" s="57" t="s">
        <v>5</v>
      </c>
      <c r="D23" s="57" t="s">
        <v>4</v>
      </c>
      <c r="E23" s="57" t="s">
        <v>3</v>
      </c>
      <c r="F23" s="57" t="s">
        <v>70</v>
      </c>
      <c r="G23" s="58" t="s">
        <v>48</v>
      </c>
      <c r="H23" s="59" t="s">
        <v>23</v>
      </c>
      <c r="I23" s="38"/>
    </row>
    <row r="24" spans="1:8" ht="13.5" thickBot="1">
      <c r="A24" s="39">
        <v>50</v>
      </c>
      <c r="B24" s="80">
        <v>1500000</v>
      </c>
      <c r="C24" s="41">
        <v>0.3</v>
      </c>
      <c r="D24" s="40">
        <v>20</v>
      </c>
      <c r="E24" s="42">
        <f>C24/(1-1/(1+C24)^D24)</f>
        <v>0.30158688481804236</v>
      </c>
      <c r="F24" s="190">
        <v>7.6851</v>
      </c>
      <c r="G24" s="42">
        <f>5.3*10^(-2)</f>
        <v>0.053</v>
      </c>
      <c r="H24" s="43">
        <v>8760</v>
      </c>
    </row>
    <row r="25" spans="2:6" ht="12.75">
      <c r="B25" s="2"/>
      <c r="C25" s="4"/>
      <c r="D25" s="2"/>
      <c r="F25" s="4"/>
    </row>
    <row r="26" spans="2:6" ht="13.5" thickBot="1">
      <c r="B26" s="2"/>
      <c r="C26" s="4"/>
      <c r="D26" s="2"/>
      <c r="F26" s="4"/>
    </row>
    <row r="27" spans="1:9" ht="13.5" thickBot="1">
      <c r="A27" s="316" t="s">
        <v>2</v>
      </c>
      <c r="B27" s="318" t="s">
        <v>45</v>
      </c>
      <c r="C27" s="319"/>
      <c r="D27" s="319"/>
      <c r="E27" s="320"/>
      <c r="F27" s="318" t="s">
        <v>46</v>
      </c>
      <c r="G27" s="319"/>
      <c r="H27" s="319"/>
      <c r="I27" s="320"/>
    </row>
    <row r="28" spans="1:9" s="23" customFormat="1" ht="29.25" thickBot="1">
      <c r="A28" s="321"/>
      <c r="B28" s="53" t="s">
        <v>22</v>
      </c>
      <c r="C28" s="54" t="s">
        <v>34</v>
      </c>
      <c r="D28" s="54" t="s">
        <v>35</v>
      </c>
      <c r="E28" s="55" t="s">
        <v>47</v>
      </c>
      <c r="F28" s="54" t="s">
        <v>22</v>
      </c>
      <c r="G28" s="54" t="s">
        <v>34</v>
      </c>
      <c r="H28" s="54" t="s">
        <v>35</v>
      </c>
      <c r="I28" s="55" t="s">
        <v>47</v>
      </c>
    </row>
    <row r="29" spans="1:9" ht="12.75">
      <c r="A29" s="46" t="s">
        <v>9</v>
      </c>
      <c r="B29" s="198">
        <f>$B$24/$A$24*D8</f>
        <v>3000000</v>
      </c>
      <c r="C29" s="199">
        <f>B29*$E$24*F16</f>
        <v>71154538.4654379</v>
      </c>
      <c r="D29" s="199">
        <f>G16*$F$24</f>
        <v>61883420.899215475</v>
      </c>
      <c r="E29" s="200">
        <f>(C29-D29)/H16</f>
        <v>21.723581538362374</v>
      </c>
      <c r="F29" s="199">
        <f>$B$24/$A$24*D8</f>
        <v>3000000</v>
      </c>
      <c r="G29" s="199">
        <f>F29*$E$24*F16</f>
        <v>71154538.4654379</v>
      </c>
      <c r="H29" s="199">
        <f>N16*$F$24</f>
        <v>38740027.717395104</v>
      </c>
      <c r="I29" s="200">
        <f>(G29-H29)/O16</f>
        <v>121.32580937235554</v>
      </c>
    </row>
    <row r="30" spans="1:9" ht="12.75">
      <c r="A30" s="45" t="s">
        <v>11</v>
      </c>
      <c r="B30" s="201">
        <f>$B$24/$A$24*D9</f>
        <v>600000</v>
      </c>
      <c r="C30" s="75">
        <f>B30*$E$24*F17</f>
        <v>1531993.4065577132</v>
      </c>
      <c r="D30" s="75">
        <f>G17*$F$24</f>
        <v>1184339.137350662</v>
      </c>
      <c r="E30" s="76">
        <f>(C30-D30)/H17</f>
        <v>42.564265079714325</v>
      </c>
      <c r="F30" s="75">
        <f>$B$24/$A$24*D9</f>
        <v>600000</v>
      </c>
      <c r="G30" s="75">
        <f>F30*$E$24*F17</f>
        <v>1531993.4065577132</v>
      </c>
      <c r="H30" s="75">
        <f>N17*$F$24</f>
        <v>741415.5575284644</v>
      </c>
      <c r="I30" s="76">
        <f>(G30-H30)/O17</f>
        <v>154.61677139295657</v>
      </c>
    </row>
    <row r="31" spans="1:9" ht="12.75">
      <c r="A31" s="45" t="s">
        <v>14</v>
      </c>
      <c r="B31" s="201">
        <f>$B$24/$A$24*D10</f>
        <v>1200000</v>
      </c>
      <c r="C31" s="75">
        <f>B31*$E$24*F18</f>
        <v>734745.7022764888</v>
      </c>
      <c r="D31" s="75">
        <f>G18*$F$24</f>
        <v>568010.337042832</v>
      </c>
      <c r="E31" s="76">
        <f>(C31-D31)/H18</f>
        <v>42.5642650797143</v>
      </c>
      <c r="F31" s="75">
        <f>$B$24/$A$24*D10</f>
        <v>1200000</v>
      </c>
      <c r="G31" s="75">
        <f>F31*$E$24*F18</f>
        <v>734745.7022764888</v>
      </c>
      <c r="H31" s="75">
        <f>N18*$F$24</f>
        <v>355583.7069292531</v>
      </c>
      <c r="I31" s="76">
        <f>(G31-H31)/O18</f>
        <v>154.61677139295657</v>
      </c>
    </row>
    <row r="32" spans="1:9" ht="13.5" thickBot="1">
      <c r="A32" s="202" t="s">
        <v>15</v>
      </c>
      <c r="B32" s="203">
        <f>$B$24/$A$24*D11</f>
        <v>1500000</v>
      </c>
      <c r="C32" s="204">
        <f>B32*$E$24*F19</f>
        <v>1775648.1335329378</v>
      </c>
      <c r="D32" s="204">
        <f>G19*$F$24</f>
        <v>1458495.2962666082</v>
      </c>
      <c r="E32" s="205">
        <f>(C32-D32)/H19</f>
        <v>31.530962028410368</v>
      </c>
      <c r="F32" s="204">
        <f>$B$24/$A$24*D11</f>
        <v>1500000</v>
      </c>
      <c r="G32" s="204">
        <f>F32*$E$24*F19</f>
        <v>1775648.1335329378</v>
      </c>
      <c r="H32" s="204">
        <f>N19*$F$24</f>
        <v>913041.770833569</v>
      </c>
      <c r="I32" s="205">
        <f>(G32-H32)/O19</f>
        <v>136.99214444087372</v>
      </c>
    </row>
    <row r="33" spans="1:9" ht="13.5" thickBot="1">
      <c r="A33" s="206" t="s">
        <v>13</v>
      </c>
      <c r="B33" s="207"/>
      <c r="C33" s="208">
        <f>SUM(C29:C32)</f>
        <v>75196925.70780504</v>
      </c>
      <c r="D33" s="208">
        <f>SUM(D29:D32)</f>
        <v>65094265.66987558</v>
      </c>
      <c r="E33" s="209"/>
      <c r="F33" s="210"/>
      <c r="G33" s="208">
        <f>SUM(G29:G32)</f>
        <v>75196925.70780504</v>
      </c>
      <c r="H33" s="208">
        <f>SUM(H29:H32)</f>
        <v>40750068.75268639</v>
      </c>
      <c r="I33" s="209"/>
    </row>
    <row r="34" spans="3:7" ht="12.75">
      <c r="C34" s="7"/>
      <c r="D34" s="8"/>
      <c r="E34" s="8"/>
      <c r="F34" s="8"/>
      <c r="G34" s="8"/>
    </row>
    <row r="35" ht="15">
      <c r="A35" s="83" t="s">
        <v>29</v>
      </c>
    </row>
  </sheetData>
  <sheetProtection/>
  <mergeCells count="10">
    <mergeCell ref="G6:J6"/>
    <mergeCell ref="A6:A7"/>
    <mergeCell ref="B6:B7"/>
    <mergeCell ref="C6:F6"/>
    <mergeCell ref="I14:O14"/>
    <mergeCell ref="F27:I27"/>
    <mergeCell ref="B27:E27"/>
    <mergeCell ref="A27:A28"/>
    <mergeCell ref="A14:A15"/>
    <mergeCell ref="B14:H14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9" sqref="B9:F9"/>
    </sheetView>
  </sheetViews>
  <sheetFormatPr defaultColWidth="9.140625" defaultRowHeight="12.75"/>
  <cols>
    <col min="1" max="1" width="12.8515625" style="0" bestFit="1" customWidth="1"/>
    <col min="2" max="2" width="15.00390625" style="0" customWidth="1"/>
    <col min="3" max="3" width="13.140625" style="0" customWidth="1"/>
    <col min="4" max="4" width="15.00390625" style="0" customWidth="1"/>
    <col min="5" max="5" width="18.28125" style="0" customWidth="1"/>
    <col min="6" max="6" width="13.140625" style="0" customWidth="1"/>
    <col min="7" max="7" width="14.421875" style="0" customWidth="1"/>
    <col min="8" max="8" width="16.421875" style="0" bestFit="1" customWidth="1"/>
    <col min="9" max="9" width="17.421875" style="0" customWidth="1"/>
    <col min="10" max="10" width="13.28125" style="0" customWidth="1"/>
    <col min="11" max="11" width="15.8515625" style="0" customWidth="1"/>
    <col min="12" max="14" width="11.7109375" style="0" customWidth="1"/>
  </cols>
  <sheetData>
    <row r="1" spans="1:10" s="96" customFormat="1" ht="13.5" thickBot="1">
      <c r="A1" s="329" t="s">
        <v>2</v>
      </c>
      <c r="B1" s="318" t="s">
        <v>16</v>
      </c>
      <c r="C1" s="319"/>
      <c r="D1" s="319"/>
      <c r="E1" s="319"/>
      <c r="F1" s="320"/>
      <c r="G1" s="326" t="s">
        <v>17</v>
      </c>
      <c r="H1" s="327"/>
      <c r="I1" s="327"/>
      <c r="J1" s="328"/>
    </row>
    <row r="2" spans="1:13" s="97" customFormat="1" ht="57" thickBot="1">
      <c r="A2" s="330"/>
      <c r="B2" s="60" t="s">
        <v>69</v>
      </c>
      <c r="C2" s="58" t="s">
        <v>53</v>
      </c>
      <c r="D2" s="58" t="s">
        <v>60</v>
      </c>
      <c r="E2" s="58" t="s">
        <v>65</v>
      </c>
      <c r="F2" s="217" t="s">
        <v>62</v>
      </c>
      <c r="G2" s="56" t="s">
        <v>18</v>
      </c>
      <c r="H2" s="215" t="s">
        <v>57</v>
      </c>
      <c r="I2" s="58" t="s">
        <v>63</v>
      </c>
      <c r="J2" s="59" t="s">
        <v>7</v>
      </c>
      <c r="L2" s="64"/>
      <c r="M2" s="64"/>
    </row>
    <row r="3" spans="1:13" ht="12.75">
      <c r="A3" s="46" t="s">
        <v>9</v>
      </c>
      <c r="B3" s="90">
        <v>0.6258278145695364</v>
      </c>
      <c r="C3" s="49" t="s">
        <v>31</v>
      </c>
      <c r="D3" s="48">
        <v>100</v>
      </c>
      <c r="E3" s="49" t="s">
        <v>10</v>
      </c>
      <c r="F3" s="218">
        <v>0.9</v>
      </c>
      <c r="G3" s="221">
        <f>J3/H3</f>
        <v>524.2973237555138</v>
      </c>
      <c r="H3" s="51">
        <f>F3*$F$19*D3</f>
        <v>788400</v>
      </c>
      <c r="I3" s="51">
        <v>35006223.792814</v>
      </c>
      <c r="J3" s="52">
        <f>I3/$E$19*B3</f>
        <v>413356010.0488471</v>
      </c>
      <c r="L3" s="14"/>
      <c r="M3" s="2"/>
    </row>
    <row r="4" spans="1:13" ht="12.75">
      <c r="A4" s="45" t="s">
        <v>11</v>
      </c>
      <c r="B4" s="91">
        <v>0.2576808721506442</v>
      </c>
      <c r="C4" s="24" t="s">
        <v>32</v>
      </c>
      <c r="D4" s="28">
        <v>20</v>
      </c>
      <c r="E4" s="24" t="s">
        <v>10</v>
      </c>
      <c r="F4" s="219">
        <v>0.8</v>
      </c>
      <c r="G4" s="222">
        <f>J4/H4</f>
        <v>56.441940345059805</v>
      </c>
      <c r="H4" s="51">
        <f>F4*$F$19*D4</f>
        <v>140160</v>
      </c>
      <c r="I4" s="30">
        <v>1627120.48246</v>
      </c>
      <c r="J4" s="31">
        <f>I4/$E$19*B4</f>
        <v>7910902.358763582</v>
      </c>
      <c r="L4" s="14"/>
      <c r="M4" s="2"/>
    </row>
    <row r="5" spans="1:13" ht="12.75">
      <c r="A5" s="45" t="s">
        <v>1</v>
      </c>
      <c r="B5" s="91">
        <v>0.7625754527162978</v>
      </c>
      <c r="C5" s="24" t="s">
        <v>32</v>
      </c>
      <c r="D5" s="28">
        <v>40</v>
      </c>
      <c r="E5" s="24" t="s">
        <v>10</v>
      </c>
      <c r="F5" s="219">
        <v>0.85</v>
      </c>
      <c r="G5" s="222">
        <f>J5/H5</f>
        <v>12.738642782561481</v>
      </c>
      <c r="H5" s="51">
        <f>F5*$F$19*D5</f>
        <v>297840</v>
      </c>
      <c r="I5" s="30">
        <v>263693.382341</v>
      </c>
      <c r="J5" s="31">
        <f>I5/$E$19*B5</f>
        <v>3794077.3663581116</v>
      </c>
      <c r="L5" s="14"/>
      <c r="M5" s="2"/>
    </row>
    <row r="6" spans="1:13" ht="13.5" thickBot="1">
      <c r="A6" s="65" t="s">
        <v>15</v>
      </c>
      <c r="B6" s="92">
        <v>0.20190318576748034</v>
      </c>
      <c r="C6" s="34" t="s">
        <v>32</v>
      </c>
      <c r="D6" s="33">
        <v>50</v>
      </c>
      <c r="E6" s="34" t="s">
        <v>10</v>
      </c>
      <c r="F6" s="220">
        <v>0.9</v>
      </c>
      <c r="G6" s="223">
        <f>J6/H6</f>
        <v>24.7137333208508</v>
      </c>
      <c r="H6" s="36">
        <f>F6*$F$19*D6</f>
        <v>394200</v>
      </c>
      <c r="I6" s="36">
        <v>2557335.3031380004</v>
      </c>
      <c r="J6" s="37">
        <f>I6/$E$19*B6</f>
        <v>9742153.675079385</v>
      </c>
      <c r="L6" s="14"/>
      <c r="M6" s="2"/>
    </row>
    <row r="7" spans="5:15" ht="12.75">
      <c r="E7" s="11"/>
      <c r="F7" s="12"/>
      <c r="G7" s="2"/>
      <c r="I7" s="2"/>
      <c r="J7" s="3"/>
      <c r="K7" s="3"/>
      <c r="L7" s="3"/>
      <c r="N7" s="3"/>
      <c r="O7" s="2"/>
    </row>
    <row r="8" ht="13.5" thickBot="1"/>
    <row r="9" spans="1:11" s="98" customFormat="1" ht="12.75" customHeight="1" thickBot="1">
      <c r="A9" s="316" t="s">
        <v>2</v>
      </c>
      <c r="B9" s="323" t="s">
        <v>28</v>
      </c>
      <c r="C9" s="323"/>
      <c r="D9" s="323"/>
      <c r="E9" s="323"/>
      <c r="F9" s="324"/>
      <c r="G9" s="318" t="s">
        <v>40</v>
      </c>
      <c r="H9" s="319"/>
      <c r="I9" s="319"/>
      <c r="J9" s="319"/>
      <c r="K9" s="320"/>
    </row>
    <row r="10" spans="1:11" s="97" customFormat="1" ht="43.5" customHeight="1" thickBot="1">
      <c r="A10" s="317"/>
      <c r="B10" s="87" t="s">
        <v>51</v>
      </c>
      <c r="C10" s="88" t="s">
        <v>50</v>
      </c>
      <c r="D10" s="89" t="s">
        <v>12</v>
      </c>
      <c r="E10" s="89" t="s">
        <v>49</v>
      </c>
      <c r="F10" s="63" t="s">
        <v>52</v>
      </c>
      <c r="G10" s="62" t="s">
        <v>51</v>
      </c>
      <c r="H10" s="88" t="s">
        <v>50</v>
      </c>
      <c r="I10" s="89" t="s">
        <v>12</v>
      </c>
      <c r="J10" s="89" t="s">
        <v>49</v>
      </c>
      <c r="K10" s="63" t="s">
        <v>52</v>
      </c>
    </row>
    <row r="11" spans="1:11" ht="12.75">
      <c r="A11" s="69" t="s">
        <v>9</v>
      </c>
      <c r="B11" s="194">
        <v>0.337</v>
      </c>
      <c r="C11" s="191">
        <v>0.02</v>
      </c>
      <c r="D11" s="71">
        <f>G3*B11</f>
        <v>176.68819810560817</v>
      </c>
      <c r="E11" s="72">
        <f>C11*H3*D11</f>
        <v>2786019.5077292295</v>
      </c>
      <c r="F11" s="73">
        <f>E11*$E$19</f>
        <v>147659.03390964915</v>
      </c>
      <c r="G11" s="191">
        <f>B11*1.2</f>
        <v>0.40440000000000004</v>
      </c>
      <c r="H11" s="191">
        <f>C11/2</f>
        <v>0.01</v>
      </c>
      <c r="I11" s="71">
        <f>G3*G11</f>
        <v>212.0258377267298</v>
      </c>
      <c r="J11" s="72">
        <f>H11*H3*I11</f>
        <v>1671611.7046375377</v>
      </c>
      <c r="K11" s="73">
        <f>J11*$E$19</f>
        <v>88595.42034578949</v>
      </c>
    </row>
    <row r="12" spans="1:11" ht="12.75">
      <c r="A12" s="45" t="s">
        <v>11</v>
      </c>
      <c r="B12" s="195">
        <v>0.337</v>
      </c>
      <c r="C12" s="192">
        <v>0.02</v>
      </c>
      <c r="D12" s="1">
        <f>G4*B12</f>
        <v>19.020933896285154</v>
      </c>
      <c r="E12" s="5">
        <f>C12*H4*D12</f>
        <v>53319.48189806655</v>
      </c>
      <c r="F12" s="15">
        <f>E12*$E$19</f>
        <v>2825.9325405975273</v>
      </c>
      <c r="G12" s="192">
        <f>B12*1.2</f>
        <v>0.40440000000000004</v>
      </c>
      <c r="H12" s="192">
        <f>C12/2</f>
        <v>0.01</v>
      </c>
      <c r="I12" s="1">
        <f>G4*G12</f>
        <v>22.825120675542188</v>
      </c>
      <c r="J12" s="5">
        <f>H12*H4*I12</f>
        <v>31991.689138839934</v>
      </c>
      <c r="K12" s="15">
        <f>J12*$E$19</f>
        <v>1695.5595243585165</v>
      </c>
    </row>
    <row r="13" spans="1:11" ht="12.75">
      <c r="A13" s="45" t="s">
        <v>1</v>
      </c>
      <c r="B13" s="195">
        <v>0.337</v>
      </c>
      <c r="C13" s="192">
        <v>0.02</v>
      </c>
      <c r="D13" s="1">
        <f>G5*B13</f>
        <v>4.292922617723219</v>
      </c>
      <c r="E13" s="5">
        <f>C13*H5*D13</f>
        <v>25572.081449253674</v>
      </c>
      <c r="F13" s="15">
        <f>E13*$E$19</f>
        <v>1355.3203168104446</v>
      </c>
      <c r="G13" s="192">
        <f>B13*1.2</f>
        <v>0.40440000000000004</v>
      </c>
      <c r="H13" s="192">
        <f>C13/2</f>
        <v>0.01</v>
      </c>
      <c r="I13" s="1">
        <f>G5*G13</f>
        <v>5.151507141267864</v>
      </c>
      <c r="J13" s="5">
        <f>H13*H5*I13</f>
        <v>15343.248869552206</v>
      </c>
      <c r="K13" s="15">
        <f>J13*$E$19</f>
        <v>813.1921900862669</v>
      </c>
    </row>
    <row r="14" spans="1:11" ht="13.5" thickBot="1">
      <c r="A14" s="65" t="s">
        <v>15</v>
      </c>
      <c r="B14" s="196">
        <v>0.337</v>
      </c>
      <c r="C14" s="193">
        <v>0.02</v>
      </c>
      <c r="D14" s="18">
        <f>G6*B14</f>
        <v>8.32852812912672</v>
      </c>
      <c r="E14" s="19">
        <f>C14*H6*D14</f>
        <v>65662.11577003506</v>
      </c>
      <c r="F14" s="20">
        <f>E14*$E$19</f>
        <v>3480.092135811858</v>
      </c>
      <c r="G14" s="193">
        <f>B14*1.2</f>
        <v>0.40440000000000004</v>
      </c>
      <c r="H14" s="193">
        <f>C14/2</f>
        <v>0.01</v>
      </c>
      <c r="I14" s="18">
        <f>G6*G14</f>
        <v>9.994233754952065</v>
      </c>
      <c r="J14" s="19">
        <f>H14*H6*I14</f>
        <v>39397.26946202104</v>
      </c>
      <c r="K14" s="20">
        <f>J14*$E$19</f>
        <v>2088.055281487115</v>
      </c>
    </row>
    <row r="15" spans="1:11" ht="13.5" thickBot="1">
      <c r="A15" s="66" t="s">
        <v>13</v>
      </c>
      <c r="B15" s="144"/>
      <c r="C15" s="145"/>
      <c r="D15" s="146"/>
      <c r="E15" s="67">
        <f>SUM(E11:E14)</f>
        <v>2930573.1868465845</v>
      </c>
      <c r="F15" s="68">
        <f>SUM(F11:F14)</f>
        <v>155320.378902869</v>
      </c>
      <c r="G15" s="145"/>
      <c r="H15" s="145"/>
      <c r="I15" s="145"/>
      <c r="J15" s="67">
        <f>SUM(J11:J14)</f>
        <v>1758343.912107951</v>
      </c>
      <c r="K15" s="68">
        <f>SUM(K11:K14)</f>
        <v>93192.22734172139</v>
      </c>
    </row>
    <row r="17" ht="13.5" thickBot="1"/>
    <row r="18" spans="1:7" s="23" customFormat="1" ht="42" thickBot="1">
      <c r="A18" s="99" t="s">
        <v>5</v>
      </c>
      <c r="B18" s="57" t="s">
        <v>4</v>
      </c>
      <c r="C18" s="57" t="s">
        <v>3</v>
      </c>
      <c r="D18" s="57" t="s">
        <v>70</v>
      </c>
      <c r="E18" s="58" t="s">
        <v>41</v>
      </c>
      <c r="F18" s="59" t="s">
        <v>23</v>
      </c>
      <c r="G18" s="94"/>
    </row>
    <row r="19" spans="1:11" ht="13.5" thickBot="1">
      <c r="A19" s="95">
        <v>0.3</v>
      </c>
      <c r="B19" s="40">
        <v>20</v>
      </c>
      <c r="C19" s="42">
        <f>A19/(1-1/(1+A19)^B19)</f>
        <v>0.30158688481804236</v>
      </c>
      <c r="D19" s="190">
        <v>7.6851</v>
      </c>
      <c r="E19" s="42">
        <f>5.3*10^(-2)</f>
        <v>0.053</v>
      </c>
      <c r="F19" s="43">
        <v>8760</v>
      </c>
      <c r="G19" s="100"/>
      <c r="H19" s="96"/>
      <c r="I19" s="96"/>
      <c r="J19" s="96"/>
      <c r="K19" s="96"/>
    </row>
    <row r="20" spans="1:11" ht="12.75">
      <c r="A20" s="4"/>
      <c r="B20" s="2"/>
      <c r="D20" s="4"/>
      <c r="G20" s="100"/>
      <c r="H20" s="101"/>
      <c r="I20" s="101"/>
      <c r="J20" s="101"/>
      <c r="K20" s="101"/>
    </row>
    <row r="21" spans="1:11" ht="13.5" thickBot="1">
      <c r="A21" s="4"/>
      <c r="B21" s="2"/>
      <c r="D21" s="4"/>
      <c r="G21" s="100"/>
      <c r="H21" s="101"/>
      <c r="I21" s="101"/>
      <c r="J21" s="101"/>
      <c r="K21" s="101"/>
    </row>
    <row r="22" spans="1:9" s="97" customFormat="1" ht="13.5" thickBot="1">
      <c r="A22" s="316" t="s">
        <v>2</v>
      </c>
      <c r="B22" s="322" t="s">
        <v>28</v>
      </c>
      <c r="C22" s="323"/>
      <c r="D22" s="323"/>
      <c r="E22" s="324"/>
      <c r="F22" s="322" t="s">
        <v>40</v>
      </c>
      <c r="G22" s="323"/>
      <c r="H22" s="323"/>
      <c r="I22" s="324"/>
    </row>
    <row r="23" spans="1:9" s="97" customFormat="1" ht="29.25" thickBot="1">
      <c r="A23" s="325"/>
      <c r="B23" s="84" t="s">
        <v>22</v>
      </c>
      <c r="C23" s="85" t="s">
        <v>36</v>
      </c>
      <c r="D23" s="85" t="s">
        <v>35</v>
      </c>
      <c r="E23" s="55" t="s">
        <v>47</v>
      </c>
      <c r="F23" s="85" t="s">
        <v>39</v>
      </c>
      <c r="G23" s="85" t="s">
        <v>34</v>
      </c>
      <c r="H23" s="85" t="s">
        <v>37</v>
      </c>
      <c r="I23" s="55" t="s">
        <v>47</v>
      </c>
    </row>
    <row r="24" spans="1:9" ht="12.75">
      <c r="A24" s="10" t="s">
        <v>9</v>
      </c>
      <c r="B24" s="81">
        <f>D24/D11*1</f>
        <v>121178.6568</v>
      </c>
      <c r="C24" s="81">
        <f>B24*$C$19*D11</f>
        <v>6457228.090242091</v>
      </c>
      <c r="D24" s="81">
        <f>E11*$D$19</f>
        <v>21410838.5188499</v>
      </c>
      <c r="E24" s="82">
        <f>(C24-D24)/F11</f>
        <v>-101.27121946197855</v>
      </c>
      <c r="F24" s="160">
        <f>B24*1.5</f>
        <v>181767.9852</v>
      </c>
      <c r="G24" s="81">
        <f>F24*$C$19*D11</f>
        <v>9685842.135363134</v>
      </c>
      <c r="H24" s="81">
        <f>J11*$D$19</f>
        <v>12846503.111309942</v>
      </c>
      <c r="I24" s="82">
        <f>(G24-H24)/K11</f>
        <v>-35.67521846626713</v>
      </c>
    </row>
    <row r="25" spans="1:9" ht="12.75">
      <c r="A25" s="16" t="s">
        <v>11</v>
      </c>
      <c r="B25" s="75">
        <f>D25/D12*1</f>
        <v>21542.872320000006</v>
      </c>
      <c r="C25" s="75">
        <f>B25*$C$19*D12</f>
        <v>123579.91583123252</v>
      </c>
      <c r="D25" s="75">
        <f>E12*$D$19</f>
        <v>409765.5503348313</v>
      </c>
      <c r="E25" s="76">
        <f>(C25-D25)/F12</f>
        <v>-101.27121946197855</v>
      </c>
      <c r="F25" s="161">
        <f>B25*1.5</f>
        <v>32314.308480000007</v>
      </c>
      <c r="G25" s="75">
        <f>F25*$C$19*D12</f>
        <v>185369.87374684875</v>
      </c>
      <c r="H25" s="75">
        <f>J12*$D$19</f>
        <v>245859.33020089878</v>
      </c>
      <c r="I25" s="76">
        <f>(G25-H25)/K12</f>
        <v>-35.67521846626711</v>
      </c>
    </row>
    <row r="26" spans="1:9" ht="12.75">
      <c r="A26" s="16" t="s">
        <v>1</v>
      </c>
      <c r="B26" s="75">
        <f>D26/D13*1</f>
        <v>45778.60368</v>
      </c>
      <c r="C26" s="75">
        <f>B26*$C$19*D13</f>
        <v>59269.061900670575</v>
      </c>
      <c r="D26" s="75">
        <f>E13*$D$19</f>
        <v>196524.0031456594</v>
      </c>
      <c r="E26" s="76">
        <f>(C26-D26)/F13</f>
        <v>-101.27121946197853</v>
      </c>
      <c r="F26" s="161">
        <f>B26*1.5</f>
        <v>68667.90552</v>
      </c>
      <c r="G26" s="75">
        <f>F26*$C$19*D13</f>
        <v>88903.59285100587</v>
      </c>
      <c r="H26" s="75">
        <f>J13*$D$19</f>
        <v>117914.40188739567</v>
      </c>
      <c r="I26" s="76">
        <f>(G26-H26)/K13</f>
        <v>-35.675218466267125</v>
      </c>
    </row>
    <row r="27" spans="1:9" ht="13.5" thickBot="1">
      <c r="A27" s="17" t="s">
        <v>15</v>
      </c>
      <c r="B27" s="77">
        <f>D27/D14*1</f>
        <v>60589.3284</v>
      </c>
      <c r="C27" s="77">
        <f>B27*$C$19*D14</f>
        <v>152186.75147058815</v>
      </c>
      <c r="D27" s="77">
        <f>E14*$D$19</f>
        <v>504619.92590429645</v>
      </c>
      <c r="E27" s="78">
        <f>(C27-D27)/F14</f>
        <v>-101.27121946197855</v>
      </c>
      <c r="F27" s="162">
        <f>B27*1.5</f>
        <v>90883.9926</v>
      </c>
      <c r="G27" s="77">
        <f>F27*$C$19*D14</f>
        <v>228280.12720588216</v>
      </c>
      <c r="H27" s="77">
        <f>J14*$D$19</f>
        <v>302771.9555425779</v>
      </c>
      <c r="I27" s="78">
        <f>(G27-H27)/K14</f>
        <v>-35.67521846626713</v>
      </c>
    </row>
    <row r="28" spans="1:9" ht="13.5" thickBot="1">
      <c r="A28" s="79" t="s">
        <v>13</v>
      </c>
      <c r="B28" s="151"/>
      <c r="C28" s="80">
        <f>SUM(C24:C27)</f>
        <v>6792263.819444582</v>
      </c>
      <c r="D28" s="80">
        <f>SUM(D24:D27)</f>
        <v>22521747.99823469</v>
      </c>
      <c r="E28" s="149"/>
      <c r="F28" s="151"/>
      <c r="G28" s="80">
        <f>SUM(G24:G27)</f>
        <v>10188395.729166871</v>
      </c>
      <c r="H28" s="80">
        <f>SUM(H24:H27)</f>
        <v>13513048.798940815</v>
      </c>
      <c r="I28" s="149"/>
    </row>
    <row r="29" spans="3:7" ht="12.75">
      <c r="C29" s="7"/>
      <c r="D29" s="8"/>
      <c r="E29" s="8"/>
      <c r="F29" s="8"/>
      <c r="G29" s="8"/>
    </row>
    <row r="30" spans="1:7" ht="15">
      <c r="A30" s="83" t="s">
        <v>29</v>
      </c>
      <c r="C30" s="7"/>
      <c r="D30" s="8"/>
      <c r="E30" s="93"/>
      <c r="F30" s="8"/>
      <c r="G30" s="8"/>
    </row>
    <row r="31" spans="1:10" ht="15">
      <c r="A31" s="227" t="s">
        <v>38</v>
      </c>
      <c r="J31" s="9"/>
    </row>
  </sheetData>
  <sheetProtection/>
  <mergeCells count="9">
    <mergeCell ref="A22:A23"/>
    <mergeCell ref="B22:E22"/>
    <mergeCell ref="F22:I22"/>
    <mergeCell ref="G1:J1"/>
    <mergeCell ref="B9:F9"/>
    <mergeCell ref="G9:K9"/>
    <mergeCell ref="A9:A10"/>
    <mergeCell ref="A1:A2"/>
    <mergeCell ref="B1:F1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9" sqref="B9:F9"/>
    </sheetView>
  </sheetViews>
  <sheetFormatPr defaultColWidth="9.140625" defaultRowHeight="12.75"/>
  <cols>
    <col min="1" max="1" width="12.8515625" style="0" customWidth="1"/>
    <col min="2" max="2" width="15.140625" style="0" customWidth="1"/>
    <col min="3" max="3" width="16.00390625" style="0" customWidth="1"/>
    <col min="4" max="4" width="17.28125" style="0" customWidth="1"/>
    <col min="5" max="5" width="20.7109375" style="0" customWidth="1"/>
    <col min="6" max="6" width="15.00390625" style="0" bestFit="1" customWidth="1"/>
    <col min="7" max="7" width="15.8515625" style="0" customWidth="1"/>
    <col min="8" max="8" width="17.7109375" style="0" customWidth="1"/>
    <col min="9" max="9" width="15.28125" style="0" customWidth="1"/>
    <col min="10" max="10" width="19.28125" style="0" customWidth="1"/>
    <col min="11" max="11" width="17.140625" style="0" bestFit="1" customWidth="1"/>
    <col min="12" max="14" width="11.7109375" style="0" customWidth="1"/>
  </cols>
  <sheetData>
    <row r="1" spans="1:10" ht="13.5" thickBot="1">
      <c r="A1" s="329" t="s">
        <v>2</v>
      </c>
      <c r="B1" s="326" t="s">
        <v>16</v>
      </c>
      <c r="C1" s="327"/>
      <c r="D1" s="327"/>
      <c r="E1" s="327"/>
      <c r="F1" s="331"/>
      <c r="G1" s="326" t="s">
        <v>17</v>
      </c>
      <c r="H1" s="327"/>
      <c r="I1" s="327"/>
      <c r="J1" s="328"/>
    </row>
    <row r="2" spans="1:13" ht="57" thickBot="1">
      <c r="A2" s="330"/>
      <c r="B2" s="60" t="s">
        <v>71</v>
      </c>
      <c r="C2" s="58" t="s">
        <v>53</v>
      </c>
      <c r="D2" s="58" t="s">
        <v>60</v>
      </c>
      <c r="E2" s="58" t="s">
        <v>61</v>
      </c>
      <c r="F2" s="217" t="s">
        <v>62</v>
      </c>
      <c r="G2" s="56" t="s">
        <v>18</v>
      </c>
      <c r="H2" s="58" t="s">
        <v>57</v>
      </c>
      <c r="I2" s="58" t="s">
        <v>63</v>
      </c>
      <c r="J2" s="59" t="s">
        <v>7</v>
      </c>
      <c r="L2" s="7"/>
      <c r="M2" s="6"/>
    </row>
    <row r="3" spans="1:13" ht="12.75">
      <c r="A3" s="46" t="s">
        <v>9</v>
      </c>
      <c r="B3" s="90">
        <v>0.6258278145695364</v>
      </c>
      <c r="C3" s="49" t="s">
        <v>31</v>
      </c>
      <c r="D3" s="48">
        <v>100</v>
      </c>
      <c r="E3" s="49" t="s">
        <v>10</v>
      </c>
      <c r="F3" s="218">
        <v>0.9</v>
      </c>
      <c r="G3" s="221">
        <f>J3/H3</f>
        <v>524.2973237555138</v>
      </c>
      <c r="H3" s="51">
        <f>F3*$F$19*D3</f>
        <v>788400</v>
      </c>
      <c r="I3" s="51">
        <v>35006223.792814</v>
      </c>
      <c r="J3" s="52">
        <f>I3/$E$19*B3</f>
        <v>413356010.0488471</v>
      </c>
      <c r="L3" s="14"/>
      <c r="M3" s="22"/>
    </row>
    <row r="4" spans="1:13" ht="12.75">
      <c r="A4" s="45" t="s">
        <v>11</v>
      </c>
      <c r="B4" s="91">
        <v>0.2576808721506442</v>
      </c>
      <c r="C4" s="24" t="s">
        <v>32</v>
      </c>
      <c r="D4" s="28">
        <v>20</v>
      </c>
      <c r="E4" s="24" t="s">
        <v>10</v>
      </c>
      <c r="F4" s="219">
        <v>0.8</v>
      </c>
      <c r="G4" s="222">
        <f>J4/H4</f>
        <v>56.441940345059805</v>
      </c>
      <c r="H4" s="51">
        <f>F4*$F$19*D4</f>
        <v>140160</v>
      </c>
      <c r="I4" s="30">
        <v>1627120.48246</v>
      </c>
      <c r="J4" s="31">
        <f>I4/$E$19*B4</f>
        <v>7910902.358763582</v>
      </c>
      <c r="L4" s="14"/>
      <c r="M4" s="22"/>
    </row>
    <row r="5" spans="1:13" ht="12.75">
      <c r="A5" s="45" t="s">
        <v>1</v>
      </c>
      <c r="B5" s="91">
        <v>0.7625754527162978</v>
      </c>
      <c r="C5" s="24" t="s">
        <v>32</v>
      </c>
      <c r="D5" s="28">
        <v>40</v>
      </c>
      <c r="E5" s="24" t="s">
        <v>10</v>
      </c>
      <c r="F5" s="219">
        <v>0.85</v>
      </c>
      <c r="G5" s="222">
        <f>J5/H5</f>
        <v>12.738642782561481</v>
      </c>
      <c r="H5" s="51">
        <f>F5*$F$19*D5</f>
        <v>297840</v>
      </c>
      <c r="I5" s="30">
        <v>263693.382341</v>
      </c>
      <c r="J5" s="31">
        <f>I5/$E$19*B5</f>
        <v>3794077.3663581116</v>
      </c>
      <c r="L5" s="14"/>
      <c r="M5" s="22"/>
    </row>
    <row r="6" spans="1:13" ht="13.5" thickBot="1">
      <c r="A6" s="65" t="s">
        <v>15</v>
      </c>
      <c r="B6" s="92">
        <v>0.20190318576748034</v>
      </c>
      <c r="C6" s="34" t="s">
        <v>32</v>
      </c>
      <c r="D6" s="33">
        <v>50</v>
      </c>
      <c r="E6" s="34" t="s">
        <v>10</v>
      </c>
      <c r="F6" s="220">
        <v>0.9</v>
      </c>
      <c r="G6" s="223">
        <f>J6/H6</f>
        <v>24.7137333208508</v>
      </c>
      <c r="H6" s="36">
        <f>F6*$F$19*D6</f>
        <v>394200</v>
      </c>
      <c r="I6" s="36">
        <v>2557335.3031380004</v>
      </c>
      <c r="J6" s="37">
        <f>I6/$E$19*B6</f>
        <v>9742153.675079385</v>
      </c>
      <c r="L6" s="14"/>
      <c r="M6" s="22"/>
    </row>
    <row r="7" spans="5:15" ht="12.75">
      <c r="E7" s="11"/>
      <c r="F7" s="12"/>
      <c r="G7" s="2"/>
      <c r="I7" s="2"/>
      <c r="J7" s="3"/>
      <c r="K7" s="3"/>
      <c r="L7" s="3"/>
      <c r="M7" s="7"/>
      <c r="N7" s="14"/>
      <c r="O7" s="2"/>
    </row>
    <row r="8" spans="13:14" ht="13.5" thickBot="1">
      <c r="M8" s="7"/>
      <c r="N8" s="7"/>
    </row>
    <row r="9" spans="1:11" ht="13.5" customHeight="1" thickBot="1">
      <c r="A9" s="316" t="s">
        <v>2</v>
      </c>
      <c r="B9" s="323" t="s">
        <v>24</v>
      </c>
      <c r="C9" s="323"/>
      <c r="D9" s="323"/>
      <c r="E9" s="323"/>
      <c r="F9" s="324"/>
      <c r="G9" s="323" t="s">
        <v>25</v>
      </c>
      <c r="H9" s="323"/>
      <c r="I9" s="323"/>
      <c r="J9" s="323"/>
      <c r="K9" s="324"/>
    </row>
    <row r="10" spans="1:11" ht="41.25" thickBot="1">
      <c r="A10" s="317"/>
      <c r="B10" s="87" t="s">
        <v>51</v>
      </c>
      <c r="C10" s="88" t="s">
        <v>50</v>
      </c>
      <c r="D10" s="89" t="s">
        <v>12</v>
      </c>
      <c r="E10" s="89" t="s">
        <v>49</v>
      </c>
      <c r="F10" s="63" t="s">
        <v>52</v>
      </c>
      <c r="G10" s="62" t="s">
        <v>51</v>
      </c>
      <c r="H10" s="88" t="s">
        <v>59</v>
      </c>
      <c r="I10" s="89" t="s">
        <v>12</v>
      </c>
      <c r="J10" s="89" t="s">
        <v>64</v>
      </c>
      <c r="K10" s="63" t="s">
        <v>52</v>
      </c>
    </row>
    <row r="11" spans="1:11" ht="12.75">
      <c r="A11" s="69" t="s">
        <v>9</v>
      </c>
      <c r="B11" s="194">
        <v>0.15</v>
      </c>
      <c r="C11" s="70">
        <v>0.02</v>
      </c>
      <c r="D11" s="71">
        <f>G3*B11</f>
        <v>78.64459856332708</v>
      </c>
      <c r="E11" s="72">
        <f>C11*H3*D11</f>
        <v>1240068.0301465413</v>
      </c>
      <c r="F11" s="73">
        <f>E11*$E$19</f>
        <v>65723.60559776668</v>
      </c>
      <c r="G11" s="191">
        <v>0.18</v>
      </c>
      <c r="H11" s="70">
        <f>C11/2</f>
        <v>0.01</v>
      </c>
      <c r="I11" s="71">
        <f>G3*G11</f>
        <v>94.3735182759925</v>
      </c>
      <c r="J11" s="72">
        <f>H11*H3*I11</f>
        <v>744040.8180879249</v>
      </c>
      <c r="K11" s="73">
        <f>J11*$E$19</f>
        <v>39434.163358660015</v>
      </c>
    </row>
    <row r="12" spans="1:11" ht="12.75">
      <c r="A12" s="45" t="s">
        <v>11</v>
      </c>
      <c r="B12" s="195">
        <v>0.15</v>
      </c>
      <c r="C12" s="13">
        <v>0.035</v>
      </c>
      <c r="D12" s="1">
        <f>G4*B12</f>
        <v>8.46629105175897</v>
      </c>
      <c r="E12" s="5">
        <f>C12*H4*D12</f>
        <v>41532.23738350881</v>
      </c>
      <c r="F12" s="15">
        <f>E12*$E$19</f>
        <v>2201.208581325967</v>
      </c>
      <c r="G12" s="192">
        <v>0.18</v>
      </c>
      <c r="H12" s="13">
        <f>C12/2</f>
        <v>0.0175</v>
      </c>
      <c r="I12" s="1">
        <f>G4*G12</f>
        <v>10.159549262110765</v>
      </c>
      <c r="J12" s="5">
        <f>H12*H4*I12</f>
        <v>24919.342430105287</v>
      </c>
      <c r="K12" s="15">
        <f>J12*$E$19</f>
        <v>1320.7251487955803</v>
      </c>
    </row>
    <row r="13" spans="1:11" ht="12.75">
      <c r="A13" s="45" t="s">
        <v>1</v>
      </c>
      <c r="B13" s="195">
        <v>0.15</v>
      </c>
      <c r="C13" s="13">
        <v>0.035</v>
      </c>
      <c r="D13" s="1">
        <f>G5*B13</f>
        <v>1.910796417384222</v>
      </c>
      <c r="E13" s="5">
        <f>C13*H5*D13</f>
        <v>19918.906173380088</v>
      </c>
      <c r="F13" s="15">
        <f>E13*$E$19</f>
        <v>1055.7020271891447</v>
      </c>
      <c r="G13" s="192">
        <v>0.18</v>
      </c>
      <c r="H13" s="13">
        <f>C13/2</f>
        <v>0.0175</v>
      </c>
      <c r="I13" s="1">
        <f>G5*G13</f>
        <v>2.2929557008610666</v>
      </c>
      <c r="J13" s="5">
        <f>H13*H5*I13</f>
        <v>11951.343704028053</v>
      </c>
      <c r="K13" s="15">
        <f>J13*$E$19</f>
        <v>633.4212163134868</v>
      </c>
    </row>
    <row r="14" spans="1:11" ht="13.5" thickBot="1">
      <c r="A14" s="65" t="s">
        <v>15</v>
      </c>
      <c r="B14" s="196">
        <v>0.15</v>
      </c>
      <c r="C14" s="74">
        <v>0.02</v>
      </c>
      <c r="D14" s="18">
        <f>G6*B14</f>
        <v>3.7070599981276198</v>
      </c>
      <c r="E14" s="19">
        <f>C14*H6*D14</f>
        <v>29226.461025238154</v>
      </c>
      <c r="F14" s="20">
        <f>E14*$E$19</f>
        <v>1549.0024343376222</v>
      </c>
      <c r="G14" s="193">
        <v>0.18</v>
      </c>
      <c r="H14" s="74">
        <f>C14/2</f>
        <v>0.01</v>
      </c>
      <c r="I14" s="18">
        <f>G6*G14</f>
        <v>4.448471997753144</v>
      </c>
      <c r="J14" s="19">
        <f>H14*H6*I14</f>
        <v>17535.876615142894</v>
      </c>
      <c r="K14" s="20">
        <f>J14*$E$19</f>
        <v>929.4014606025734</v>
      </c>
    </row>
    <row r="15" spans="1:11" ht="13.5" thickBot="1">
      <c r="A15" s="66" t="s">
        <v>13</v>
      </c>
      <c r="B15" s="144"/>
      <c r="C15" s="145"/>
      <c r="D15" s="146"/>
      <c r="E15" s="67">
        <f>SUM(E11:E14)</f>
        <v>1330745.6347286683</v>
      </c>
      <c r="F15" s="68">
        <f>SUM(F11:F14)</f>
        <v>70529.51864061941</v>
      </c>
      <c r="G15" s="145"/>
      <c r="H15" s="145"/>
      <c r="I15" s="145"/>
      <c r="J15" s="67">
        <f>SUM(J11:J14)</f>
        <v>798447.3808372011</v>
      </c>
      <c r="K15" s="68">
        <f>SUM(K11:K14)</f>
        <v>42317.711184371656</v>
      </c>
    </row>
    <row r="17" ht="13.5" thickBot="1"/>
    <row r="18" spans="1:11" ht="42" thickBot="1">
      <c r="A18" s="99" t="s">
        <v>5</v>
      </c>
      <c r="B18" s="57" t="s">
        <v>4</v>
      </c>
      <c r="C18" s="57" t="s">
        <v>3</v>
      </c>
      <c r="D18" s="57" t="s">
        <v>70</v>
      </c>
      <c r="E18" s="58" t="s">
        <v>48</v>
      </c>
      <c r="F18" s="59" t="s">
        <v>23</v>
      </c>
      <c r="G18" s="94"/>
      <c r="H18" s="23"/>
      <c r="I18" s="23"/>
      <c r="J18" s="23"/>
      <c r="K18" s="23"/>
    </row>
    <row r="19" spans="1:11" ht="13.5" thickBot="1">
      <c r="A19" s="95">
        <v>0.3</v>
      </c>
      <c r="B19" s="40">
        <v>20</v>
      </c>
      <c r="C19" s="42">
        <f>A19/(1-1/(1+A19)^B19)</f>
        <v>0.30158688481804236</v>
      </c>
      <c r="D19" s="190">
        <v>7.6851</v>
      </c>
      <c r="E19" s="42">
        <f>5.3*10^(-2)</f>
        <v>0.053</v>
      </c>
      <c r="F19" s="43">
        <v>8760</v>
      </c>
      <c r="G19" s="100"/>
      <c r="H19" s="96"/>
      <c r="I19" s="96"/>
      <c r="J19" s="96"/>
      <c r="K19" s="96"/>
    </row>
    <row r="20" spans="1:11" ht="12.75">
      <c r="A20" s="4"/>
      <c r="B20" s="2"/>
      <c r="D20" s="4"/>
      <c r="G20" s="100"/>
      <c r="H20" s="101"/>
      <c r="I20" s="101"/>
      <c r="J20" s="101"/>
      <c r="K20" s="101"/>
    </row>
    <row r="21" spans="1:11" ht="13.5" thickBot="1">
      <c r="A21" s="4"/>
      <c r="B21" s="2"/>
      <c r="D21" s="4"/>
      <c r="G21" s="100"/>
      <c r="H21" s="101"/>
      <c r="I21" s="101"/>
      <c r="J21" s="101"/>
      <c r="K21" s="101"/>
    </row>
    <row r="22" spans="1:11" ht="13.5" thickBot="1">
      <c r="A22" s="316" t="s">
        <v>2</v>
      </c>
      <c r="B22" s="322" t="s">
        <v>24</v>
      </c>
      <c r="C22" s="323"/>
      <c r="D22" s="323"/>
      <c r="E22" s="324"/>
      <c r="F22" s="322" t="s">
        <v>25</v>
      </c>
      <c r="G22" s="323"/>
      <c r="H22" s="323"/>
      <c r="I22" s="324"/>
      <c r="J22" s="97"/>
      <c r="K22" s="97"/>
    </row>
    <row r="23" spans="1:11" ht="29.25" thickBot="1">
      <c r="A23" s="325"/>
      <c r="B23" s="84" t="s">
        <v>22</v>
      </c>
      <c r="C23" s="85" t="s">
        <v>34</v>
      </c>
      <c r="D23" s="85" t="s">
        <v>35</v>
      </c>
      <c r="E23" s="55" t="s">
        <v>47</v>
      </c>
      <c r="F23" s="85" t="s">
        <v>22</v>
      </c>
      <c r="G23" s="85" t="s">
        <v>36</v>
      </c>
      <c r="H23" s="85" t="s">
        <v>35</v>
      </c>
      <c r="I23" s="55" t="s">
        <v>47</v>
      </c>
      <c r="J23" s="97"/>
      <c r="K23" s="97"/>
    </row>
    <row r="24" spans="1:9" ht="12.75">
      <c r="A24" s="154" t="s">
        <v>9</v>
      </c>
      <c r="B24" s="160">
        <f>D24/D11*3.5</f>
        <v>424125.29879999993</v>
      </c>
      <c r="C24" s="81">
        <f>B24*$C$19*D11</f>
        <v>10059479.962543314</v>
      </c>
      <c r="D24" s="81">
        <f>E11*$D$19</f>
        <v>9530046.818479184</v>
      </c>
      <c r="E24" s="82">
        <f>(C24-D24)/F11</f>
        <v>8.055448864207179</v>
      </c>
      <c r="F24" s="228">
        <f>B24</f>
        <v>424125.29879999993</v>
      </c>
      <c r="G24" s="81">
        <f>F24*$C$19*D11</f>
        <v>10059479.962543314</v>
      </c>
      <c r="H24" s="81">
        <f>J11*$D$19</f>
        <v>5718028.091087512</v>
      </c>
      <c r="I24" s="82">
        <f>(G24-H24)/K11</f>
        <v>110.09367263531381</v>
      </c>
    </row>
    <row r="25" spans="1:9" ht="12.75">
      <c r="A25" s="155" t="s">
        <v>11</v>
      </c>
      <c r="B25" s="161">
        <f>D25/D12*3.5</f>
        <v>131950.09295999998</v>
      </c>
      <c r="C25" s="75">
        <f>B25*$C$19*D12</f>
        <v>336911.1206823288</v>
      </c>
      <c r="D25" s="75">
        <f>E12*$D$19</f>
        <v>319179.3975160035</v>
      </c>
      <c r="E25" s="76">
        <f>(C25-D25)/F12</f>
        <v>8.055448864207156</v>
      </c>
      <c r="F25" s="201">
        <f>B25</f>
        <v>131950.09295999998</v>
      </c>
      <c r="G25" s="75">
        <f>F25*$C$19*D12</f>
        <v>336911.1206823288</v>
      </c>
      <c r="H25" s="75">
        <f>J12*$D$19</f>
        <v>191507.63850960214</v>
      </c>
      <c r="I25" s="76">
        <f>(G25-H25)/K12</f>
        <v>110.09367263531377</v>
      </c>
    </row>
    <row r="26" spans="1:9" ht="12.75">
      <c r="A26" s="155" t="s">
        <v>1</v>
      </c>
      <c r="B26" s="161">
        <f>D26/D13*3.5</f>
        <v>280393.9475400001</v>
      </c>
      <c r="C26" s="75">
        <f>B26*$C$19*D13</f>
        <v>161582.93952890535</v>
      </c>
      <c r="D26" s="75">
        <f>E13*$D$19</f>
        <v>153078.7858330433</v>
      </c>
      <c r="E26" s="76">
        <f>(C26-D26)/F13</f>
        <v>8.055448864207207</v>
      </c>
      <c r="F26" s="201">
        <f>B26</f>
        <v>280393.9475400001</v>
      </c>
      <c r="G26" s="75">
        <f>F26*$C$19*D13</f>
        <v>161582.93952890535</v>
      </c>
      <c r="H26" s="75">
        <f>J13*$D$19</f>
        <v>91847.27149982599</v>
      </c>
      <c r="I26" s="76">
        <f>(G26-H26)/K13</f>
        <v>110.0936726353139</v>
      </c>
    </row>
    <row r="27" spans="1:9" ht="13.5" thickBot="1">
      <c r="A27" s="156" t="s">
        <v>15</v>
      </c>
      <c r="B27" s="162">
        <f>D27/D14*3.5</f>
        <v>212062.64940000002</v>
      </c>
      <c r="C27" s="77">
        <f>B27*$C$19*D14</f>
        <v>237086.18552539693</v>
      </c>
      <c r="D27" s="77">
        <f>E14*$D$19</f>
        <v>224608.27562505775</v>
      </c>
      <c r="E27" s="78">
        <f>(C27-D27)/F14</f>
        <v>8.055448864207193</v>
      </c>
      <c r="F27" s="203">
        <f>B27</f>
        <v>212062.64940000002</v>
      </c>
      <c r="G27" s="204">
        <f>F27*$C$19*D14</f>
        <v>237086.18552539693</v>
      </c>
      <c r="H27" s="204">
        <f>J14*$D$19</f>
        <v>134764.96537503466</v>
      </c>
      <c r="I27" s="205">
        <f>(G27-H27)/K14</f>
        <v>110.09367263531387</v>
      </c>
    </row>
    <row r="28" spans="1:9" ht="13.5" thickBot="1">
      <c r="A28" s="153" t="s">
        <v>13</v>
      </c>
      <c r="B28" s="151"/>
      <c r="C28" s="80">
        <f>SUM(C24:C27)</f>
        <v>10795060.208279945</v>
      </c>
      <c r="D28" s="80">
        <f>SUM(D24:D27)</f>
        <v>10226913.277453288</v>
      </c>
      <c r="E28" s="149"/>
      <c r="F28" s="229"/>
      <c r="G28" s="208">
        <f>SUM(G24:G27)</f>
        <v>10795060.208279945</v>
      </c>
      <c r="H28" s="208">
        <f>SUM(H24:H27)</f>
        <v>6136147.966471975</v>
      </c>
      <c r="I28" s="209"/>
    </row>
    <row r="29" spans="1:5" ht="12.75">
      <c r="A29" s="7"/>
      <c r="B29" s="8"/>
      <c r="C29" s="8"/>
      <c r="D29" s="8"/>
      <c r="E29" s="8"/>
    </row>
    <row r="30" spans="1:5" ht="15">
      <c r="A30" s="83" t="s">
        <v>29</v>
      </c>
      <c r="B30" s="8"/>
      <c r="C30" s="8"/>
      <c r="D30" s="8"/>
      <c r="E30" s="8"/>
    </row>
    <row r="31" spans="1:5" ht="12.75">
      <c r="A31" s="7"/>
      <c r="B31" s="7"/>
      <c r="C31" s="7"/>
      <c r="D31" s="7"/>
      <c r="E31" s="7"/>
    </row>
    <row r="32" ht="12.75">
      <c r="C32" s="9"/>
    </row>
  </sheetData>
  <sheetProtection/>
  <mergeCells count="9">
    <mergeCell ref="A22:A23"/>
    <mergeCell ref="B22:E22"/>
    <mergeCell ref="F22:I22"/>
    <mergeCell ref="G1:J1"/>
    <mergeCell ref="A1:A2"/>
    <mergeCell ref="A9:A10"/>
    <mergeCell ref="B9:F9"/>
    <mergeCell ref="G9:K9"/>
    <mergeCell ref="B1:F1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B9" sqref="B9:F9"/>
    </sheetView>
  </sheetViews>
  <sheetFormatPr defaultColWidth="9.140625" defaultRowHeight="12.75"/>
  <cols>
    <col min="1" max="1" width="12.8515625" style="0" customWidth="1"/>
    <col min="2" max="2" width="13.28125" style="0" customWidth="1"/>
    <col min="3" max="3" width="17.421875" style="0" customWidth="1"/>
    <col min="4" max="4" width="16.421875" style="0" customWidth="1"/>
    <col min="5" max="5" width="22.28125" style="0" customWidth="1"/>
    <col min="6" max="6" width="13.7109375" style="0" customWidth="1"/>
    <col min="7" max="7" width="20.421875" style="0" customWidth="1"/>
    <col min="8" max="8" width="14.7109375" style="0" customWidth="1"/>
    <col min="9" max="9" width="13.421875" style="0" customWidth="1"/>
    <col min="10" max="13" width="11.7109375" style="0" customWidth="1"/>
  </cols>
  <sheetData>
    <row r="1" spans="1:10" ht="13.5" thickBot="1">
      <c r="A1" s="329" t="s">
        <v>2</v>
      </c>
      <c r="B1" s="318" t="s">
        <v>16</v>
      </c>
      <c r="C1" s="319"/>
      <c r="D1" s="319"/>
      <c r="E1" s="319"/>
      <c r="F1" s="320"/>
      <c r="G1" s="326" t="s">
        <v>17</v>
      </c>
      <c r="H1" s="327"/>
      <c r="I1" s="327"/>
      <c r="J1" s="328"/>
    </row>
    <row r="2" spans="1:13" ht="57" thickBot="1">
      <c r="A2" s="332"/>
      <c r="B2" s="60" t="s">
        <v>72</v>
      </c>
      <c r="C2" s="58" t="s">
        <v>53</v>
      </c>
      <c r="D2" s="58" t="s">
        <v>55</v>
      </c>
      <c r="E2" s="58" t="s">
        <v>54</v>
      </c>
      <c r="F2" s="58" t="s">
        <v>56</v>
      </c>
      <c r="G2" s="56" t="s">
        <v>18</v>
      </c>
      <c r="H2" s="215" t="s">
        <v>57</v>
      </c>
      <c r="I2" s="58" t="s">
        <v>33</v>
      </c>
      <c r="J2" s="59" t="s">
        <v>7</v>
      </c>
      <c r="L2" s="7"/>
      <c r="M2" s="6"/>
    </row>
    <row r="3" spans="1:13" ht="12.75">
      <c r="A3" s="45" t="s">
        <v>9</v>
      </c>
      <c r="B3" s="90">
        <v>0.625827814569536</v>
      </c>
      <c r="C3" s="49" t="s">
        <v>31</v>
      </c>
      <c r="D3" s="48">
        <v>100</v>
      </c>
      <c r="E3" s="49" t="s">
        <v>10</v>
      </c>
      <c r="F3" s="49">
        <v>0.9</v>
      </c>
      <c r="G3" s="50">
        <f>J3/H3</f>
        <v>524.2973237555134</v>
      </c>
      <c r="H3" s="51">
        <f>F3*8760*D3</f>
        <v>788400</v>
      </c>
      <c r="I3" s="51">
        <v>35006223.792814</v>
      </c>
      <c r="J3" s="52">
        <f>I3/$E$19*B3</f>
        <v>413356010.0488468</v>
      </c>
      <c r="L3" s="14"/>
      <c r="M3" s="22"/>
    </row>
    <row r="4" spans="1:13" ht="12.75">
      <c r="A4" s="45" t="s">
        <v>11</v>
      </c>
      <c r="B4" s="91">
        <v>0.2576808721506442</v>
      </c>
      <c r="C4" s="24" t="s">
        <v>32</v>
      </c>
      <c r="D4" s="28">
        <v>20</v>
      </c>
      <c r="E4" s="24" t="s">
        <v>10</v>
      </c>
      <c r="F4" s="24">
        <v>0.8</v>
      </c>
      <c r="G4" s="29">
        <f>J4/H4</f>
        <v>56.441940345059805</v>
      </c>
      <c r="H4" s="30">
        <f>F4*8760*D4</f>
        <v>140160</v>
      </c>
      <c r="I4" s="30">
        <v>1627120.48246</v>
      </c>
      <c r="J4" s="31">
        <f>I4/$E$19*B4</f>
        <v>7910902.358763582</v>
      </c>
      <c r="L4" s="14"/>
      <c r="M4" s="22"/>
    </row>
    <row r="5" spans="1:13" ht="12.75">
      <c r="A5" s="45" t="s">
        <v>1</v>
      </c>
      <c r="B5" s="91">
        <v>0.7625754527162978</v>
      </c>
      <c r="C5" s="24" t="s">
        <v>32</v>
      </c>
      <c r="D5" s="28">
        <v>40</v>
      </c>
      <c r="E5" s="24" t="s">
        <v>10</v>
      </c>
      <c r="F5" s="24">
        <v>0.85</v>
      </c>
      <c r="G5" s="29">
        <f>J5/H5</f>
        <v>12.738642782561481</v>
      </c>
      <c r="H5" s="30">
        <f>F5*8760*D5</f>
        <v>297840</v>
      </c>
      <c r="I5" s="30">
        <v>263693.382341</v>
      </c>
      <c r="J5" s="31">
        <f>I5/$E$19*B5</f>
        <v>3794077.3663581116</v>
      </c>
      <c r="L5" s="14"/>
      <c r="M5" s="22"/>
    </row>
    <row r="6" spans="1:13" ht="13.5" thickBot="1">
      <c r="A6" s="65" t="s">
        <v>15</v>
      </c>
      <c r="B6" s="92">
        <v>0.20190318576748034</v>
      </c>
      <c r="C6" s="34" t="s">
        <v>32</v>
      </c>
      <c r="D6" s="33">
        <v>50</v>
      </c>
      <c r="E6" s="34" t="s">
        <v>10</v>
      </c>
      <c r="F6" s="34">
        <v>0.9</v>
      </c>
      <c r="G6" s="35">
        <f>J6/H6</f>
        <v>24.7137333208508</v>
      </c>
      <c r="H6" s="36">
        <f>F6*8760*D6</f>
        <v>394200</v>
      </c>
      <c r="I6" s="36">
        <v>2557335.3031380004</v>
      </c>
      <c r="J6" s="37">
        <f>I6/$E$19*B6</f>
        <v>9742153.675079385</v>
      </c>
      <c r="L6" s="14"/>
      <c r="M6" s="22"/>
    </row>
    <row r="7" spans="5:14" ht="12.75">
      <c r="E7" s="11"/>
      <c r="F7" s="12"/>
      <c r="G7" s="2"/>
      <c r="I7" s="2"/>
      <c r="J7" s="3"/>
      <c r="K7" s="3"/>
      <c r="M7" s="14"/>
      <c r="N7" s="22"/>
    </row>
    <row r="8" spans="13:14" ht="13.5" thickBot="1">
      <c r="M8" s="7"/>
      <c r="N8" s="7"/>
    </row>
    <row r="9" spans="1:11" ht="13.5" customHeight="1" thickBot="1">
      <c r="A9" s="316" t="s">
        <v>2</v>
      </c>
      <c r="B9" s="323" t="s">
        <v>27</v>
      </c>
      <c r="C9" s="323"/>
      <c r="D9" s="323"/>
      <c r="E9" s="323"/>
      <c r="F9" s="324"/>
      <c r="G9" s="323" t="s">
        <v>26</v>
      </c>
      <c r="H9" s="323"/>
      <c r="I9" s="323"/>
      <c r="J9" s="323"/>
      <c r="K9" s="324"/>
    </row>
    <row r="10" spans="1:11" ht="42" thickBot="1">
      <c r="A10" s="317"/>
      <c r="B10" s="87" t="s">
        <v>58</v>
      </c>
      <c r="C10" s="88" t="s">
        <v>59</v>
      </c>
      <c r="D10" s="89" t="s">
        <v>12</v>
      </c>
      <c r="E10" s="89" t="s">
        <v>49</v>
      </c>
      <c r="F10" s="63" t="s">
        <v>52</v>
      </c>
      <c r="G10" s="62" t="s">
        <v>51</v>
      </c>
      <c r="H10" s="88" t="s">
        <v>59</v>
      </c>
      <c r="I10" s="89" t="s">
        <v>12</v>
      </c>
      <c r="J10" s="89" t="s">
        <v>49</v>
      </c>
      <c r="K10" s="63" t="s">
        <v>52</v>
      </c>
    </row>
    <row r="11" spans="1:11" ht="12.75">
      <c r="A11" s="69" t="s">
        <v>9</v>
      </c>
      <c r="B11" s="211">
        <v>0.04</v>
      </c>
      <c r="C11" s="70">
        <v>0.01</v>
      </c>
      <c r="D11" s="71">
        <f>G3*B11</f>
        <v>20.971892950220536</v>
      </c>
      <c r="E11" s="72">
        <f>C11*H3*D11</f>
        <v>165342.4040195387</v>
      </c>
      <c r="F11" s="73">
        <f>E11*$E$19</f>
        <v>8763.147413035551</v>
      </c>
      <c r="G11" s="70">
        <f>B11*1.2</f>
        <v>0.048</v>
      </c>
      <c r="H11" s="70">
        <f>C11/2</f>
        <v>0.005</v>
      </c>
      <c r="I11" s="71">
        <f>G3*G11</f>
        <v>25.166271540264642</v>
      </c>
      <c r="J11" s="72">
        <f>H11*H3*I11</f>
        <v>99205.44241172321</v>
      </c>
      <c r="K11" s="73">
        <f>J11*$E$19</f>
        <v>5257.88844782133</v>
      </c>
    </row>
    <row r="12" spans="1:11" ht="12.75">
      <c r="A12" s="45" t="s">
        <v>11</v>
      </c>
      <c r="B12" s="212">
        <v>0.04</v>
      </c>
      <c r="C12" s="13">
        <v>0.01</v>
      </c>
      <c r="D12" s="1">
        <f>G4*B12</f>
        <v>2.257677613802392</v>
      </c>
      <c r="E12" s="5">
        <f>C12*H4*D12</f>
        <v>3164.360943505433</v>
      </c>
      <c r="F12" s="15">
        <f>E12*$E$19</f>
        <v>167.71113000578796</v>
      </c>
      <c r="G12" s="13">
        <f>B12*1.2</f>
        <v>0.048</v>
      </c>
      <c r="H12" s="13">
        <f>C12/2</f>
        <v>0.005</v>
      </c>
      <c r="I12" s="1">
        <f>G4*G12</f>
        <v>2.709213136562871</v>
      </c>
      <c r="J12" s="5">
        <f>H12*H4*I12</f>
        <v>1898.61656610326</v>
      </c>
      <c r="K12" s="15">
        <f>J12*$E$19</f>
        <v>100.62667800347278</v>
      </c>
    </row>
    <row r="13" spans="1:11" ht="12.75">
      <c r="A13" s="45" t="s">
        <v>1</v>
      </c>
      <c r="B13" s="212">
        <v>0.04</v>
      </c>
      <c r="C13" s="13">
        <v>0.01</v>
      </c>
      <c r="D13" s="1">
        <f>G5*B13</f>
        <v>0.5095457113024593</v>
      </c>
      <c r="E13" s="5">
        <f>C13*H5*D13</f>
        <v>1517.6309465432448</v>
      </c>
      <c r="F13" s="15">
        <f>E13*$E$19</f>
        <v>80.43444016679197</v>
      </c>
      <c r="G13" s="13">
        <f>B13*1.2</f>
        <v>0.048</v>
      </c>
      <c r="H13" s="13">
        <f>C13/2</f>
        <v>0.005</v>
      </c>
      <c r="I13" s="1">
        <f>G5*G13</f>
        <v>0.6114548535629512</v>
      </c>
      <c r="J13" s="5">
        <f>H13*H5*I13</f>
        <v>910.5785679259469</v>
      </c>
      <c r="K13" s="15">
        <f>J13*$E$19</f>
        <v>48.26066410007518</v>
      </c>
    </row>
    <row r="14" spans="1:11" ht="13.5" thickBot="1">
      <c r="A14" s="65" t="s">
        <v>15</v>
      </c>
      <c r="B14" s="213">
        <v>0.04</v>
      </c>
      <c r="C14" s="74">
        <v>0.01</v>
      </c>
      <c r="D14" s="18">
        <f>G6*B14</f>
        <v>0.988549332834032</v>
      </c>
      <c r="E14" s="19">
        <f>C14*H6*D14</f>
        <v>3896.8614700317544</v>
      </c>
      <c r="F14" s="20">
        <f>E14*$E$19</f>
        <v>206.53365791168298</v>
      </c>
      <c r="G14" s="74">
        <f>B14*1.2</f>
        <v>0.048</v>
      </c>
      <c r="H14" s="74">
        <f>C14/2</f>
        <v>0.005</v>
      </c>
      <c r="I14" s="18">
        <f>G6*G14</f>
        <v>1.1862591994008385</v>
      </c>
      <c r="J14" s="19">
        <f>H14*H6*I14</f>
        <v>2338.116882019053</v>
      </c>
      <c r="K14" s="20">
        <f>J14*$E$19</f>
        <v>123.9201947470098</v>
      </c>
    </row>
    <row r="15" spans="1:11" ht="13.5" thickBot="1">
      <c r="A15" s="66" t="s">
        <v>13</v>
      </c>
      <c r="B15" s="144"/>
      <c r="C15" s="145"/>
      <c r="D15" s="146"/>
      <c r="E15" s="67">
        <f>SUM(E11:E14)</f>
        <v>173921.2573796191</v>
      </c>
      <c r="F15" s="68">
        <f>SUM(F11:F14)</f>
        <v>9217.826641119813</v>
      </c>
      <c r="G15" s="145"/>
      <c r="H15" s="145"/>
      <c r="I15" s="145"/>
      <c r="J15" s="67">
        <f>SUM(J11:J14)</f>
        <v>104352.75442777146</v>
      </c>
      <c r="K15" s="68">
        <f>SUM(K11:K14)</f>
        <v>5530.695984671888</v>
      </c>
    </row>
    <row r="17" ht="13.5" thickBot="1"/>
    <row r="18" spans="1:11" ht="29.25" thickBot="1">
      <c r="A18" s="99" t="s">
        <v>5</v>
      </c>
      <c r="B18" s="57" t="s">
        <v>4</v>
      </c>
      <c r="C18" s="57" t="s">
        <v>3</v>
      </c>
      <c r="D18" s="57" t="s">
        <v>73</v>
      </c>
      <c r="E18" s="58" t="s">
        <v>20</v>
      </c>
      <c r="F18" s="59" t="s">
        <v>23</v>
      </c>
      <c r="G18" s="94"/>
      <c r="H18" s="23"/>
      <c r="I18" s="23"/>
      <c r="J18" s="23"/>
      <c r="K18" s="23"/>
    </row>
    <row r="19" spans="1:11" ht="13.5" thickBot="1">
      <c r="A19" s="95">
        <v>0.3</v>
      </c>
      <c r="B19" s="40">
        <v>20</v>
      </c>
      <c r="C19" s="42">
        <f>A19/(1-1/(1+A19)^B19)</f>
        <v>0.30158688481804236</v>
      </c>
      <c r="D19" s="190">
        <v>7.6851</v>
      </c>
      <c r="E19" s="42">
        <f>5.3*10^(-2)</f>
        <v>0.053</v>
      </c>
      <c r="F19" s="43">
        <v>8760</v>
      </c>
      <c r="G19" s="100"/>
      <c r="H19" s="96"/>
      <c r="I19" s="96"/>
      <c r="J19" s="96"/>
      <c r="K19" s="96"/>
    </row>
    <row r="20" spans="1:11" ht="12.75">
      <c r="A20" s="4"/>
      <c r="B20" s="2"/>
      <c r="D20" s="4"/>
      <c r="G20" s="100"/>
      <c r="H20" s="101"/>
      <c r="I20" s="101"/>
      <c r="J20" s="101"/>
      <c r="K20" s="101"/>
    </row>
    <row r="21" spans="1:11" ht="13.5" thickBot="1">
      <c r="A21" s="4"/>
      <c r="B21" s="2"/>
      <c r="D21" s="4"/>
      <c r="G21" s="100"/>
      <c r="H21" s="101"/>
      <c r="I21" s="101"/>
      <c r="J21" s="101"/>
      <c r="K21" s="101"/>
    </row>
    <row r="22" spans="1:11" ht="13.5" customHeight="1" thickBot="1">
      <c r="A22" s="316" t="s">
        <v>2</v>
      </c>
      <c r="B22" s="322" t="s">
        <v>27</v>
      </c>
      <c r="C22" s="323"/>
      <c r="D22" s="323"/>
      <c r="E22" s="324"/>
      <c r="F22" s="322" t="s">
        <v>26</v>
      </c>
      <c r="G22" s="323"/>
      <c r="H22" s="323"/>
      <c r="I22" s="324"/>
      <c r="J22" s="97"/>
      <c r="K22" s="97"/>
    </row>
    <row r="23" spans="1:11" ht="42" thickBot="1">
      <c r="A23" s="325"/>
      <c r="B23" s="84" t="s">
        <v>22</v>
      </c>
      <c r="C23" s="85" t="s">
        <v>34</v>
      </c>
      <c r="D23" s="85" t="s">
        <v>35</v>
      </c>
      <c r="E23" s="55" t="s">
        <v>47</v>
      </c>
      <c r="F23" s="85" t="s">
        <v>22</v>
      </c>
      <c r="G23" s="85" t="s">
        <v>36</v>
      </c>
      <c r="H23" s="85" t="s">
        <v>35</v>
      </c>
      <c r="I23" s="55" t="s">
        <v>47</v>
      </c>
      <c r="J23" s="97"/>
      <c r="K23" s="97"/>
    </row>
    <row r="24" spans="1:9" ht="12.75">
      <c r="A24" s="10" t="s">
        <v>9</v>
      </c>
      <c r="B24" s="81">
        <f>D24/D11*1.2</f>
        <v>72707.19407999999</v>
      </c>
      <c r="C24" s="81">
        <f>B24*$C$19*D11</f>
        <v>459861.9411448368</v>
      </c>
      <c r="D24" s="81">
        <f>E11*$D$19</f>
        <v>1270672.9091305567</v>
      </c>
      <c r="E24" s="82">
        <f>(C24-D24)/F11</f>
        <v>-92.52508599588367</v>
      </c>
      <c r="F24" s="160">
        <f>B24</f>
        <v>72707.19407999999</v>
      </c>
      <c r="G24" s="81">
        <f>F24*$C$19*D11</f>
        <v>459861.9411448368</v>
      </c>
      <c r="H24" s="81">
        <f>J11*$D$19</f>
        <v>762403.7454783341</v>
      </c>
      <c r="I24" s="157">
        <f>(G24-H24)/K11</f>
        <v>-57.54055213150428</v>
      </c>
    </row>
    <row r="25" spans="1:9" ht="12.75">
      <c r="A25" s="16" t="s">
        <v>11</v>
      </c>
      <c r="B25" s="75">
        <f>D25/D12*1.2</f>
        <v>12925.723392000002</v>
      </c>
      <c r="C25" s="75">
        <f>B25*$C$19*D12</f>
        <v>8800.943560681246</v>
      </c>
      <c r="D25" s="75">
        <f>E12*$D$19</f>
        <v>24318.430286933606</v>
      </c>
      <c r="E25" s="76">
        <f>(C25-D25)/F12</f>
        <v>-92.52508599588369</v>
      </c>
      <c r="F25" s="161">
        <f>B25</f>
        <v>12925.723392000002</v>
      </c>
      <c r="G25" s="75">
        <f>F25*$C$19*D12</f>
        <v>8800.943560681246</v>
      </c>
      <c r="H25" s="75">
        <f>J12*$D$19</f>
        <v>14591.058172160165</v>
      </c>
      <c r="I25" s="158">
        <f>(G25-H25)/K12</f>
        <v>-57.54055213150426</v>
      </c>
    </row>
    <row r="26" spans="1:9" ht="12.75">
      <c r="A26" s="16" t="s">
        <v>1</v>
      </c>
      <c r="B26" s="75">
        <f>D26/D13*1.2</f>
        <v>27467.162207999998</v>
      </c>
      <c r="C26" s="75">
        <f>B26*$C$19*D13</f>
        <v>4220.942093816302</v>
      </c>
      <c r="D26" s="75">
        <f>E13*$D$19</f>
        <v>11663.14558727949</v>
      </c>
      <c r="E26" s="76">
        <f>(C26-D26)/F13</f>
        <v>-92.52508599588369</v>
      </c>
      <c r="F26" s="161">
        <f>B26</f>
        <v>27467.162207999998</v>
      </c>
      <c r="G26" s="75">
        <f>F26*$C$19*D13</f>
        <v>4220.942093816302</v>
      </c>
      <c r="H26" s="75">
        <f>J13*$D$19</f>
        <v>6997.887352367695</v>
      </c>
      <c r="I26" s="158">
        <f>(G26-H26)/K13</f>
        <v>-57.54055213150427</v>
      </c>
    </row>
    <row r="27" spans="1:9" ht="13.5" thickBot="1">
      <c r="A27" s="17" t="s">
        <v>15</v>
      </c>
      <c r="B27" s="77">
        <f>D27/D14*1.2</f>
        <v>36353.59704</v>
      </c>
      <c r="C27" s="77">
        <f>B27*$C$19*D14</f>
        <v>10838.225624018145</v>
      </c>
      <c r="D27" s="77">
        <f>E14*$D$19</f>
        <v>29947.770083341038</v>
      </c>
      <c r="E27" s="78">
        <f>(C27-D27)/F14</f>
        <v>-92.5250859958837</v>
      </c>
      <c r="F27" s="162">
        <f>B27</f>
        <v>36353.59704</v>
      </c>
      <c r="G27" s="77">
        <f>F27*$C$19*D14</f>
        <v>10838.225624018145</v>
      </c>
      <c r="H27" s="77">
        <f>J14*$D$19</f>
        <v>17968.662050004623</v>
      </c>
      <c r="I27" s="159">
        <f>(G27-H27)/K14</f>
        <v>-57.540552131504256</v>
      </c>
    </row>
    <row r="28" spans="1:9" ht="13.5" thickBot="1">
      <c r="A28" s="79" t="s">
        <v>13</v>
      </c>
      <c r="B28" s="151"/>
      <c r="C28" s="80">
        <f>SUM(C24:C27)</f>
        <v>483722.0524233525</v>
      </c>
      <c r="D28" s="80">
        <f>SUM(D24:D27)</f>
        <v>1336602.255088111</v>
      </c>
      <c r="E28" s="149"/>
      <c r="F28" s="152"/>
      <c r="G28" s="80">
        <f>SUM(G24:G27)</f>
        <v>483722.0524233525</v>
      </c>
      <c r="H28" s="80">
        <f>SUM(H24:H27)</f>
        <v>801961.3530528666</v>
      </c>
      <c r="I28" s="150"/>
    </row>
    <row r="29" spans="1:5" ht="12.75">
      <c r="A29" s="7"/>
      <c r="B29" s="8"/>
      <c r="C29" s="8"/>
      <c r="D29" s="8"/>
      <c r="E29" s="8"/>
    </row>
    <row r="30" spans="1:5" ht="15">
      <c r="A30" s="83" t="s">
        <v>29</v>
      </c>
      <c r="B30" s="7"/>
      <c r="C30" s="8"/>
      <c r="D30" s="8"/>
      <c r="E30" s="8"/>
    </row>
    <row r="31" spans="1:5" ht="12.75">
      <c r="A31" s="7"/>
      <c r="B31" s="7"/>
      <c r="C31" s="7"/>
      <c r="D31" s="7"/>
      <c r="E31" s="7"/>
    </row>
    <row r="32" spans="2:5" ht="12.75">
      <c r="B32" s="7"/>
      <c r="C32" s="7"/>
      <c r="D32" s="7"/>
      <c r="E32" s="7"/>
    </row>
    <row r="39" spans="5:16" ht="12.75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5:16" ht="12.75"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5:16" ht="12.75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</sheetData>
  <sheetProtection/>
  <mergeCells count="9">
    <mergeCell ref="A22:A23"/>
    <mergeCell ref="B22:E22"/>
    <mergeCell ref="F22:I22"/>
    <mergeCell ref="G1:J1"/>
    <mergeCell ref="A1:A2"/>
    <mergeCell ref="A9:A10"/>
    <mergeCell ref="B9:F9"/>
    <mergeCell ref="G9:K9"/>
    <mergeCell ref="B1:F1"/>
  </mergeCells>
  <printOptions/>
  <pageMargins left="0.25" right="0.25" top="0.5" bottom="0.5" header="0.25" footer="0.25"/>
  <pageSetup horizontalDpi="600" verticalDpi="600" orientation="landscape" scale="70" r:id="rId1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9" sqref="A9:A10"/>
    </sheetView>
  </sheetViews>
  <sheetFormatPr defaultColWidth="9.140625" defaultRowHeight="12.75"/>
  <cols>
    <col min="1" max="1" width="12.8515625" style="23" customWidth="1"/>
    <col min="2" max="2" width="20.421875" style="23" customWidth="1"/>
    <col min="3" max="3" width="15.00390625" style="23" bestFit="1" customWidth="1"/>
    <col min="4" max="4" width="19.140625" style="23" customWidth="1"/>
    <col min="5" max="5" width="18.28125" style="23" customWidth="1"/>
    <col min="6" max="6" width="12.8515625" style="23" bestFit="1" customWidth="1"/>
    <col min="7" max="7" width="14.00390625" style="23" customWidth="1"/>
    <col min="8" max="8" width="12.421875" style="23" customWidth="1"/>
    <col min="9" max="9" width="13.140625" style="23" customWidth="1"/>
    <col min="10" max="14" width="11.7109375" style="23" customWidth="1"/>
    <col min="15" max="16384" width="9.140625" style="23" customWidth="1"/>
  </cols>
  <sheetData>
    <row r="1" spans="1:6" ht="13.5" thickBot="1">
      <c r="A1" s="335" t="s">
        <v>2</v>
      </c>
      <c r="B1" s="60" t="s">
        <v>30</v>
      </c>
      <c r="C1" s="333" t="s">
        <v>17</v>
      </c>
      <c r="D1" s="334"/>
      <c r="E1" s="107"/>
      <c r="F1" s="107"/>
    </row>
    <row r="2" spans="1:7" ht="29.25" thickBot="1">
      <c r="A2" s="336"/>
      <c r="B2" s="189" t="s">
        <v>69</v>
      </c>
      <c r="C2" s="184" t="s">
        <v>33</v>
      </c>
      <c r="D2" s="55" t="s">
        <v>7</v>
      </c>
      <c r="E2" s="107"/>
      <c r="F2" s="107"/>
      <c r="G2" s="109"/>
    </row>
    <row r="3" spans="1:7" ht="12.75">
      <c r="A3" s="185" t="s">
        <v>9</v>
      </c>
      <c r="B3" s="186">
        <v>0.625827814569536</v>
      </c>
      <c r="C3" s="187">
        <v>35006223.792814</v>
      </c>
      <c r="D3" s="188">
        <f>C3/$E$19*B3</f>
        <v>413356010.0488468</v>
      </c>
      <c r="E3" s="107"/>
      <c r="F3" s="113"/>
      <c r="G3" s="114"/>
    </row>
    <row r="4" spans="1:7" ht="12.75">
      <c r="A4" s="108" t="s">
        <v>11</v>
      </c>
      <c r="B4" s="110">
        <v>0.2576808721506442</v>
      </c>
      <c r="C4" s="111">
        <v>1627120.48246</v>
      </c>
      <c r="D4" s="112">
        <f>C4/$E$19*B4</f>
        <v>7910902.358763582</v>
      </c>
      <c r="E4" s="107"/>
      <c r="F4" s="113"/>
      <c r="G4" s="114"/>
    </row>
    <row r="5" spans="1:7" ht="12.75">
      <c r="A5" s="108" t="s">
        <v>1</v>
      </c>
      <c r="B5" s="110">
        <v>0.7625754527162978</v>
      </c>
      <c r="C5" s="111">
        <v>263693.382341</v>
      </c>
      <c r="D5" s="112">
        <f>C5/$E$19*B5</f>
        <v>3794077.3663581116</v>
      </c>
      <c r="E5" s="107"/>
      <c r="F5" s="113"/>
      <c r="G5" s="114"/>
    </row>
    <row r="6" spans="1:7" ht="13.5" thickBot="1">
      <c r="A6" s="115" t="s">
        <v>15</v>
      </c>
      <c r="B6" s="116">
        <v>0.20190318576748034</v>
      </c>
      <c r="C6" s="117">
        <v>2557335.3031380004</v>
      </c>
      <c r="D6" s="118">
        <f>C6/$E$19*B6</f>
        <v>9742153.675079385</v>
      </c>
      <c r="E6" s="107"/>
      <c r="F6" s="113"/>
      <c r="G6" s="114"/>
    </row>
    <row r="7" spans="4:14" ht="12.75">
      <c r="D7" s="119"/>
      <c r="E7" s="120"/>
      <c r="F7" s="121"/>
      <c r="H7" s="114"/>
      <c r="I7" s="94"/>
      <c r="J7" s="94"/>
      <c r="K7" s="94"/>
      <c r="M7" s="94"/>
      <c r="N7" s="114"/>
    </row>
    <row r="8" ht="13.5" thickBot="1"/>
    <row r="9" spans="1:9" ht="13.5" thickBot="1">
      <c r="A9" s="316" t="s">
        <v>2</v>
      </c>
      <c r="B9" s="322" t="s">
        <v>19</v>
      </c>
      <c r="C9" s="323"/>
      <c r="D9" s="323"/>
      <c r="E9" s="324"/>
      <c r="F9" s="322" t="s">
        <v>0</v>
      </c>
      <c r="G9" s="323"/>
      <c r="H9" s="323"/>
      <c r="I9" s="324"/>
    </row>
    <row r="10" spans="1:9" ht="42" thickBot="1">
      <c r="A10" s="317"/>
      <c r="B10" s="84" t="s">
        <v>51</v>
      </c>
      <c r="C10" s="85" t="s">
        <v>50</v>
      </c>
      <c r="D10" s="85" t="s">
        <v>49</v>
      </c>
      <c r="E10" s="86" t="s">
        <v>52</v>
      </c>
      <c r="F10" s="85" t="s">
        <v>51</v>
      </c>
      <c r="G10" s="85" t="s">
        <v>50</v>
      </c>
      <c r="H10" s="85" t="s">
        <v>49</v>
      </c>
      <c r="I10" s="86" t="s">
        <v>52</v>
      </c>
    </row>
    <row r="11" spans="1:9" ht="12.75">
      <c r="A11" s="122" t="s">
        <v>9</v>
      </c>
      <c r="B11" s="165">
        <v>0.4</v>
      </c>
      <c r="C11" s="123">
        <v>0.035</v>
      </c>
      <c r="D11" s="124">
        <f>C11*B11*D3</f>
        <v>5786984.140683856</v>
      </c>
      <c r="E11" s="125">
        <f>D11*$E$19</f>
        <v>306710.1594562444</v>
      </c>
      <c r="F11" s="216">
        <v>0.05</v>
      </c>
      <c r="G11" s="123">
        <v>0.075</v>
      </c>
      <c r="H11" s="124">
        <f>G11*F11*D3</f>
        <v>1550085.0376831754</v>
      </c>
      <c r="I11" s="125">
        <f>H11*$E$19</f>
        <v>82154.5069972083</v>
      </c>
    </row>
    <row r="12" spans="1:9" ht="12.75">
      <c r="A12" s="126" t="s">
        <v>11</v>
      </c>
      <c r="B12" s="166">
        <v>0.4</v>
      </c>
      <c r="C12" s="127">
        <v>0.035</v>
      </c>
      <c r="D12" s="128">
        <f>C12*B12*D4</f>
        <v>110752.63302269016</v>
      </c>
      <c r="E12" s="129">
        <f>D12*$E$19</f>
        <v>5869.889550202579</v>
      </c>
      <c r="F12" s="168">
        <v>0.05</v>
      </c>
      <c r="G12" s="127">
        <v>0.075</v>
      </c>
      <c r="H12" s="128">
        <f>G12*F12*D4</f>
        <v>29665.88384536343</v>
      </c>
      <c r="I12" s="129">
        <f>H12*$E$19</f>
        <v>1572.2918438042618</v>
      </c>
    </row>
    <row r="13" spans="1:9" ht="12.75">
      <c r="A13" s="126" t="s">
        <v>1</v>
      </c>
      <c r="B13" s="166">
        <v>0.4</v>
      </c>
      <c r="C13" s="127">
        <v>0.035</v>
      </c>
      <c r="D13" s="128">
        <f>C13*B13*D5</f>
        <v>53117.08312901357</v>
      </c>
      <c r="E13" s="129">
        <f>D13*$E$19</f>
        <v>2815.205405837719</v>
      </c>
      <c r="F13" s="168">
        <v>0.05</v>
      </c>
      <c r="G13" s="127">
        <v>0.075</v>
      </c>
      <c r="H13" s="128">
        <f>G13*F13*D5</f>
        <v>14227.790123842919</v>
      </c>
      <c r="I13" s="129">
        <f>H13*$E$19</f>
        <v>754.0728765636746</v>
      </c>
    </row>
    <row r="14" spans="1:9" ht="13.5" thickBot="1">
      <c r="A14" s="130" t="s">
        <v>15</v>
      </c>
      <c r="B14" s="167">
        <v>0.4</v>
      </c>
      <c r="C14" s="131">
        <v>0.035</v>
      </c>
      <c r="D14" s="132">
        <f>C14*B14*D6</f>
        <v>136390.1514511114</v>
      </c>
      <c r="E14" s="133">
        <f>D14*$E$19</f>
        <v>7228.678026908904</v>
      </c>
      <c r="F14" s="169">
        <v>0.05</v>
      </c>
      <c r="G14" s="131">
        <v>0.075</v>
      </c>
      <c r="H14" s="132">
        <f>G14*F14*D6</f>
        <v>36533.07628154769</v>
      </c>
      <c r="I14" s="133">
        <f>H14*$E$19</f>
        <v>1936.2530429220276</v>
      </c>
    </row>
    <row r="15" spans="1:9" ht="13.5" thickBot="1">
      <c r="A15" s="134" t="s">
        <v>13</v>
      </c>
      <c r="B15" s="163"/>
      <c r="C15" s="163"/>
      <c r="D15" s="136">
        <f>SUM(D11:D14)</f>
        <v>6087244.008286672</v>
      </c>
      <c r="E15" s="137">
        <f>SUM(E11:E14)</f>
        <v>322623.9324391936</v>
      </c>
      <c r="F15" s="164"/>
      <c r="G15" s="164"/>
      <c r="H15" s="136">
        <f>SUM(H11:H14)</f>
        <v>1630511.7879339296</v>
      </c>
      <c r="I15" s="137">
        <f>SUM(I11:I14)</f>
        <v>86417.12476049826</v>
      </c>
    </row>
    <row r="17" ht="13.5" thickBot="1"/>
    <row r="18" spans="1:7" ht="42" thickBot="1">
      <c r="A18" s="99" t="s">
        <v>5</v>
      </c>
      <c r="B18" s="57" t="s">
        <v>4</v>
      </c>
      <c r="C18" s="57" t="s">
        <v>3</v>
      </c>
      <c r="D18" s="57" t="s">
        <v>70</v>
      </c>
      <c r="E18" s="58" t="s">
        <v>48</v>
      </c>
      <c r="F18" s="59" t="s">
        <v>23</v>
      </c>
      <c r="G18" s="94"/>
    </row>
    <row r="19" spans="1:6" ht="13.5" thickBot="1">
      <c r="A19" s="138">
        <v>0.3</v>
      </c>
      <c r="B19" s="139">
        <v>20</v>
      </c>
      <c r="C19" s="140">
        <f>A19/(1-1/(1+A19)^B19)</f>
        <v>0.30158688481804236</v>
      </c>
      <c r="D19" s="230">
        <v>7.6851</v>
      </c>
      <c r="E19" s="140">
        <f>5.3*10^(-2)</f>
        <v>0.053</v>
      </c>
      <c r="F19" s="141">
        <v>8760</v>
      </c>
    </row>
    <row r="20" spans="1:4" ht="12.75">
      <c r="A20" s="142"/>
      <c r="B20" s="114"/>
      <c r="D20" s="142"/>
    </row>
    <row r="21" spans="1:4" ht="13.5" thickBot="1">
      <c r="A21" s="142"/>
      <c r="B21" s="114"/>
      <c r="D21" s="142"/>
    </row>
    <row r="22" spans="1:9" ht="13.5" thickBot="1">
      <c r="A22" s="316" t="s">
        <v>2</v>
      </c>
      <c r="B22" s="322" t="s">
        <v>19</v>
      </c>
      <c r="C22" s="323"/>
      <c r="D22" s="323"/>
      <c r="E22" s="324"/>
      <c r="F22" s="322" t="s">
        <v>0</v>
      </c>
      <c r="G22" s="323"/>
      <c r="H22" s="323"/>
      <c r="I22" s="324"/>
    </row>
    <row r="23" spans="1:9" ht="42" thickBot="1">
      <c r="A23" s="325"/>
      <c r="B23" s="84" t="s">
        <v>21</v>
      </c>
      <c r="C23" s="85" t="s">
        <v>34</v>
      </c>
      <c r="D23" s="85" t="s">
        <v>35</v>
      </c>
      <c r="E23" s="55" t="s">
        <v>47</v>
      </c>
      <c r="F23" s="85" t="s">
        <v>22</v>
      </c>
      <c r="G23" s="85" t="s">
        <v>36</v>
      </c>
      <c r="H23" s="85" t="s">
        <v>37</v>
      </c>
      <c r="I23" s="55" t="s">
        <v>47</v>
      </c>
    </row>
    <row r="24" spans="1:9" ht="12.75">
      <c r="A24" s="122" t="s">
        <v>9</v>
      </c>
      <c r="B24" s="170">
        <f>D24*2</f>
        <v>88947103.63913901</v>
      </c>
      <c r="C24" s="171">
        <f>B24*$C$19</f>
        <v>26825279.900115494</v>
      </c>
      <c r="D24" s="171">
        <f>D11*$D$19</f>
        <v>44473551.819569506</v>
      </c>
      <c r="E24" s="172">
        <f>(C24-D24)/E11</f>
        <v>-57.540552131504256</v>
      </c>
      <c r="F24" s="181">
        <f>H24*3</f>
        <v>35737675.56929691</v>
      </c>
      <c r="G24" s="171">
        <f>F24*$C$19</f>
        <v>10778014.245582113</v>
      </c>
      <c r="H24" s="171">
        <f>H11*$D$19</f>
        <v>11912558.523098972</v>
      </c>
      <c r="I24" s="172">
        <f>(G24-H24)/I11</f>
        <v>-13.809884801029987</v>
      </c>
    </row>
    <row r="25" spans="1:9" ht="12.75">
      <c r="A25" s="126" t="s">
        <v>11</v>
      </c>
      <c r="B25" s="173">
        <f>D25*2</f>
        <v>1702290.1200853523</v>
      </c>
      <c r="C25" s="174">
        <f>B25*$C$19</f>
        <v>513388.37437307264</v>
      </c>
      <c r="D25" s="174">
        <f>D12*$D$19</f>
        <v>851145.0600426762</v>
      </c>
      <c r="E25" s="175">
        <f>(C25-D25)/E12</f>
        <v>-57.54055213150425</v>
      </c>
      <c r="F25" s="182">
        <f>H25*3</f>
        <v>683955.8518200074</v>
      </c>
      <c r="G25" s="174">
        <f>F25*$C$19</f>
        <v>206272.11470346662</v>
      </c>
      <c r="H25" s="174">
        <f>H12*$D$19</f>
        <v>227985.2839400025</v>
      </c>
      <c r="I25" s="175">
        <f>(G25-H25)/I12</f>
        <v>-13.809884801029979</v>
      </c>
    </row>
    <row r="26" spans="1:9" ht="12.75">
      <c r="A26" s="126" t="s">
        <v>1</v>
      </c>
      <c r="B26" s="173">
        <f>D26*2</f>
        <v>816420.1911095644</v>
      </c>
      <c r="C26" s="174">
        <f>B26*$C$19</f>
        <v>246221.62213928433</v>
      </c>
      <c r="D26" s="174">
        <f>D13*$D$19</f>
        <v>408210.0955547822</v>
      </c>
      <c r="E26" s="175">
        <f>(C26-D26)/E13</f>
        <v>-57.540552131504256</v>
      </c>
      <c r="F26" s="182">
        <f>H26*3</f>
        <v>328025.96964223566</v>
      </c>
      <c r="G26" s="174">
        <f>F26*$C$19</f>
        <v>98928.33032381958</v>
      </c>
      <c r="H26" s="174">
        <f>H13*$D$19</f>
        <v>109341.98988074521</v>
      </c>
      <c r="I26" s="175">
        <f>(G26-H26)/I13</f>
        <v>-13.809884801029959</v>
      </c>
    </row>
    <row r="27" spans="1:9" ht="13.5" thickBot="1">
      <c r="A27" s="130" t="s">
        <v>15</v>
      </c>
      <c r="B27" s="176">
        <f>D27*2</f>
        <v>2096343.9058338725</v>
      </c>
      <c r="C27" s="177">
        <f>B27*$C$19</f>
        <v>632229.8280677252</v>
      </c>
      <c r="D27" s="177">
        <f>D14*$D$19</f>
        <v>1048171.9529169363</v>
      </c>
      <c r="E27" s="178">
        <f>(C27-D27)/E14</f>
        <v>-57.54055213150425</v>
      </c>
      <c r="F27" s="183">
        <f>H27*3</f>
        <v>842281.0335939666</v>
      </c>
      <c r="G27" s="177">
        <f>F27*$C$19</f>
        <v>254020.91306292528</v>
      </c>
      <c r="H27" s="177">
        <f>H14*$D$19</f>
        <v>280760.3445313222</v>
      </c>
      <c r="I27" s="178">
        <f>(G27-H27)/I14</f>
        <v>-13.809884801029957</v>
      </c>
    </row>
    <row r="28" spans="1:9" ht="13.5" thickBot="1">
      <c r="A28" s="134" t="s">
        <v>13</v>
      </c>
      <c r="B28" s="179"/>
      <c r="C28" s="135">
        <f>SUM(C24:C27)</f>
        <v>28217119.72469557</v>
      </c>
      <c r="D28" s="135">
        <f>SUM(D24:D27)</f>
        <v>46781078.928083904</v>
      </c>
      <c r="E28" s="180"/>
      <c r="F28" s="163"/>
      <c r="G28" s="135">
        <f>SUM(G24:G27)</f>
        <v>11337235.603672324</v>
      </c>
      <c r="H28" s="135">
        <f>SUM(H24:H27)</f>
        <v>12530646.14145104</v>
      </c>
      <c r="I28" s="180"/>
    </row>
    <row r="29" spans="1:5" ht="12.75">
      <c r="A29" s="107"/>
      <c r="B29" s="143"/>
      <c r="C29" s="143"/>
      <c r="D29" s="143"/>
      <c r="E29" s="143"/>
    </row>
    <row r="30" spans="1:5" ht="12.75">
      <c r="A30" s="107"/>
      <c r="B30" s="143"/>
      <c r="C30" s="143"/>
      <c r="D30" s="143"/>
      <c r="E30" s="143"/>
    </row>
    <row r="31" spans="1:4" ht="12.75">
      <c r="A31" s="107"/>
      <c r="B31" s="107"/>
      <c r="C31" s="107"/>
      <c r="D31" s="107"/>
    </row>
    <row r="32" spans="6:15" ht="12.75">
      <c r="F32" s="107"/>
      <c r="G32" s="107"/>
      <c r="H32" s="107"/>
      <c r="I32" s="107"/>
      <c r="J32" s="107"/>
      <c r="K32" s="107"/>
      <c r="L32" s="107"/>
      <c r="M32" s="107"/>
      <c r="N32" s="107"/>
      <c r="O32" s="107"/>
    </row>
    <row r="33" spans="6:15" ht="12.75">
      <c r="F33" s="107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6:15" ht="12.75"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6:15" ht="12.75">
      <c r="F35" s="107"/>
      <c r="G35" s="107"/>
      <c r="H35" s="107"/>
      <c r="I35" s="107"/>
      <c r="J35" s="107"/>
      <c r="K35" s="107"/>
      <c r="L35" s="107"/>
      <c r="M35" s="107"/>
      <c r="N35" s="107"/>
      <c r="O35" s="107"/>
    </row>
    <row r="36" spans="6:15" ht="12.75"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6:15" ht="12.75"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</sheetData>
  <sheetProtection/>
  <mergeCells count="8">
    <mergeCell ref="F9:I9"/>
    <mergeCell ref="B22:E22"/>
    <mergeCell ref="F22:I22"/>
    <mergeCell ref="C1:D1"/>
    <mergeCell ref="A22:A23"/>
    <mergeCell ref="A9:A10"/>
    <mergeCell ref="A1:A2"/>
    <mergeCell ref="B9:E9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Allgood</dc:creator>
  <cp:keywords/>
  <dc:description/>
  <cp:lastModifiedBy>Slazerow</cp:lastModifiedBy>
  <cp:lastPrinted>2010-10-13T20:11:18Z</cp:lastPrinted>
  <dcterms:created xsi:type="dcterms:W3CDTF">2010-08-18T18:39:23Z</dcterms:created>
  <dcterms:modified xsi:type="dcterms:W3CDTF">2015-10-06T23:25:58Z</dcterms:modified>
  <cp:category/>
  <cp:version/>
  <cp:contentType/>
  <cp:contentStatus/>
</cp:coreProperties>
</file>