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540" windowHeight="3420" tabRatio="601" firstSheet="2" activeTab="5"/>
  </bookViews>
  <sheets>
    <sheet name="Scenario" sheetId="1" r:id="rId1"/>
    <sheet name="Results" sheetId="2" r:id="rId2"/>
    <sheet name="Combustion" sheetId="3" r:id="rId3"/>
    <sheet name="Fug. Dust" sheetId="4" r:id="rId4"/>
    <sheet name="Construction" sheetId="5" r:id="rId5"/>
    <sheet name="Install" sheetId="6" r:id="rId6"/>
  </sheets>
  <externalReferences>
    <externalReference r:id="rId9"/>
  </externalReferences>
  <definedNames>
    <definedName name="_xlnm.Print_Area" localSheetId="2">'Combustion'!$A$1:$K$100</definedName>
    <definedName name="_xlnm.Print_Area" localSheetId="1">'Results'!$A$1:$M$67</definedName>
  </definedNames>
  <calcPr fullCalcOnLoad="1"/>
</workbook>
</file>

<file path=xl/sharedStrings.xml><?xml version="1.0" encoding="utf-8"?>
<sst xmlns="http://schemas.openxmlformats.org/spreadsheetml/2006/main" count="553" uniqueCount="266">
  <si>
    <t>Construction Activity</t>
  </si>
  <si>
    <t>PM10</t>
  </si>
  <si>
    <t>Paving</t>
  </si>
  <si>
    <t>Equipment</t>
  </si>
  <si>
    <t>Cement Truck</t>
  </si>
  <si>
    <t>Welder</t>
  </si>
  <si>
    <t xml:space="preserve"> </t>
  </si>
  <si>
    <t xml:space="preserve"> CO</t>
  </si>
  <si>
    <t xml:space="preserve"> VOC</t>
  </si>
  <si>
    <t xml:space="preserve"> NOx</t>
  </si>
  <si>
    <t xml:space="preserve"> SOx</t>
  </si>
  <si>
    <t xml:space="preserve"> PM10</t>
  </si>
  <si>
    <t>lbs/day</t>
  </si>
  <si>
    <t>Variable</t>
  </si>
  <si>
    <t>Value</t>
  </si>
  <si>
    <t>Unit</t>
  </si>
  <si>
    <t>Soil Silt Content, s</t>
  </si>
  <si>
    <t>%</t>
  </si>
  <si>
    <t>Soil Density, SD</t>
  </si>
  <si>
    <t>lbs/CY</t>
  </si>
  <si>
    <t>mph</t>
  </si>
  <si>
    <t>Mean Vehicle Speed, S</t>
  </si>
  <si>
    <t>Mean Vehicle Weight (loaded), W</t>
  </si>
  <si>
    <t>tons</t>
  </si>
  <si>
    <t>Mean Vehicle Wheels, w</t>
  </si>
  <si>
    <t>per vehicle</t>
  </si>
  <si>
    <t>Silt Loading, SL</t>
  </si>
  <si>
    <t>g/m2</t>
  </si>
  <si>
    <t>Precipitation, p</t>
  </si>
  <si>
    <t>N/A</t>
  </si>
  <si>
    <t>Area Covered by Stockpile, A</t>
  </si>
  <si>
    <t>acre</t>
  </si>
  <si>
    <t>Unobstructed Wind, UW</t>
  </si>
  <si>
    <t>Combustion</t>
  </si>
  <si>
    <t xml:space="preserve">VOC </t>
  </si>
  <si>
    <t>Construction Equipment Ratings and Load Factors</t>
  </si>
  <si>
    <t>Diesel</t>
  </si>
  <si>
    <t>HP</t>
  </si>
  <si>
    <t>Load Factor</t>
  </si>
  <si>
    <t>Rating</t>
  </si>
  <si>
    <t>Gasoline</t>
  </si>
  <si>
    <t xml:space="preserve">Construction Equipment Hours of Operation </t>
  </si>
  <si>
    <t>Type</t>
  </si>
  <si>
    <t xml:space="preserve">Equipment </t>
  </si>
  <si>
    <t>Hours</t>
  </si>
  <si>
    <t>Diesel Emission Factors, (lb/BHP-hr)</t>
  </si>
  <si>
    <t>Gasoline Emission Factors, (lb/BHP-hr)</t>
  </si>
  <si>
    <t>Reference</t>
  </si>
  <si>
    <t xml:space="preserve"> Source: Nonroad Engine and Vehicle Study Report, EPA 460/3-91-02, November 1991</t>
  </si>
  <si>
    <t>A Climatological Air Quality Profile, Table XIII, SCAQMD, December 1981.</t>
  </si>
  <si>
    <t>Handbook of Solid Waste Management, Table 2.46</t>
  </si>
  <si>
    <t>Final Report – Phase 1 PM10 Fugitive Dust Integration Project, Countess Environmental, July 1996.</t>
  </si>
  <si>
    <t>Assumption</t>
  </si>
  <si>
    <t>SCAQMD Meteorological Records</t>
  </si>
  <si>
    <t>ASTM Test Method Default</t>
  </si>
  <si>
    <t>Tire Wear</t>
  </si>
  <si>
    <t>Brake Wear</t>
  </si>
  <si>
    <t>Vehicle</t>
  </si>
  <si>
    <t>Employee (Light-Duty Trucks - Cat)</t>
  </si>
  <si>
    <t>Number of One-Way</t>
  </si>
  <si>
    <t xml:space="preserve"> Trips/Day</t>
  </si>
  <si>
    <t>Trip Length</t>
  </si>
  <si>
    <t>(miles)</t>
  </si>
  <si>
    <t>Total</t>
  </si>
  <si>
    <t>Construction Equipment Emissions</t>
  </si>
  <si>
    <t>CARB Vehicle Classifications</t>
  </si>
  <si>
    <t>g/mile</t>
  </si>
  <si>
    <t>Construction Equipment Combustion Emission Factors</t>
  </si>
  <si>
    <t>SCAQMD 1993 CEQA Air Quality Hand Book</t>
  </si>
  <si>
    <t>Hrs/day</t>
  </si>
  <si>
    <t>Crew</t>
  </si>
  <si>
    <t>Size</t>
  </si>
  <si>
    <t>Equpment</t>
  </si>
  <si>
    <t>Pieces of</t>
  </si>
  <si>
    <t>Vehicle Type</t>
  </si>
  <si>
    <t>Hot Soak</t>
  </si>
  <si>
    <t>Tank Excavation</t>
  </si>
  <si>
    <t>Tank Removal</t>
  </si>
  <si>
    <t>Tank Degassing</t>
  </si>
  <si>
    <t>Backfill and Grading</t>
  </si>
  <si>
    <t>Backhoe</t>
  </si>
  <si>
    <t>Excavation</t>
  </si>
  <si>
    <t>Concrete Removal</t>
  </si>
  <si>
    <t>IC Engine</t>
  </si>
  <si>
    <t>Total Miles</t>
  </si>
  <si>
    <t>Total Start-Ups</t>
  </si>
  <si>
    <t>Offsite Mobile Source Number of Trips, Trip Length, and Start-ups</t>
  </si>
  <si>
    <t>Start-Ups*/Trip</t>
  </si>
  <si>
    <t>Haul Truck (Heavy-Heavy Duty Diesel)</t>
  </si>
  <si>
    <t>Mobile Source Running Emission Factors</t>
  </si>
  <si>
    <t>Mobile Source Start-Up, Hot Soak and Diurnal Emission Factors</t>
  </si>
  <si>
    <t>Start-Up</t>
  </si>
  <si>
    <t>g/start</t>
  </si>
  <si>
    <t>g/soak</t>
  </si>
  <si>
    <t>g/day</t>
  </si>
  <si>
    <t>Activity</t>
  </si>
  <si>
    <t>Fugitive</t>
  </si>
  <si>
    <t>lb/day</t>
  </si>
  <si>
    <t>Paved</t>
  </si>
  <si>
    <t>Driveway Demolition</t>
  </si>
  <si>
    <t>Volume</t>
  </si>
  <si>
    <t>Stock Pile</t>
  </si>
  <si>
    <t>(cu. ft.)/</t>
  </si>
  <si>
    <t>Area (acre)</t>
  </si>
  <si>
    <t>Cement Truck (Medium-Heavy Duty Diesel)</t>
  </si>
  <si>
    <t>Vehicle Weight</t>
  </si>
  <si>
    <t>Assume one start-up per trip.</t>
  </si>
  <si>
    <t>Diurnal</t>
  </si>
  <si>
    <t>Haul Truck at 35 mph, Employee Vehicle at 35 mph, Cement Truck at 35 mph</t>
  </si>
  <si>
    <t>All</t>
  </si>
  <si>
    <t>Comments</t>
  </si>
  <si>
    <t>12'x54'x6"</t>
  </si>
  <si>
    <t>Load 15 cu. yd.</t>
  </si>
  <si>
    <t>Backfill 120 cu. yd.</t>
  </si>
  <si>
    <t>Trip Purpose</t>
  </si>
  <si>
    <t>Commuting</t>
  </si>
  <si>
    <t>Dispose of debris</t>
  </si>
  <si>
    <t>Remove old tank</t>
  </si>
  <si>
    <t>Deliver 120 cu. yd.</t>
  </si>
  <si>
    <t>CNG System Installation</t>
  </si>
  <si>
    <t>Excavation for Gas Delivery Line</t>
  </si>
  <si>
    <t>3'x1'x200'</t>
  </si>
  <si>
    <t>Pour Pad for CNG System</t>
  </si>
  <si>
    <t>Backfill Delivery Line</t>
  </si>
  <si>
    <t>Repave Delivery Line Run</t>
  </si>
  <si>
    <t>Repave delivery line run</t>
  </si>
  <si>
    <t>Remove debris from excavation</t>
  </si>
  <si>
    <t>Deliver and unload CNG system</t>
  </si>
  <si>
    <t>Pour pad</t>
  </si>
  <si>
    <t>Off-Site Motor Vehicle Emissions</t>
  </si>
  <si>
    <t>Steps:</t>
  </si>
  <si>
    <t>1.  Demolish pavement over two tanks (one to be removed and the other to be reseated, if necessary)</t>
  </si>
  <si>
    <t>2.  Uncover tanks</t>
  </si>
  <si>
    <t>3.  Remove existing tank</t>
  </si>
  <si>
    <t>4.  Backfill with imported fill</t>
  </si>
  <si>
    <t>6.  Repave over tanks and trench with concrete</t>
  </si>
  <si>
    <t>Notes:</t>
  </si>
  <si>
    <t>Backhoe is used for demolition, excavation, tank removal, trenching, backfilling and compacting</t>
  </si>
  <si>
    <t>Cement truck is used for paving</t>
  </si>
  <si>
    <t>Demolition debris are hauled offsite</t>
  </si>
  <si>
    <t>Hose is used for dust suppression (no water truck)</t>
  </si>
  <si>
    <t>CNG Fueling Station Construction Scenario</t>
  </si>
  <si>
    <t>5.  Dig trench for gas line to fueling equipment (compressor and tanks)</t>
  </si>
  <si>
    <t>7.  Pour pad for CNG fueling equipment</t>
  </si>
  <si>
    <t>Delivery trucks have hoists to unload equipment onto pad</t>
  </si>
  <si>
    <t>8.  Deliver equipment on heavy-duty diesel trucks and install on pad</t>
  </si>
  <si>
    <t>Remove one 15,000 gal. gasoline tank (worst case because of tank degassing) and install CNG fueling equipment</t>
  </si>
  <si>
    <t>Note:  lb/day = 0.00042 x cu. yd. demolished, from SCAQMD CEQA Handbook, 1993, Table A9-9-H</t>
  </si>
  <si>
    <t>days/yr</t>
  </si>
  <si>
    <t>See SCAQMD CEQA Handbook, 1993, Table A9-9-G</t>
  </si>
  <si>
    <t>Weight</t>
  </si>
  <si>
    <t>tons/day</t>
  </si>
  <si>
    <t>Excavation for Delivery Line</t>
  </si>
  <si>
    <t>negligible</t>
  </si>
  <si>
    <t xml:space="preserve">Fugitive Dust Background Document and Technical Information Document </t>
  </si>
  <si>
    <t>for Best Available Control Measures, EPA, September 1992.</t>
  </si>
  <si>
    <t>Soil Moisture Content, M or H</t>
  </si>
  <si>
    <t>Mean Wind Speed, U or G</t>
  </si>
  <si>
    <t>Mass of Dirt Moved During Tank Excavation, I/J</t>
  </si>
  <si>
    <t>Mass of Dirt Moved During Tank Removal, I/J</t>
  </si>
  <si>
    <t>Mass of Dirt Moved During Backfill, I/J</t>
  </si>
  <si>
    <t>Mass of Dirt Moved During Delivery Line Excavation, I/J</t>
  </si>
  <si>
    <t>Mass of Dirt Moved During Delivery Line Backfill, I/J</t>
  </si>
  <si>
    <t>Day 1</t>
  </si>
  <si>
    <t>Day 2</t>
  </si>
  <si>
    <t>Day 3</t>
  </si>
  <si>
    <t>Day 4</t>
  </si>
  <si>
    <t>Day 5</t>
  </si>
  <si>
    <t>Subtotal Day 1</t>
  </si>
  <si>
    <t>Subtotal Day 2</t>
  </si>
  <si>
    <t>Subtotal Day 3</t>
  </si>
  <si>
    <t>Subtotal Day 4</t>
  </si>
  <si>
    <t>Subtotal Day 5</t>
  </si>
  <si>
    <t>Schedule</t>
  </si>
  <si>
    <t>Day 6</t>
  </si>
  <si>
    <t>Day 7</t>
  </si>
  <si>
    <t>Day 8</t>
  </si>
  <si>
    <t>Day 9</t>
  </si>
  <si>
    <t>Day 6-9</t>
  </si>
  <si>
    <t>Subtotal Day 6-7</t>
  </si>
  <si>
    <t>Subtotal Day 8-9</t>
  </si>
  <si>
    <t>Subtotal Day 9</t>
  </si>
  <si>
    <t>Subtotal Day 8</t>
  </si>
  <si>
    <t xml:space="preserve">Day 6 </t>
  </si>
  <si>
    <t>Subtotal Day 6</t>
  </si>
  <si>
    <t>Subtotal Day 7</t>
  </si>
  <si>
    <t>Generator Set &lt; 50 HP</t>
  </si>
  <si>
    <t>Peak Daily CNG Refueling Station Construction Onsite &amp; Off-Site Emissions</t>
  </si>
  <si>
    <t xml:space="preserve"> Source: Nonroad Engine and Vehicle Study Report, EPA 460/3-91-02, November 1991; 50% control assumed for IC Engine with catalytic converter</t>
  </si>
  <si>
    <t>Summary of Construction Emissions for One CNG Refueling Station</t>
  </si>
  <si>
    <t>Input Variables for Estimating Combustion Emissions from Construction of One CNG Refueling Station</t>
  </si>
  <si>
    <t>Input Variables for Estimating Fugitive Dust Emissions for Construction of One CNG Refueling Station</t>
  </si>
  <si>
    <t>Construction activities occur sequentially on subsequent days, with the assumed schedules based on contractor experience.</t>
  </si>
  <si>
    <t xml:space="preserve"> VOC*</t>
  </si>
  <si>
    <t>Source:  CARB's MVEIG Program, 2000 (summer), non-enhanced I/M</t>
  </si>
  <si>
    <t>* Includes exhaust and evaporative running losses</t>
  </si>
  <si>
    <t xml:space="preserve"> CO*</t>
  </si>
  <si>
    <t xml:space="preserve"> VOC**</t>
  </si>
  <si>
    <t xml:space="preserve"> NOx*</t>
  </si>
  <si>
    <t>* After 720 minutes</t>
  </si>
  <si>
    <t>* Includes diurnal and resting losses</t>
  </si>
  <si>
    <t>CO</t>
  </si>
  <si>
    <t>VOC</t>
  </si>
  <si>
    <t>NOx</t>
  </si>
  <si>
    <t>Crane, 80 ton 250hp</t>
  </si>
  <si>
    <t>Units 1, 2, 3 &amp; 4</t>
  </si>
  <si>
    <r>
      <t>Total Emissions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per Equipment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(lb/day)</t>
    </r>
  </si>
  <si>
    <t>Total Emissions (tons/qtr)</t>
  </si>
  <si>
    <t>Emission per unit (lbs/qtr)</t>
  </si>
  <si>
    <t>Total Emissions (lbs/qtr)</t>
  </si>
  <si>
    <t xml:space="preserve">CO </t>
  </si>
  <si>
    <t>SOx</t>
  </si>
  <si>
    <t>ROC</t>
  </si>
  <si>
    <t>Crane, Manitowac, 350hp</t>
  </si>
  <si>
    <t>Fork Lift</t>
  </si>
  <si>
    <t>---</t>
  </si>
  <si>
    <t>Backhoe or Bobcat, 150hp</t>
  </si>
  <si>
    <t>Pickup 1, 150 hp</t>
  </si>
  <si>
    <t>Wacker 1, 15hp</t>
  </si>
  <si>
    <t>Welder 1, 35hp</t>
  </si>
  <si>
    <r>
      <t>Worker Transport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- total (lb/day)</t>
    </r>
  </si>
  <si>
    <t>Worker Transport - all four units</t>
  </si>
  <si>
    <t>Total Maximum Emissions (lb/day)</t>
  </si>
  <si>
    <t>Total Maximum Emissions</t>
  </si>
  <si>
    <t>SCAQMD Threshold Levels (t/qtr)</t>
  </si>
  <si>
    <r>
      <t>1</t>
    </r>
    <r>
      <rPr>
        <sz val="8"/>
        <rFont val="Arial"/>
        <family val="2"/>
      </rPr>
      <t xml:space="preserve"> Total Emissions are calculated from the emission in pounds per day per unit (from Calculation Spreadsheet) multiplied </t>
    </r>
  </si>
  <si>
    <t xml:space="preserve">   by the number of units of equipment.</t>
  </si>
  <si>
    <r>
      <t>2</t>
    </r>
    <r>
      <rPr>
        <sz val="8"/>
        <rFont val="Arial"/>
        <family val="0"/>
      </rPr>
      <t xml:space="preserve"> Worst case maximum miles per day is 1,200 (i.e. a round trip commute for a maximum of 40 workers, gasoline vehicles)</t>
    </r>
  </si>
  <si>
    <t xml:space="preserve">CONSTRUCTION EMISSION CALCULATIONS FOR INSTALLATION OF FOUR SCR UNITS            </t>
  </si>
  <si>
    <r>
      <t>Construction Equipment</t>
    </r>
    <r>
      <rPr>
        <b/>
        <vertAlign val="superscript"/>
        <sz val="7"/>
        <rFont val="Arial"/>
        <family val="2"/>
      </rPr>
      <t>3</t>
    </r>
  </si>
  <si>
    <r>
      <t>Fuel</t>
    </r>
    <r>
      <rPr>
        <b/>
        <vertAlign val="superscript"/>
        <sz val="7"/>
        <rFont val="Arial"/>
        <family val="2"/>
      </rPr>
      <t>2</t>
    </r>
  </si>
  <si>
    <t>Load/ Useage Factor %</t>
  </si>
  <si>
    <t>Hrs/ day</t>
  </si>
  <si>
    <r>
      <t>SCAQMD Emission Factor Category</t>
    </r>
    <r>
      <rPr>
        <b/>
        <vertAlign val="superscript"/>
        <sz val="7"/>
        <rFont val="Arial"/>
        <family val="2"/>
      </rPr>
      <t>1</t>
    </r>
  </si>
  <si>
    <r>
      <t>Emission Factor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>(pounds per HP hour)</t>
    </r>
  </si>
  <si>
    <r>
      <t>Emission Factor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>(pounds per hour)</t>
    </r>
  </si>
  <si>
    <t>Maximum Daily Emissions (lb/day)</t>
  </si>
  <si>
    <t>Maximum Quarterly Emissions (lb/quarter)</t>
  </si>
  <si>
    <t>Total Days in Operatn</t>
  </si>
  <si>
    <t>Operatn</t>
  </si>
  <si>
    <t>Crane, Manitowac 350hp</t>
  </si>
  <si>
    <t>D</t>
  </si>
  <si>
    <t>Cranes</t>
  </si>
  <si>
    <t xml:space="preserve">Fork Lift </t>
  </si>
  <si>
    <t>Fork Lift - 50 HP</t>
  </si>
  <si>
    <t>n/a</t>
  </si>
  <si>
    <t>Bobcat, 150hp</t>
  </si>
  <si>
    <t>Trctr/Lodr/Bckho</t>
  </si>
  <si>
    <t>Welders &lt;50hp</t>
  </si>
  <si>
    <t>Paving Equip, 2 strk</t>
  </si>
  <si>
    <r>
      <t>2</t>
    </r>
    <r>
      <rPr>
        <sz val="8"/>
        <rFont val="Arial"/>
        <family val="0"/>
      </rPr>
      <t xml:space="preserve"> Fuels used:  D=diesel, G=gasoline</t>
    </r>
  </si>
  <si>
    <r>
      <t>3</t>
    </r>
    <r>
      <rPr>
        <sz val="8"/>
        <rFont val="Arial"/>
        <family val="0"/>
      </rPr>
      <t xml:space="preserve"> Construction equipment listing and horsepower ratings were provided by the Construction Contractor (The Industrial Company)</t>
    </r>
  </si>
  <si>
    <t>Sample Emission Calculation:</t>
  </si>
  <si>
    <t>Item of Equipment</t>
  </si>
  <si>
    <t>= Crane, 350hp</t>
  </si>
  <si>
    <t>Pollutant</t>
  </si>
  <si>
    <t>= CO</t>
  </si>
  <si>
    <t>Total Daily Emission</t>
  </si>
  <si>
    <t xml:space="preserve">= SCAQMD Emission factor (pounds per HP hour) * HP rating * Load/Useage Factor * Hours per Day </t>
  </si>
  <si>
    <t>= 0.009 lb per HP hour * 350 HP * (50/100) * 10 hours per day</t>
  </si>
  <si>
    <t>= 15.75 lb/day</t>
  </si>
  <si>
    <t xml:space="preserve">  This calculation is based on the numbers given in the 1993 Alamitos EIR, prorated for 1,200 miles &amp; 40 workers  </t>
  </si>
  <si>
    <t>Calculation of Maximum Daily Emissions (lb/day) for Each Unit of Construction Equipment for the SCR Project</t>
  </si>
  <si>
    <t>CEQA Significance Thresholds</t>
  </si>
  <si>
    <r>
      <t xml:space="preserve">1 </t>
    </r>
    <r>
      <rPr>
        <sz val="8"/>
        <rFont val="Arial"/>
        <family val="2"/>
      </rPr>
      <t>SCAQMD CEQA Air Quality Handbook, Emission Factors, (Tables A9-8-A &amp; A9-8-B)</t>
    </r>
  </si>
  <si>
    <t>Construction Emission Calculations for Installatin of Four SCR Units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</si>
</sst>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6" fillId="33" borderId="17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0" fillId="0" borderId="17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0" fillId="34" borderId="17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0" fillId="35" borderId="17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2" fontId="6" fillId="35" borderId="11" xfId="0" applyNumberFormat="1" applyFont="1" applyFill="1" applyBorder="1" applyAlignment="1">
      <alignment horizontal="center"/>
    </xf>
    <xf numFmtId="2" fontId="6" fillId="35" borderId="12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6" fontId="6" fillId="0" borderId="16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 quotePrefix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2" fontId="7" fillId="36" borderId="0" xfId="0" applyNumberFormat="1" applyFont="1" applyFill="1" applyBorder="1" applyAlignment="1">
      <alignment horizontal="center"/>
    </xf>
    <xf numFmtId="2" fontId="7" fillId="36" borderId="17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37" borderId="10" xfId="0" applyFont="1" applyFill="1" applyBorder="1" applyAlignment="1">
      <alignment horizontal="left"/>
    </xf>
    <xf numFmtId="0" fontId="12" fillId="37" borderId="11" xfId="0" applyFont="1" applyFill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7" fillId="38" borderId="22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166" fontId="6" fillId="33" borderId="27" xfId="0" applyNumberFormat="1" applyFont="1" applyFill="1" applyBorder="1" applyAlignment="1">
      <alignment horizontal="center"/>
    </xf>
    <xf numFmtId="166" fontId="6" fillId="33" borderId="26" xfId="0" applyNumberFormat="1" applyFont="1" applyFill="1" applyBorder="1" applyAlignment="1">
      <alignment horizontal="center"/>
    </xf>
    <xf numFmtId="166" fontId="6" fillId="33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33" borderId="31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166" fontId="6" fillId="33" borderId="29" xfId="0" applyNumberFormat="1" applyFont="1" applyFill="1" applyBorder="1" applyAlignment="1">
      <alignment horizontal="center"/>
    </xf>
    <xf numFmtId="166" fontId="6" fillId="33" borderId="0" xfId="0" applyNumberFormat="1" applyFont="1" applyFill="1" applyBorder="1" applyAlignment="1">
      <alignment horizontal="center"/>
    </xf>
    <xf numFmtId="166" fontId="6" fillId="33" borderId="32" xfId="0" applyNumberFormat="1" applyFont="1" applyFill="1" applyBorder="1" applyAlignment="1">
      <alignment horizontal="center"/>
    </xf>
    <xf numFmtId="0" fontId="6" fillId="0" borderId="31" xfId="0" applyFont="1" applyFill="1" applyBorder="1" applyAlignment="1" quotePrefix="1">
      <alignment horizontal="left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 quotePrefix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32" xfId="0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66" fontId="6" fillId="0" borderId="32" xfId="0" applyNumberFormat="1" applyFont="1" applyFill="1" applyBorder="1" applyAlignment="1">
      <alignment horizontal="center"/>
    </xf>
    <xf numFmtId="0" fontId="6" fillId="34" borderId="31" xfId="0" applyFont="1" applyFill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166" fontId="6" fillId="34" borderId="29" xfId="0" applyNumberFormat="1" applyFont="1" applyFill="1" applyBorder="1" applyAlignment="1">
      <alignment horizontal="center"/>
    </xf>
    <xf numFmtId="166" fontId="6" fillId="34" borderId="0" xfId="0" applyNumberFormat="1" applyFont="1" applyFill="1" applyBorder="1" applyAlignment="1">
      <alignment horizontal="center"/>
    </xf>
    <xf numFmtId="166" fontId="6" fillId="34" borderId="32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35" borderId="31" xfId="0" applyFont="1" applyFill="1" applyBorder="1" applyAlignment="1">
      <alignment horizontal="left"/>
    </xf>
    <xf numFmtId="0" fontId="6" fillId="35" borderId="31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164" fontId="6" fillId="35" borderId="32" xfId="0" applyNumberFormat="1" applyFont="1" applyFill="1" applyBorder="1" applyAlignment="1">
      <alignment horizontal="center"/>
    </xf>
    <xf numFmtId="166" fontId="6" fillId="35" borderId="29" xfId="0" applyNumberFormat="1" applyFont="1" applyFill="1" applyBorder="1" applyAlignment="1">
      <alignment horizontal="center"/>
    </xf>
    <xf numFmtId="166" fontId="6" fillId="35" borderId="0" xfId="0" applyNumberFormat="1" applyFont="1" applyFill="1" applyBorder="1" applyAlignment="1">
      <alignment horizontal="center"/>
    </xf>
    <xf numFmtId="166" fontId="6" fillId="35" borderId="32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0" fontId="6" fillId="0" borderId="35" xfId="0" applyFont="1" applyFill="1" applyBorder="1" applyAlignment="1" quotePrefix="1">
      <alignment horizontal="center"/>
    </xf>
    <xf numFmtId="164" fontId="6" fillId="0" borderId="36" xfId="0" applyNumberFormat="1" applyFont="1" applyFill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0" fontId="19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2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wrapText="1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6" fontId="6" fillId="0" borderId="24" xfId="0" applyNumberFormat="1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>
      <alignment horizontal="center"/>
    </xf>
    <xf numFmtId="4" fontId="6" fillId="0" borderId="35" xfId="0" applyNumberFormat="1" applyFont="1" applyFill="1" applyBorder="1" applyAlignment="1">
      <alignment horizontal="center"/>
    </xf>
    <xf numFmtId="167" fontId="6" fillId="0" borderId="35" xfId="0" applyNumberFormat="1" applyFont="1" applyFill="1" applyBorder="1" applyAlignment="1">
      <alignment horizontal="center"/>
    </xf>
    <xf numFmtId="167" fontId="6" fillId="0" borderId="3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6" fillId="0" borderId="30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16" fillId="0" borderId="30" xfId="0" applyNumberFormat="1" applyFont="1" applyFill="1" applyBorder="1" applyAlignment="1">
      <alignment horizontal="left" vertical="center"/>
    </xf>
    <xf numFmtId="0" fontId="18" fillId="0" borderId="33" xfId="0" applyFont="1" applyBorder="1" applyAlignment="1">
      <alignment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AES/drafteir/ap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List &amp; Total Emission"/>
      <sheetName val="Calc Sheet"/>
    </sheetNames>
    <sheetDataSet>
      <sheetData sheetId="0">
        <row r="8">
          <cell r="B8">
            <v>1</v>
          </cell>
        </row>
        <row r="9">
          <cell r="B9">
            <v>3</v>
          </cell>
        </row>
        <row r="10">
          <cell r="B10">
            <v>1</v>
          </cell>
        </row>
        <row r="12">
          <cell r="B12">
            <v>1</v>
          </cell>
        </row>
        <row r="13">
          <cell r="B13">
            <v>2</v>
          </cell>
        </row>
      </sheetData>
      <sheetData sheetId="1">
        <row r="8">
          <cell r="P8">
            <v>15.75</v>
          </cell>
          <cell r="Q8">
            <v>5.25</v>
          </cell>
          <cell r="R8">
            <v>40.25</v>
          </cell>
          <cell r="S8">
            <v>3.5000000000000004</v>
          </cell>
          <cell r="T8">
            <v>2.625</v>
          </cell>
        </row>
        <row r="10">
          <cell r="P10">
            <v>1.26</v>
          </cell>
          <cell r="Q10">
            <v>0.37099999999999994</v>
          </cell>
          <cell r="R10">
            <v>3.0869999999999997</v>
          </cell>
          <cell r="S10" t="str">
            <v>---</v>
          </cell>
          <cell r="T10">
            <v>0.21699999999999997</v>
          </cell>
        </row>
        <row r="11">
          <cell r="P11">
            <v>11.25</v>
          </cell>
          <cell r="Q11">
            <v>2.25</v>
          </cell>
          <cell r="R11">
            <v>16.5</v>
          </cell>
          <cell r="S11">
            <v>1.5</v>
          </cell>
          <cell r="T11">
            <v>0.75</v>
          </cell>
        </row>
        <row r="12">
          <cell r="P12">
            <v>0.9</v>
          </cell>
          <cell r="Q12">
            <v>0.18000000000000002</v>
          </cell>
          <cell r="R12">
            <v>1.32</v>
          </cell>
          <cell r="T12">
            <v>0.06</v>
          </cell>
        </row>
        <row r="13">
          <cell r="P13">
            <v>2.6949999999999994</v>
          </cell>
          <cell r="Q13">
            <v>0.49</v>
          </cell>
          <cell r="R13">
            <v>4.409999999999999</v>
          </cell>
          <cell r="S13">
            <v>0.49</v>
          </cell>
          <cell r="T13">
            <v>0.245</v>
          </cell>
        </row>
        <row r="14">
          <cell r="P14">
            <v>0.44999999999999996</v>
          </cell>
          <cell r="Q14">
            <v>0.09</v>
          </cell>
          <cell r="R14">
            <v>1.08</v>
          </cell>
          <cell r="S14">
            <v>0.09</v>
          </cell>
          <cell r="T14">
            <v>0.045</v>
          </cell>
          <cell r="V14">
            <v>1.05</v>
          </cell>
          <cell r="W14">
            <v>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6384" width="7.8515625" style="2" customWidth="1"/>
  </cols>
  <sheetData>
    <row r="1" ht="15">
      <c r="A1" s="3" t="s">
        <v>141</v>
      </c>
    </row>
    <row r="3" ht="12.75">
      <c r="A3" s="2" t="s">
        <v>146</v>
      </c>
    </row>
    <row r="5" ht="12.75">
      <c r="A5" s="2" t="s">
        <v>130</v>
      </c>
    </row>
    <row r="7" ht="12.75">
      <c r="A7" s="2" t="s">
        <v>131</v>
      </c>
    </row>
    <row r="8" ht="12.75">
      <c r="A8" s="2" t="s">
        <v>132</v>
      </c>
    </row>
    <row r="9" ht="12.75">
      <c r="A9" s="2" t="s">
        <v>133</v>
      </c>
    </row>
    <row r="10" ht="12.75">
      <c r="A10" s="2" t="s">
        <v>134</v>
      </c>
    </row>
    <row r="11" ht="12.75">
      <c r="A11" s="2" t="s">
        <v>142</v>
      </c>
    </row>
    <row r="12" ht="12.75">
      <c r="A12" s="2" t="s">
        <v>135</v>
      </c>
    </row>
    <row r="13" ht="12.75">
      <c r="A13" s="2" t="s">
        <v>143</v>
      </c>
    </row>
    <row r="14" ht="12.75">
      <c r="A14" s="2" t="s">
        <v>145</v>
      </c>
    </row>
    <row r="16" ht="12.75">
      <c r="A16" s="2" t="s">
        <v>136</v>
      </c>
    </row>
    <row r="18" ht="12.75">
      <c r="A18" s="2" t="s">
        <v>192</v>
      </c>
    </row>
    <row r="19" ht="12.75">
      <c r="A19" s="2" t="s">
        <v>137</v>
      </c>
    </row>
    <row r="20" ht="12.75">
      <c r="A20" s="2" t="s">
        <v>138</v>
      </c>
    </row>
    <row r="21" ht="12.75">
      <c r="A21" s="2" t="s">
        <v>139</v>
      </c>
    </row>
    <row r="22" ht="12.75">
      <c r="A22" s="2" t="s">
        <v>140</v>
      </c>
    </row>
    <row r="23" ht="12.75">
      <c r="A23" s="2" t="s">
        <v>144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&amp;R&amp;"Times New Roman,Italic"Final EA - Appendix D</oddHeader>
    <oddFooter>&amp;L&amp;"Times New Roman,Italic"PAReg XX / PRs 1631, 1632, 1633, 2507
&amp;R&amp;"Times New Roman,Italic"May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zoomScalePageLayoutView="0" workbookViewId="0" topLeftCell="A1">
      <selection activeCell="C49" sqref="C49"/>
    </sheetView>
  </sheetViews>
  <sheetFormatPr defaultColWidth="7.8515625" defaultRowHeight="12.75"/>
  <cols>
    <col min="1" max="1" width="7.8515625" style="2" customWidth="1"/>
    <col min="2" max="2" width="23.57421875" style="2" bestFit="1" customWidth="1"/>
    <col min="3" max="3" width="31.28125" style="2" bestFit="1" customWidth="1"/>
    <col min="4" max="4" width="9.8515625" style="4" bestFit="1" customWidth="1"/>
    <col min="5" max="8" width="10.421875" style="4" bestFit="1" customWidth="1"/>
    <col min="9" max="9" width="10.28125" style="4" customWidth="1"/>
    <col min="10" max="10" width="10.00390625" style="4" customWidth="1"/>
    <col min="11" max="11" width="8.28125" style="4" customWidth="1"/>
    <col min="12" max="12" width="6.28125" style="4" customWidth="1"/>
    <col min="13" max="16384" width="7.8515625" style="2" customWidth="1"/>
  </cols>
  <sheetData>
    <row r="1" ht="15">
      <c r="A1" s="3" t="s">
        <v>189</v>
      </c>
    </row>
    <row r="3" spans="1:16" ht="12.75">
      <c r="A3" s="1" t="str">
        <f ca="1">IF(CELL("type",Combustion!M3)="b","",Combustion!M3)</f>
        <v>Construction Equipment Emissions</v>
      </c>
      <c r="D3" s="4">
        <f ca="1">IF(CELL("type",Combustion!O3)="b","",Combustion!O3)</f>
      </c>
      <c r="E3" s="4">
        <f ca="1">IF(CELL("type",Combustion!P3)="b","",Combustion!P3)</f>
      </c>
      <c r="F3" s="4">
        <f ca="1">IF(CELL("type",Combustion!Q3)="b","",Combustion!Q3)</f>
      </c>
      <c r="G3" s="4">
        <f ca="1">IF(CELL("type",Combustion!R3)="b","",Combustion!R3)</f>
      </c>
      <c r="H3" s="4">
        <f ca="1">IF(CELL("type",Combustion!S3)="b","",Combustion!S3)</f>
      </c>
      <c r="I3" s="4">
        <f ca="1">IF(CELL("type",Combustion!T3)="b","",Combustion!T3)</f>
      </c>
      <c r="J3" s="4">
        <f ca="1">IF(CELL("type",Combustion!U3)="b","",Combustion!U3)</f>
      </c>
      <c r="K3" s="2">
        <f ca="1">IF(CELL("type",Combustion!V3)="b","",Combustion!V3)</f>
      </c>
      <c r="L3" s="2">
        <f ca="1">IF(CELL("type",Combustion!W3)="b","",Combustion!W3)</f>
      </c>
      <c r="M3" s="2">
        <f ca="1">IF(CELL("type",Combustion!X3)="b","",Combustion!X3)</f>
      </c>
      <c r="N3" s="2">
        <f ca="1">IF(CELL("type",Combustion!Y3)="b","",Combustion!Y3)</f>
      </c>
      <c r="O3" s="2">
        <f ca="1">IF(CELL("type",Combustion!Z3)="b","",Combustion!Z3)</f>
      </c>
      <c r="P3" s="2">
        <f ca="1">IF(CELL("type",Combustion!AA3)="b","",Combustion!AA3)</f>
      </c>
    </row>
    <row r="4" spans="2:16" s="5" customFormat="1" ht="12.75">
      <c r="B4" s="2"/>
      <c r="C4" s="2"/>
      <c r="D4" s="6"/>
      <c r="E4" s="6"/>
      <c r="F4" s="6"/>
      <c r="G4" s="6"/>
      <c r="H4" s="6" t="s">
        <v>33</v>
      </c>
      <c r="I4" s="6" t="s">
        <v>96</v>
      </c>
      <c r="J4" s="5" t="s">
        <v>63</v>
      </c>
      <c r="K4" s="2"/>
      <c r="L4" s="2"/>
      <c r="M4" s="2"/>
      <c r="N4" s="2"/>
      <c r="O4" s="2"/>
      <c r="P4" s="2"/>
    </row>
    <row r="5" spans="1:16" s="5" customFormat="1" ht="12.75">
      <c r="A5" s="5" t="s">
        <v>173</v>
      </c>
      <c r="B5" s="1" t="str">
        <f ca="1">IF(CELL("type",Combustion!M4)="b","",Combustion!M4)</f>
        <v>Construction Activity</v>
      </c>
      <c r="C5" s="5" t="str">
        <f ca="1">IF(CELL("type",Combustion!N4)="b","",Combustion!N4)</f>
        <v>Equipment</v>
      </c>
      <c r="D5" s="6" t="str">
        <f ca="1">IF(CELL("type",Combustion!O4)="b","",Combustion!O4)</f>
        <v> CO</v>
      </c>
      <c r="E5" s="6" t="str">
        <f ca="1">IF(CELL("type",Combustion!P4)="b","",Combustion!P4)</f>
        <v>VOC </v>
      </c>
      <c r="F5" s="6" t="str">
        <f ca="1">IF(CELL("type",Combustion!Q4)="b","",Combustion!Q4)</f>
        <v> NOx</v>
      </c>
      <c r="G5" s="6" t="str">
        <f ca="1">IF(CELL("type",Combustion!R4)="b","",Combustion!R4)</f>
        <v> SOx</v>
      </c>
      <c r="H5" s="6" t="str">
        <f ca="1">IF(CELL("type",Combustion!S4)="b","",Combustion!S4)</f>
        <v> PM10</v>
      </c>
      <c r="I5" s="6" t="s">
        <v>1</v>
      </c>
      <c r="J5" s="5" t="s">
        <v>1</v>
      </c>
      <c r="K5" s="2">
        <f ca="1">IF(CELL("type",Combustion!V4)="b","",Combustion!V4)</f>
      </c>
      <c r="L5" s="2">
        <f ca="1">IF(CELL("type",Combustion!W4)="b","",Combustion!W4)</f>
      </c>
      <c r="M5" s="2">
        <f ca="1">IF(CELL("type",Combustion!X4)="b","",Combustion!X4)</f>
      </c>
      <c r="N5" s="2">
        <f ca="1">IF(CELL("type",Combustion!Y4)="b","",Combustion!Y4)</f>
      </c>
      <c r="O5" s="2">
        <f ca="1">IF(CELL("type",Combustion!Z4)="b","",Combustion!Z4)</f>
      </c>
      <c r="P5" s="2">
        <f ca="1">IF(CELL("type",Combustion!AA4)="b","",Combustion!AA4)</f>
      </c>
    </row>
    <row r="6" spans="2:16" ht="12.75">
      <c r="B6" s="2">
        <f ca="1">IF(CELL("type",Combustion!M5)="b","",Combustion!M5)</f>
      </c>
      <c r="C6" s="5" t="str">
        <f ca="1">IF(CELL("type",Combustion!N5)="b","",Combustion!N5)</f>
        <v>Type</v>
      </c>
      <c r="D6" s="7" t="str">
        <f ca="1">IF(CELL("type",Combustion!O5)="b","",Combustion!O5)</f>
        <v>lbs/day</v>
      </c>
      <c r="E6" s="7" t="str">
        <f ca="1">IF(CELL("type",Combustion!P5)="b","",Combustion!P5)</f>
        <v>lbs/day</v>
      </c>
      <c r="F6" s="7" t="str">
        <f ca="1">IF(CELL("type",Combustion!Q5)="b","",Combustion!Q5)</f>
        <v>lbs/day</v>
      </c>
      <c r="G6" s="7" t="str">
        <f ca="1">IF(CELL("type",Combustion!R5)="b","",Combustion!R5)</f>
        <v>lbs/day</v>
      </c>
      <c r="H6" s="7" t="str">
        <f ca="1">IF(CELL("type",Combustion!S5)="b","",Combustion!S5)</f>
        <v>lbs/day</v>
      </c>
      <c r="I6" s="7" t="s">
        <v>12</v>
      </c>
      <c r="J6" s="8" t="s">
        <v>97</v>
      </c>
      <c r="K6" s="2">
        <f ca="1">IF(CELL("type",Combustion!V5)="b","",Combustion!V5)</f>
      </c>
      <c r="L6" s="2">
        <f ca="1">IF(CELL("type",Combustion!W5)="b","",Combustion!W5)</f>
      </c>
      <c r="M6" s="2">
        <f ca="1">IF(CELL("type",Combustion!X5)="b","",Combustion!X5)</f>
      </c>
      <c r="N6" s="2">
        <f ca="1">IF(CELL("type",Combustion!Y5)="b","",Combustion!Y5)</f>
      </c>
      <c r="O6" s="2">
        <f ca="1">IF(CELL("type",Combustion!Z5)="b","",Combustion!Z5)</f>
      </c>
      <c r="P6" s="2">
        <f ca="1">IF(CELL("type",Combustion!AA5)="b","",Combustion!AA5)</f>
      </c>
    </row>
    <row r="7" spans="4:12" ht="12.75">
      <c r="D7" s="2"/>
      <c r="E7" s="2"/>
      <c r="F7" s="2"/>
      <c r="G7" s="2"/>
      <c r="H7" s="2"/>
      <c r="I7" s="2"/>
      <c r="J7" s="2"/>
      <c r="K7" s="2"/>
      <c r="L7" s="2"/>
    </row>
    <row r="8" spans="1:16" ht="12.75">
      <c r="A8" s="5" t="s">
        <v>163</v>
      </c>
      <c r="B8" s="1" t="str">
        <f ca="1">IF(CELL("type",Combustion!M6)="b","",Combustion!M6)</f>
        <v>Tank Excavation</v>
      </c>
      <c r="C8" s="2">
        <f ca="1">IF(CELL("type",Combustion!N6)="b","",Combustion!N6)</f>
      </c>
      <c r="D8" s="4">
        <f ca="1">IF(CELL("type",Combustion!O6)="b","",Combustion!O6)</f>
      </c>
      <c r="E8" s="4">
        <f ca="1">IF(CELL("type",Combustion!P6)="b","",Combustion!P6)</f>
      </c>
      <c r="F8" s="4">
        <f ca="1">IF(CELL("type",Combustion!Q6)="b","",Combustion!Q6)</f>
      </c>
      <c r="G8" s="4">
        <f ca="1">IF(CELL("type",Combustion!R6)="b","",Combustion!R6)</f>
      </c>
      <c r="H8" s="4">
        <f ca="1">IF(CELL("type",Combustion!S6)="b","",Combustion!S6)</f>
      </c>
      <c r="I8" s="4">
        <f ca="1">IF(CELL("type",Combustion!T6)="b","",Combustion!T6)</f>
      </c>
      <c r="J8" s="4">
        <f ca="1">IF(CELL("type",Combustion!U6)="b","",Combustion!U6)</f>
      </c>
      <c r="K8" s="2">
        <f ca="1">IF(CELL("type",Combustion!V6)="b","",Combustion!V6)</f>
      </c>
      <c r="L8" s="2">
        <f ca="1">IF(CELL("type",Combustion!W6)="b","",Combustion!W6)</f>
      </c>
      <c r="M8" s="2">
        <f ca="1">IF(CELL("type",Combustion!X6)="b","",Combustion!X6)</f>
      </c>
      <c r="N8" s="2">
        <f ca="1">IF(CELL("type",Combustion!Y6)="b","",Combustion!Y6)</f>
      </c>
      <c r="O8" s="2">
        <f ca="1">IF(CELL("type",Combustion!Z6)="b","",Combustion!Z6)</f>
      </c>
      <c r="P8" s="2">
        <f ca="1">IF(CELL("type",Combustion!AA6)="b","",Combustion!AA6)</f>
      </c>
    </row>
    <row r="9" spans="1:16" ht="12.75">
      <c r="A9" s="5"/>
      <c r="B9" s="2" t="str">
        <f ca="1">IF(CELL("type",Combustion!M7)="b","",Combustion!M7)</f>
        <v>Driveway Demolition</v>
      </c>
      <c r="C9" s="8" t="str">
        <f ca="1">IF(CELL("type",Combustion!N7)="b","",Combustion!N7)</f>
        <v>Backhoe</v>
      </c>
      <c r="D9" s="7">
        <f ca="1">IF(CELL("type",Combustion!O7)="b","",Combustion!O7)</f>
        <v>4.4082</v>
      </c>
      <c r="E9" s="7">
        <f ca="1">IF(CELL("type",Combustion!P7)="b","",Combustion!P7)</f>
        <v>0.88164</v>
      </c>
      <c r="F9" s="7">
        <f ca="1">IF(CELL("type",Combustion!Q7)="b","",Combustion!Q7)</f>
        <v>6.4653599999999996</v>
      </c>
      <c r="G9" s="7">
        <f ca="1">IF(CELL("type",Combustion!R7)="b","",Combustion!R7)</f>
        <v>0.58776</v>
      </c>
      <c r="H9" s="7">
        <f ca="1">IF(CELL("type",Combustion!S7)="b","",Combustion!S7)</f>
        <v>0.29388</v>
      </c>
      <c r="I9" s="7">
        <f>+'Fug. Dust'!D29</f>
        <v>0.0063</v>
      </c>
      <c r="J9" s="7">
        <f>H9+I9</f>
        <v>0.30018</v>
      </c>
      <c r="K9" s="2">
        <f ca="1">IF(CELL("type",Combustion!V7)="b","",Combustion!V7)</f>
      </c>
      <c r="L9" s="2">
        <f ca="1">IF(CELL("type",Combustion!W7)="b","",Combustion!W7)</f>
      </c>
      <c r="M9" s="2">
        <f ca="1">IF(CELL("type",Combustion!X7)="b","",Combustion!X7)</f>
      </c>
      <c r="N9" s="2">
        <f ca="1">IF(CELL("type",Combustion!Y7)="b","",Combustion!Y7)</f>
      </c>
      <c r="O9" s="2">
        <f ca="1">IF(CELL("type",Combustion!Z7)="b","",Combustion!Z7)</f>
      </c>
      <c r="P9" s="2">
        <f ca="1">IF(CELL("type",Combustion!AA7)="b","",Combustion!AA7)</f>
      </c>
    </row>
    <row r="10" spans="1:16" ht="12.75">
      <c r="A10" s="5"/>
      <c r="B10" s="2" t="str">
        <f ca="1">IF(CELL("type",Combustion!M8)="b","",Combustion!M8)</f>
        <v>Excavation</v>
      </c>
      <c r="C10" s="8" t="str">
        <f ca="1">IF(CELL("type",Combustion!N8)="b","",Combustion!N8)</f>
        <v>Backhoe</v>
      </c>
      <c r="D10" s="7">
        <f ca="1">IF(CELL("type",Combustion!O8)="b","",Combustion!O8)</f>
        <v>1.10205</v>
      </c>
      <c r="E10" s="7">
        <f ca="1">IF(CELL("type",Combustion!P8)="b","",Combustion!P8)</f>
        <v>0.22041</v>
      </c>
      <c r="F10" s="7">
        <f ca="1">IF(CELL("type",Combustion!Q8)="b","",Combustion!Q8)</f>
        <v>1.6163399999999999</v>
      </c>
      <c r="G10" s="7">
        <f ca="1">IF(CELL("type",Combustion!R8)="b","",Combustion!R8)</f>
        <v>0.14694</v>
      </c>
      <c r="H10" s="7">
        <f ca="1">IF(CELL("type",Combustion!S8)="b","",Combustion!S8)</f>
        <v>0.07347</v>
      </c>
      <c r="I10" s="7">
        <f>'Fug. Dust'!D35</f>
        <v>5.593690621687406E-07</v>
      </c>
      <c r="J10" s="7">
        <f>H10+I10</f>
        <v>0.07347055936906216</v>
      </c>
      <c r="K10" s="2">
        <f ca="1">IF(CELL("type",Combustion!V8)="b","",Combustion!V8)</f>
      </c>
      <c r="L10" s="2">
        <f ca="1">IF(CELL("type",Combustion!W8)="b","",Combustion!W8)</f>
      </c>
      <c r="M10" s="2">
        <f ca="1">IF(CELL("type",Combustion!X8)="b","",Combustion!X8)</f>
      </c>
      <c r="N10" s="2">
        <f ca="1">IF(CELL("type",Combustion!Y8)="b","",Combustion!Y8)</f>
      </c>
      <c r="O10" s="2">
        <f ca="1">IF(CELL("type",Combustion!Z8)="b","",Combustion!Z8)</f>
      </c>
      <c r="P10" s="2">
        <f ca="1">IF(CELL("type",Combustion!AA8)="b","",Combustion!AA8)</f>
      </c>
    </row>
    <row r="11" spans="1:16" ht="12.75">
      <c r="A11" s="5"/>
      <c r="B11" s="2" t="str">
        <f ca="1">IF(CELL("type",Combustion!M9)="b","",Combustion!M9)</f>
        <v>Concrete Removal</v>
      </c>
      <c r="C11" s="8" t="str">
        <f ca="1">IF(CELL("type",Combustion!N9)="b","",Combustion!N9)</f>
        <v>Backhoe</v>
      </c>
      <c r="D11" s="7">
        <f ca="1">IF(CELL("type",Combustion!O9)="b","",Combustion!O9)</f>
        <v>1.10205</v>
      </c>
      <c r="E11" s="7">
        <f ca="1">IF(CELL("type",Combustion!P9)="b","",Combustion!P9)</f>
        <v>0.22041</v>
      </c>
      <c r="F11" s="7">
        <f ca="1">IF(CELL("type",Combustion!Q9)="b","",Combustion!Q9)</f>
        <v>1.6163399999999999</v>
      </c>
      <c r="G11" s="7">
        <f ca="1">IF(CELL("type",Combustion!R9)="b","",Combustion!R9)</f>
        <v>0.14694</v>
      </c>
      <c r="H11" s="7">
        <f ca="1">IF(CELL("type",Combustion!S9)="b","",Combustion!S9)</f>
        <v>0.07347</v>
      </c>
      <c r="I11" s="7" t="s">
        <v>153</v>
      </c>
      <c r="J11" s="7">
        <f>H11</f>
        <v>0.07347</v>
      </c>
      <c r="K11" s="2">
        <f ca="1">IF(CELL("type",Combustion!V9)="b","",Combustion!V9)</f>
      </c>
      <c r="L11" s="2">
        <f ca="1">IF(CELL("type",Combustion!W9)="b","",Combustion!W9)</f>
      </c>
      <c r="M11" s="2">
        <f ca="1">IF(CELL("type",Combustion!X9)="b","",Combustion!X9)</f>
      </c>
      <c r="N11" s="2">
        <f ca="1">IF(CELL("type",Combustion!Y9)="b","",Combustion!Y9)</f>
      </c>
      <c r="O11" s="2">
        <f ca="1">IF(CELL("type",Combustion!Z9)="b","",Combustion!Z9)</f>
      </c>
      <c r="P11" s="2">
        <f ca="1">IF(CELL("type",Combustion!AA9)="b","",Combustion!AA9)</f>
      </c>
    </row>
    <row r="12" spans="1:16" ht="12.75">
      <c r="A12" s="5"/>
      <c r="B12" s="2">
        <f ca="1">IF(CELL("type",Combustion!M10)="b","",Combustion!M10)</f>
      </c>
      <c r="C12" s="9" t="s">
        <v>168</v>
      </c>
      <c r="D12" s="6">
        <f aca="true" t="shared" si="0" ref="D12:I12">SUM(D9:D11)</f>
        <v>6.6123</v>
      </c>
      <c r="E12" s="6">
        <f t="shared" si="0"/>
        <v>1.32246</v>
      </c>
      <c r="F12" s="6">
        <f t="shared" si="0"/>
        <v>9.698039999999999</v>
      </c>
      <c r="G12" s="6">
        <f t="shared" si="0"/>
        <v>0.8816399999999999</v>
      </c>
      <c r="H12" s="6">
        <f t="shared" si="0"/>
        <v>0.44081999999999993</v>
      </c>
      <c r="I12" s="6">
        <f t="shared" si="0"/>
        <v>0.006300559369062169</v>
      </c>
      <c r="J12" s="6">
        <f>SUM(J9:J11)</f>
        <v>0.44712055936906214</v>
      </c>
      <c r="K12" s="2">
        <f ca="1">IF(CELL("type",Combustion!V10)="b","",Combustion!V10)</f>
      </c>
      <c r="L12" s="2">
        <f ca="1">IF(CELL("type",Combustion!W10)="b","",Combustion!W10)</f>
      </c>
      <c r="M12" s="2">
        <f ca="1">IF(CELL("type",Combustion!X10)="b","",Combustion!X10)</f>
      </c>
      <c r="N12" s="2">
        <f ca="1">IF(CELL("type",Combustion!Y10)="b","",Combustion!Y10)</f>
      </c>
      <c r="O12" s="2">
        <f ca="1">IF(CELL("type",Combustion!Z10)="b","",Combustion!Z10)</f>
      </c>
      <c r="P12" s="2">
        <f ca="1">IF(CELL("type",Combustion!AA10)="b","",Combustion!AA10)</f>
      </c>
    </row>
    <row r="13" spans="1:16" ht="12.75">
      <c r="A13" s="5" t="s">
        <v>164</v>
      </c>
      <c r="B13" s="1" t="str">
        <f ca="1">IF(CELL("type",Combustion!M11)="b","",Combustion!M11)</f>
        <v>Tank Degassing</v>
      </c>
      <c r="C13" s="8">
        <f ca="1">IF(CELL("type",Combustion!N11)="b","",Combustion!N11)</f>
      </c>
      <c r="D13" s="7">
        <f ca="1">IF(CELL("type",Combustion!O11)="b","",Combustion!O11)</f>
      </c>
      <c r="E13" s="7">
        <f ca="1">IF(CELL("type",Combustion!P11)="b","",Combustion!P11)</f>
      </c>
      <c r="F13" s="7">
        <f ca="1">IF(CELL("type",Combustion!Q11)="b","",Combustion!Q11)</f>
      </c>
      <c r="G13" s="7">
        <f ca="1">IF(CELL("type",Combustion!R11)="b","",Combustion!R11)</f>
      </c>
      <c r="H13" s="7">
        <f ca="1">IF(CELL("type",Combustion!S11)="b","",Combustion!S11)</f>
      </c>
      <c r="I13" s="7">
        <f ca="1">IF(CELL("type",Combustion!T11)="b","",Combustion!T11)</f>
      </c>
      <c r="J13" s="7">
        <f ca="1">IF(CELL("type",Combustion!U11)="b","",Combustion!U11)</f>
      </c>
      <c r="K13" s="2">
        <f ca="1">IF(CELL("type",Combustion!V11)="b","",Combustion!V11)</f>
      </c>
      <c r="L13" s="2">
        <f ca="1">IF(CELL("type",Combustion!W11)="b","",Combustion!W11)</f>
      </c>
      <c r="M13" s="2">
        <f ca="1">IF(CELL("type",Combustion!X11)="b","",Combustion!X11)</f>
      </c>
      <c r="N13" s="2">
        <f ca="1">IF(CELL("type",Combustion!Y11)="b","",Combustion!Y11)</f>
      </c>
      <c r="O13" s="2">
        <f ca="1">IF(CELL("type",Combustion!Z11)="b","",Combustion!Z11)</f>
      </c>
      <c r="P13" s="2">
        <f ca="1">IF(CELL("type",Combustion!AA11)="b","",Combustion!AA11)</f>
      </c>
    </row>
    <row r="14" spans="1:16" ht="12.75">
      <c r="A14" s="5"/>
      <c r="B14" s="2" t="str">
        <f ca="1">IF(CELL("type",Combustion!M12)="b","",Combustion!M12)</f>
        <v>All</v>
      </c>
      <c r="C14" s="8" t="str">
        <f ca="1">IF(CELL("type",Combustion!N12)="b","",Combustion!N12)</f>
        <v>IC Engine</v>
      </c>
      <c r="D14" s="7">
        <f ca="1">IF(CELL("type",Combustion!O12)="b","",Combustion!O12)</f>
        <v>17.44</v>
      </c>
      <c r="E14" s="7">
        <f ca="1">IF(CELL("type",Combustion!P12)="b","",Combustion!P12)</f>
        <v>0.66</v>
      </c>
      <c r="F14" s="7">
        <f ca="1">IF(CELL("type",Combustion!Q12)="b","",Combustion!Q12)</f>
        <v>0.45999999999999996</v>
      </c>
      <c r="G14" s="7">
        <f ca="1">IF(CELL("type",Combustion!R12)="b","",Combustion!R12)</f>
        <v>0.02</v>
      </c>
      <c r="H14" s="7">
        <f ca="1">IF(CELL("type",Combustion!S12)="b","",Combustion!S12)</f>
        <v>0.02</v>
      </c>
      <c r="I14" s="7" t="s">
        <v>153</v>
      </c>
      <c r="J14" s="7">
        <f>H14</f>
        <v>0.02</v>
      </c>
      <c r="K14" s="2">
        <f ca="1">IF(CELL("type",Combustion!V12)="b","",Combustion!V12)</f>
      </c>
      <c r="L14" s="2">
        <f ca="1">IF(CELL("type",Combustion!W12)="b","",Combustion!W12)</f>
      </c>
      <c r="M14" s="2">
        <f ca="1">IF(CELL("type",Combustion!X12)="b","",Combustion!X12)</f>
      </c>
      <c r="N14" s="2">
        <f ca="1">IF(CELL("type",Combustion!Y12)="b","",Combustion!Y12)</f>
      </c>
      <c r="O14" s="2">
        <f ca="1">IF(CELL("type",Combustion!Z12)="b","",Combustion!Z12)</f>
      </c>
      <c r="P14" s="2">
        <f ca="1">IF(CELL("type",Combustion!AA12)="b","",Combustion!AA12)</f>
      </c>
    </row>
    <row r="15" spans="1:16" ht="12.75">
      <c r="A15" s="5"/>
      <c r="B15" s="2">
        <f ca="1">IF(CELL("type",Combustion!M13)="b","",Combustion!M13)</f>
      </c>
      <c r="C15" s="9" t="s">
        <v>169</v>
      </c>
      <c r="D15" s="6">
        <f aca="true" t="shared" si="1" ref="D15:I15">D14</f>
        <v>17.44</v>
      </c>
      <c r="E15" s="6">
        <f t="shared" si="1"/>
        <v>0.66</v>
      </c>
      <c r="F15" s="6">
        <f t="shared" si="1"/>
        <v>0.45999999999999996</v>
      </c>
      <c r="G15" s="6">
        <f t="shared" si="1"/>
        <v>0.02</v>
      </c>
      <c r="H15" s="6">
        <f t="shared" si="1"/>
        <v>0.02</v>
      </c>
      <c r="I15" s="6" t="str">
        <f t="shared" si="1"/>
        <v>negligible</v>
      </c>
      <c r="J15" s="6">
        <f>SUM(J14)</f>
        <v>0.02</v>
      </c>
      <c r="K15" s="2">
        <f ca="1">IF(CELL("type",Combustion!V13)="b","",Combustion!V13)</f>
      </c>
      <c r="L15" s="2">
        <f ca="1">IF(CELL("type",Combustion!W13)="b","",Combustion!W13)</f>
      </c>
      <c r="M15" s="2">
        <f ca="1">IF(CELL("type",Combustion!X13)="b","",Combustion!X13)</f>
      </c>
      <c r="N15" s="2">
        <f ca="1">IF(CELL("type",Combustion!Y13)="b","",Combustion!Y13)</f>
      </c>
      <c r="O15" s="2">
        <f ca="1">IF(CELL("type",Combustion!Z13)="b","",Combustion!Z13)</f>
      </c>
      <c r="P15" s="2">
        <f ca="1">IF(CELL("type",Combustion!AA13)="b","",Combustion!AA13)</f>
      </c>
    </row>
    <row r="16" spans="1:16" ht="12.75">
      <c r="A16" s="5" t="s">
        <v>165</v>
      </c>
      <c r="B16" s="1" t="str">
        <f ca="1">IF(CELL("type",Combustion!M14)="b","",Combustion!M14)</f>
        <v>Tank Removal</v>
      </c>
      <c r="C16" s="8">
        <f ca="1">IF(CELL("type",Combustion!N14)="b","",Combustion!N14)</f>
      </c>
      <c r="D16" s="7">
        <f ca="1">IF(CELL("type",Combustion!O14)="b","",Combustion!O14)</f>
      </c>
      <c r="E16" s="7">
        <f ca="1">IF(CELL("type",Combustion!P14)="b","",Combustion!P14)</f>
      </c>
      <c r="F16" s="7">
        <f ca="1">IF(CELL("type",Combustion!Q14)="b","",Combustion!Q14)</f>
      </c>
      <c r="G16" s="7">
        <f ca="1">IF(CELL("type",Combustion!R14)="b","",Combustion!R14)</f>
      </c>
      <c r="H16" s="7">
        <f ca="1">IF(CELL("type",Combustion!S14)="b","",Combustion!S14)</f>
      </c>
      <c r="I16" s="7">
        <f ca="1">IF(CELL("type",Combustion!T14)="b","",Combustion!T14)</f>
      </c>
      <c r="J16" s="7">
        <f ca="1">IF(CELL("type",Combustion!U14)="b","",Combustion!U14)</f>
      </c>
      <c r="K16" s="2">
        <f ca="1">IF(CELL("type",Combustion!V14)="b","",Combustion!V14)</f>
      </c>
      <c r="L16" s="2">
        <f ca="1">IF(CELL("type",Combustion!W14)="b","",Combustion!W14)</f>
      </c>
      <c r="M16" s="2">
        <f ca="1">IF(CELL("type",Combustion!X14)="b","",Combustion!X14)</f>
      </c>
      <c r="N16" s="2">
        <f ca="1">IF(CELL("type",Combustion!Y14)="b","",Combustion!Y14)</f>
      </c>
      <c r="O16" s="2">
        <f ca="1">IF(CELL("type",Combustion!Z14)="b","",Combustion!Z14)</f>
      </c>
      <c r="P16" s="2">
        <f ca="1">IF(CELL("type",Combustion!AA14)="b","",Combustion!AA14)</f>
      </c>
    </row>
    <row r="17" spans="1:16" ht="12.75">
      <c r="A17" s="5"/>
      <c r="B17" s="2" t="str">
        <f ca="1">IF(CELL("type",Combustion!M15)="b","",Combustion!M15)</f>
        <v>All</v>
      </c>
      <c r="C17" s="8" t="str">
        <f ca="1">IF(CELL("type",Combustion!N15)="b","",Combustion!N15)</f>
        <v>Backhoe</v>
      </c>
      <c r="D17" s="7">
        <f ca="1">IF(CELL("type",Combustion!O15)="b","",Combustion!O15)</f>
        <v>4.4082</v>
      </c>
      <c r="E17" s="7">
        <f ca="1">IF(CELL("type",Combustion!P15)="b","",Combustion!P15)</f>
        <v>0.88164</v>
      </c>
      <c r="F17" s="7">
        <f ca="1">IF(CELL("type",Combustion!Q15)="b","",Combustion!Q15)</f>
        <v>6.4653599999999996</v>
      </c>
      <c r="G17" s="7">
        <f ca="1">IF(CELL("type",Combustion!R15)="b","",Combustion!R15)</f>
        <v>0.58776</v>
      </c>
      <c r="H17" s="7">
        <f ca="1">IF(CELL("type",Combustion!S15)="b","",Combustion!S15)</f>
        <v>0.29388</v>
      </c>
      <c r="I17" s="7">
        <f>'Fug. Dust'!D36</f>
        <v>1.3984226554218518E-06</v>
      </c>
      <c r="J17" s="7">
        <f>H17+I17</f>
        <v>0.29388139842265537</v>
      </c>
      <c r="K17" s="2">
        <f ca="1">IF(CELL("type",Combustion!V15)="b","",Combustion!V15)</f>
      </c>
      <c r="L17" s="2">
        <f ca="1">IF(CELL("type",Combustion!W15)="b","",Combustion!W15)</f>
      </c>
      <c r="M17" s="2">
        <f ca="1">IF(CELL("type",Combustion!X15)="b","",Combustion!X15)</f>
      </c>
      <c r="N17" s="2">
        <f ca="1">IF(CELL("type",Combustion!Y15)="b","",Combustion!Y15)</f>
      </c>
      <c r="O17" s="2">
        <f ca="1">IF(CELL("type",Combustion!Z15)="b","",Combustion!Z15)</f>
      </c>
      <c r="P17" s="2">
        <f ca="1">IF(CELL("type",Combustion!AA15)="b","",Combustion!AA15)</f>
      </c>
    </row>
    <row r="18" spans="1:16" ht="12.75">
      <c r="A18" s="5"/>
      <c r="B18" s="2">
        <f ca="1">IF(CELL("type",Combustion!M16)="b","",Combustion!M16)</f>
      </c>
      <c r="C18" s="9" t="s">
        <v>170</v>
      </c>
      <c r="D18" s="6">
        <f aca="true" t="shared" si="2" ref="D18:I18">D17</f>
        <v>4.4082</v>
      </c>
      <c r="E18" s="6">
        <f t="shared" si="2"/>
        <v>0.88164</v>
      </c>
      <c r="F18" s="6">
        <f t="shared" si="2"/>
        <v>6.4653599999999996</v>
      </c>
      <c r="G18" s="6">
        <f t="shared" si="2"/>
        <v>0.58776</v>
      </c>
      <c r="H18" s="6">
        <f t="shared" si="2"/>
        <v>0.29388</v>
      </c>
      <c r="I18" s="6">
        <f t="shared" si="2"/>
        <v>1.3984226554218518E-06</v>
      </c>
      <c r="J18" s="6">
        <f>SUM(J17)</f>
        <v>0.29388139842265537</v>
      </c>
      <c r="K18" s="2">
        <f ca="1">IF(CELL("type",Combustion!V16)="b","",Combustion!V16)</f>
      </c>
      <c r="L18" s="2">
        <f ca="1">IF(CELL("type",Combustion!W16)="b","",Combustion!W16)</f>
      </c>
      <c r="M18" s="2">
        <f ca="1">IF(CELL("type",Combustion!X16)="b","",Combustion!X16)</f>
      </c>
      <c r="N18" s="2">
        <f ca="1">IF(CELL("type",Combustion!Y16)="b","",Combustion!Y16)</f>
      </c>
      <c r="O18" s="2">
        <f ca="1">IF(CELL("type",Combustion!Z16)="b","",Combustion!Z16)</f>
      </c>
      <c r="P18" s="2">
        <f ca="1">IF(CELL("type",Combustion!AA16)="b","",Combustion!AA16)</f>
      </c>
    </row>
    <row r="19" spans="1:16" ht="12.75">
      <c r="A19" s="5" t="s">
        <v>166</v>
      </c>
      <c r="B19" s="1" t="str">
        <f ca="1">IF(CELL("type",Combustion!M17)="b","",Combustion!M17)</f>
        <v>Backfill and Grading</v>
      </c>
      <c r="C19" s="8">
        <f ca="1">IF(CELL("type",Combustion!N17)="b","",Combustion!N17)</f>
      </c>
      <c r="D19" s="7">
        <f ca="1">IF(CELL("type",Combustion!O17)="b","",Combustion!O17)</f>
      </c>
      <c r="E19" s="7">
        <f ca="1">IF(CELL("type",Combustion!P17)="b","",Combustion!P17)</f>
      </c>
      <c r="F19" s="7">
        <f ca="1">IF(CELL("type",Combustion!Q17)="b","",Combustion!Q17)</f>
      </c>
      <c r="G19" s="7">
        <f ca="1">IF(CELL("type",Combustion!R17)="b","",Combustion!R17)</f>
      </c>
      <c r="H19" s="7">
        <f ca="1">IF(CELL("type",Combustion!S17)="b","",Combustion!S17)</f>
      </c>
      <c r="I19" s="7">
        <f ca="1">IF(CELL("type",Combustion!T17)="b","",Combustion!T17)</f>
      </c>
      <c r="J19" s="7">
        <f ca="1">IF(CELL("type",Combustion!U17)="b","",Combustion!U17)</f>
      </c>
      <c r="K19" s="2">
        <f ca="1">IF(CELL("type",Combustion!V17)="b","",Combustion!V17)</f>
      </c>
      <c r="L19" s="2">
        <f ca="1">IF(CELL("type",Combustion!W17)="b","",Combustion!W17)</f>
      </c>
      <c r="M19" s="2">
        <f ca="1">IF(CELL("type",Combustion!X17)="b","",Combustion!X17)</f>
      </c>
      <c r="N19" s="2">
        <f ca="1">IF(CELL("type",Combustion!Y17)="b","",Combustion!Y17)</f>
      </c>
      <c r="O19" s="2">
        <f ca="1">IF(CELL("type",Combustion!Z17)="b","",Combustion!Z17)</f>
      </c>
      <c r="P19" s="2">
        <f ca="1">IF(CELL("type",Combustion!AA17)="b","",Combustion!AA17)</f>
      </c>
    </row>
    <row r="20" spans="1:16" ht="12.75">
      <c r="A20" s="5"/>
      <c r="B20" s="2" t="str">
        <f ca="1">IF(CELL("type",Combustion!M18)="b","",Combustion!M18)</f>
        <v>All</v>
      </c>
      <c r="C20" s="8" t="str">
        <f ca="1">IF(CELL("type",Combustion!N18)="b","",Combustion!N18)</f>
        <v>Backhoe</v>
      </c>
      <c r="D20" s="7">
        <f ca="1">IF(CELL("type",Combustion!O18)="b","",Combustion!O18)</f>
        <v>4.4082</v>
      </c>
      <c r="E20" s="7">
        <f ca="1">IF(CELL("type",Combustion!P18)="b","",Combustion!P18)</f>
        <v>0.88164</v>
      </c>
      <c r="F20" s="7">
        <f ca="1">IF(CELL("type",Combustion!Q18)="b","",Combustion!Q18)</f>
        <v>6.4653599999999996</v>
      </c>
      <c r="G20" s="7">
        <f ca="1">IF(CELL("type",Combustion!R18)="b","",Combustion!R18)</f>
        <v>0.58776</v>
      </c>
      <c r="H20" s="7">
        <f ca="1">IF(CELL("type",Combustion!S18)="b","",Combustion!S18)</f>
        <v>0.29388</v>
      </c>
      <c r="I20" s="7">
        <f>'Fug. Dust'!D37</f>
        <v>2.330704425703086E-07</v>
      </c>
      <c r="J20" s="7">
        <f>H20+I20</f>
        <v>0.29388023307044253</v>
      </c>
      <c r="K20" s="2">
        <f ca="1">IF(CELL("type",Combustion!V18)="b","",Combustion!V18)</f>
      </c>
      <c r="L20" s="2">
        <f ca="1">IF(CELL("type",Combustion!W18)="b","",Combustion!W18)</f>
      </c>
      <c r="M20" s="2">
        <f ca="1">IF(CELL("type",Combustion!X18)="b","",Combustion!X18)</f>
      </c>
      <c r="N20" s="2">
        <f ca="1">IF(CELL("type",Combustion!Y18)="b","",Combustion!Y18)</f>
      </c>
      <c r="O20" s="2">
        <f ca="1">IF(CELL("type",Combustion!Z18)="b","",Combustion!Z18)</f>
      </c>
      <c r="P20" s="2">
        <f ca="1">IF(CELL("type",Combustion!AA18)="b","",Combustion!AA18)</f>
      </c>
    </row>
    <row r="21" spans="1:12" ht="12.75">
      <c r="A21" s="5"/>
      <c r="C21" s="8" t="str">
        <f>+'Fug. Dust'!B30</f>
        <v>Stock Pile</v>
      </c>
      <c r="D21" s="7" t="s">
        <v>29</v>
      </c>
      <c r="E21" s="7" t="s">
        <v>29</v>
      </c>
      <c r="F21" s="7" t="s">
        <v>29</v>
      </c>
      <c r="G21" s="7" t="s">
        <v>29</v>
      </c>
      <c r="H21" s="7" t="s">
        <v>29</v>
      </c>
      <c r="I21" s="7">
        <f>+'Fug. Dust'!D30</f>
        <v>0.006405770145035136</v>
      </c>
      <c r="J21" s="7">
        <f>I21</f>
        <v>0.006405770145035136</v>
      </c>
      <c r="K21" s="2"/>
      <c r="L21" s="2"/>
    </row>
    <row r="22" spans="1:16" ht="12.75">
      <c r="A22" s="5"/>
      <c r="B22" s="2">
        <f ca="1">IF(CELL("type",Combustion!M19)="b","",Combustion!M19)</f>
      </c>
      <c r="C22" s="9" t="s">
        <v>171</v>
      </c>
      <c r="D22" s="6">
        <f aca="true" t="shared" si="3" ref="D22:I22">SUM(D20:D21)</f>
        <v>4.4082</v>
      </c>
      <c r="E22" s="6">
        <f t="shared" si="3"/>
        <v>0.88164</v>
      </c>
      <c r="F22" s="6">
        <f t="shared" si="3"/>
        <v>6.4653599999999996</v>
      </c>
      <c r="G22" s="6">
        <f t="shared" si="3"/>
        <v>0.58776</v>
      </c>
      <c r="H22" s="6">
        <f t="shared" si="3"/>
        <v>0.29388</v>
      </c>
      <c r="I22" s="6">
        <f t="shared" si="3"/>
        <v>0.006406003215477706</v>
      </c>
      <c r="J22" s="6">
        <f>SUM(J20:J21)</f>
        <v>0.30028600321547766</v>
      </c>
      <c r="K22" s="2">
        <f ca="1">IF(CELL("type",Combustion!V19)="b","",Combustion!V19)</f>
      </c>
      <c r="L22" s="2">
        <f ca="1">IF(CELL("type",Combustion!W19)="b","",Combustion!W19)</f>
      </c>
      <c r="M22" s="2">
        <f ca="1">IF(CELL("type",Combustion!X19)="b","",Combustion!X19)</f>
      </c>
      <c r="N22" s="2">
        <f ca="1">IF(CELL("type",Combustion!Y19)="b","",Combustion!Y19)</f>
      </c>
      <c r="O22" s="2">
        <f ca="1">IF(CELL("type",Combustion!Z19)="b","",Combustion!Z19)</f>
      </c>
      <c r="P22" s="2">
        <f ca="1">IF(CELL("type",Combustion!AA19)="b","",Combustion!AA19)</f>
      </c>
    </row>
    <row r="23" spans="1:16" ht="12.75">
      <c r="A23" s="5" t="s">
        <v>167</v>
      </c>
      <c r="B23" s="1" t="str">
        <f ca="1">IF(CELL("type",Combustion!M20)="b","",Combustion!M20)</f>
        <v>Paving</v>
      </c>
      <c r="C23" s="8">
        <f ca="1">IF(CELL("type",Combustion!N20)="b","",Combustion!N20)</f>
      </c>
      <c r="D23" s="7">
        <f ca="1">IF(CELL("type",Combustion!O20)="b","",Combustion!O20)</f>
      </c>
      <c r="E23" s="7">
        <f ca="1">IF(CELL("type",Combustion!P20)="b","",Combustion!P20)</f>
      </c>
      <c r="F23" s="7">
        <f ca="1">IF(CELL("type",Combustion!Q20)="b","",Combustion!Q20)</f>
      </c>
      <c r="G23" s="7">
        <f ca="1">IF(CELL("type",Combustion!R20)="b","",Combustion!R20)</f>
      </c>
      <c r="H23" s="7">
        <f ca="1">IF(CELL("type",Combustion!S20)="b","",Combustion!S20)</f>
      </c>
      <c r="I23" s="7">
        <f ca="1">IF(CELL("type",Combustion!T20)="b","",Combustion!T20)</f>
      </c>
      <c r="J23" s="7">
        <f ca="1">IF(CELL("type",Combustion!U20)="b","",Combustion!U20)</f>
      </c>
      <c r="K23" s="2">
        <f ca="1">IF(CELL("type",Combustion!V20)="b","",Combustion!V20)</f>
      </c>
      <c r="L23" s="2">
        <f ca="1">IF(CELL("type",Combustion!W20)="b","",Combustion!W20)</f>
      </c>
      <c r="M23" s="2">
        <f ca="1">IF(CELL("type",Combustion!X20)="b","",Combustion!X20)</f>
      </c>
      <c r="N23" s="2">
        <f ca="1">IF(CELL("type",Combustion!Y20)="b","",Combustion!Y20)</f>
      </c>
      <c r="O23" s="2">
        <f ca="1">IF(CELL("type",Combustion!Z20)="b","",Combustion!Z20)</f>
      </c>
      <c r="P23" s="2">
        <f ca="1">IF(CELL("type",Combustion!AA20)="b","",Combustion!AA20)</f>
      </c>
    </row>
    <row r="24" spans="2:16" ht="12.75">
      <c r="B24" s="2" t="str">
        <f ca="1">IF(CELL("type",Combustion!M21)="b","",Combustion!M21)</f>
        <v>All</v>
      </c>
      <c r="C24" s="8" t="str">
        <f ca="1">IF(CELL("type",Combustion!N21)="b","",Combustion!N21)</f>
        <v>Cement Truck</v>
      </c>
      <c r="D24" s="7">
        <f ca="1">IF(CELL("type",Combustion!O21)="b","",Combustion!O21)</f>
        <v>7.9856</v>
      </c>
      <c r="E24" s="7">
        <f ca="1">IF(CELL("type",Combustion!P21)="b","",Combustion!P21)</f>
        <v>1.19784</v>
      </c>
      <c r="F24" s="7">
        <f ca="1">IF(CELL("type",Combustion!Q21)="b","",Combustion!Q21)</f>
        <v>9.58272</v>
      </c>
      <c r="G24" s="7">
        <f ca="1">IF(CELL("type",Combustion!R21)="b","",Combustion!R21)</f>
        <v>0.7985599999999999</v>
      </c>
      <c r="H24" s="7">
        <f ca="1">IF(CELL("type",Combustion!S21)="b","",Combustion!S21)</f>
        <v>0.59892</v>
      </c>
      <c r="I24" s="7" t="s">
        <v>153</v>
      </c>
      <c r="J24" s="7">
        <f>H24</f>
        <v>0.59892</v>
      </c>
      <c r="K24" s="2">
        <f ca="1">IF(CELL("type",Combustion!V21)="b","",Combustion!V21)</f>
      </c>
      <c r="L24" s="2">
        <f ca="1">IF(CELL("type",Combustion!W21)="b","",Combustion!W21)</f>
      </c>
      <c r="M24" s="2">
        <f ca="1">IF(CELL("type",Combustion!X21)="b","",Combustion!X21)</f>
      </c>
      <c r="N24" s="2">
        <f ca="1">IF(CELL("type",Combustion!Y21)="b","",Combustion!Y21)</f>
      </c>
      <c r="O24" s="2">
        <f ca="1">IF(CELL("type",Combustion!Z21)="b","",Combustion!Z21)</f>
      </c>
      <c r="P24" s="2">
        <f ca="1">IF(CELL("type",Combustion!AA21)="b","",Combustion!AA21)</f>
      </c>
    </row>
    <row r="25" spans="2:16" ht="12.75">
      <c r="B25" s="2">
        <f ca="1">IF(CELL("type",Combustion!M22)="b","",Combustion!M22)</f>
      </c>
      <c r="C25" s="9" t="s">
        <v>172</v>
      </c>
      <c r="D25" s="6">
        <f aca="true" t="shared" si="4" ref="D25:I25">D24</f>
        <v>7.9856</v>
      </c>
      <c r="E25" s="6">
        <f t="shared" si="4"/>
        <v>1.19784</v>
      </c>
      <c r="F25" s="6">
        <f t="shared" si="4"/>
        <v>9.58272</v>
      </c>
      <c r="G25" s="6">
        <f t="shared" si="4"/>
        <v>0.7985599999999999</v>
      </c>
      <c r="H25" s="6">
        <f t="shared" si="4"/>
        <v>0.59892</v>
      </c>
      <c r="I25" s="6" t="str">
        <f t="shared" si="4"/>
        <v>negligible</v>
      </c>
      <c r="J25" s="6">
        <f>SUM(J24)</f>
        <v>0.59892</v>
      </c>
      <c r="K25" s="2">
        <f ca="1">IF(CELL("type",Combustion!V22)="b","",Combustion!V22)</f>
      </c>
      <c r="L25" s="2">
        <f ca="1">IF(CELL("type",Combustion!W22)="b","",Combustion!W22)</f>
      </c>
      <c r="M25" s="2">
        <f ca="1">IF(CELL("type",Combustion!X22)="b","",Combustion!X22)</f>
      </c>
      <c r="N25" s="2">
        <f ca="1">IF(CELL("type",Combustion!Y22)="b","",Combustion!Y22)</f>
      </c>
      <c r="O25" s="2">
        <f ca="1">IF(CELL("type",Combustion!Z22)="b","",Combustion!Z22)</f>
      </c>
      <c r="P25" s="2">
        <f ca="1">IF(CELL("type",Combustion!AA22)="b","",Combustion!AA22)</f>
      </c>
    </row>
    <row r="26" spans="1:16" ht="12.75">
      <c r="A26" s="5" t="s">
        <v>178</v>
      </c>
      <c r="B26" s="1" t="str">
        <f ca="1">IF(CELL("type",Combustion!M23)="b","",Combustion!M23)</f>
        <v>CNG System Installation</v>
      </c>
      <c r="C26" s="8">
        <f ca="1">IF(CELL("type",Combustion!N23)="b","",Combustion!N23)</f>
      </c>
      <c r="D26" s="7">
        <f ca="1">IF(CELL("type",Combustion!O23)="b","",Combustion!O23)</f>
      </c>
      <c r="E26" s="7">
        <f ca="1">IF(CELL("type",Combustion!P23)="b","",Combustion!P23)</f>
      </c>
      <c r="F26" s="7">
        <f ca="1">IF(CELL("type",Combustion!Q23)="b","",Combustion!Q23)</f>
      </c>
      <c r="G26" s="7">
        <f ca="1">IF(CELL("type",Combustion!R23)="b","",Combustion!R23)</f>
      </c>
      <c r="H26" s="7">
        <f ca="1">IF(CELL("type",Combustion!S23)="b","",Combustion!S23)</f>
      </c>
      <c r="I26" s="7">
        <f ca="1">IF(CELL("type",Combustion!T23)="b","",Combustion!T23)</f>
      </c>
      <c r="J26" s="7">
        <f ca="1">IF(CELL("type",Combustion!U23)="b","",Combustion!U23)</f>
      </c>
      <c r="K26" s="2">
        <f ca="1">IF(CELL("type",Combustion!V23)="b","",Combustion!V23)</f>
      </c>
      <c r="L26" s="2">
        <f ca="1">IF(CELL("type",Combustion!W23)="b","",Combustion!W23)</f>
      </c>
      <c r="M26" s="2">
        <f ca="1">IF(CELL("type",Combustion!X23)="b","",Combustion!X23)</f>
      </c>
      <c r="N26" s="2">
        <f ca="1">IF(CELL("type",Combustion!Y23)="b","",Combustion!Y23)</f>
      </c>
      <c r="O26" s="2">
        <f ca="1">IF(CELL("type",Combustion!Z23)="b","",Combustion!Z23)</f>
      </c>
      <c r="P26" s="2">
        <f ca="1">IF(CELL("type",Combustion!AA23)="b","",Combustion!AA23)</f>
      </c>
    </row>
    <row r="27" spans="1:16" ht="12.75">
      <c r="A27" s="5" t="s">
        <v>174</v>
      </c>
      <c r="B27" s="2" t="str">
        <f ca="1">IF(CELL("type",Combustion!M24)="b","",Combustion!M24)</f>
        <v>Excavation for Gas Delivery Line</v>
      </c>
      <c r="C27" s="8" t="str">
        <f ca="1">IF(CELL("type",Combustion!N24)="b","",Combustion!N24)</f>
        <v>Backhoe</v>
      </c>
      <c r="D27" s="7">
        <f ca="1">IF(CELL("type",Combustion!O24)="b","",Combustion!O24)</f>
        <v>4.4082</v>
      </c>
      <c r="E27" s="7">
        <f ca="1">IF(CELL("type",Combustion!P24)="b","",Combustion!P24)</f>
        <v>0.88164</v>
      </c>
      <c r="F27" s="7">
        <f ca="1">IF(CELL("type",Combustion!Q24)="b","",Combustion!Q24)</f>
        <v>6.4653599999999996</v>
      </c>
      <c r="G27" s="7">
        <f ca="1">IF(CELL("type",Combustion!R24)="b","",Combustion!R24)</f>
        <v>0.58776</v>
      </c>
      <c r="H27" s="7">
        <f ca="1">IF(CELL("type",Combustion!S24)="b","",Combustion!S24)</f>
        <v>0.29388</v>
      </c>
      <c r="I27" s="7">
        <f>'Fug. Dust'!D38</f>
        <v>6.215211801874896E-07</v>
      </c>
      <c r="J27" s="7">
        <f>H27+I27</f>
        <v>0.29388062152118016</v>
      </c>
      <c r="K27" s="2">
        <f ca="1">IF(CELL("type",Combustion!V24)="b","",Combustion!V24)</f>
      </c>
      <c r="L27" s="2">
        <f ca="1">IF(CELL("type",Combustion!W24)="b","",Combustion!W24)</f>
      </c>
      <c r="M27" s="2">
        <f ca="1">IF(CELL("type",Combustion!X24)="b","",Combustion!X24)</f>
      </c>
      <c r="N27" s="2">
        <f ca="1">IF(CELL("type",Combustion!Y24)="b","",Combustion!Y24)</f>
      </c>
      <c r="O27" s="2">
        <f ca="1">IF(CELL("type",Combustion!Z24)="b","",Combustion!Z24)</f>
      </c>
      <c r="P27" s="2">
        <f ca="1">IF(CELL("type",Combustion!AA24)="b","",Combustion!AA24)</f>
      </c>
    </row>
    <row r="28" spans="1:16" ht="12.75">
      <c r="A28" s="5" t="s">
        <v>175</v>
      </c>
      <c r="B28" s="2" t="str">
        <f ca="1">IF(CELL("type",Combustion!M25)="b","",Combustion!M25)</f>
        <v>Backfill Delivery Line</v>
      </c>
      <c r="C28" s="8" t="str">
        <f ca="1">IF(CELL("type",Combustion!N25)="b","",Combustion!N25)</f>
        <v>Backhoe</v>
      </c>
      <c r="D28" s="7">
        <f ca="1">IF(CELL("type",Combustion!O25)="b","",Combustion!O25)</f>
        <v>4.4082</v>
      </c>
      <c r="E28" s="7">
        <f ca="1">IF(CELL("type",Combustion!P25)="b","",Combustion!P25)</f>
        <v>0.88164</v>
      </c>
      <c r="F28" s="7">
        <f ca="1">IF(CELL("type",Combustion!Q25)="b","",Combustion!Q25)</f>
        <v>6.4653599999999996</v>
      </c>
      <c r="G28" s="7">
        <f ca="1">IF(CELL("type",Combustion!R25)="b","",Combustion!R25)</f>
        <v>0.58776</v>
      </c>
      <c r="H28" s="7">
        <f ca="1">IF(CELL("type",Combustion!S25)="b","",Combustion!S25)</f>
        <v>0.29388</v>
      </c>
      <c r="I28" s="7">
        <f>'Fug. Dust'!D39</f>
        <v>6.215211801874896E-07</v>
      </c>
      <c r="J28" s="7">
        <f>H28+I28</f>
        <v>0.29388062152118016</v>
      </c>
      <c r="K28" s="2">
        <f ca="1">IF(CELL("type",Combustion!V25)="b","",Combustion!V25)</f>
      </c>
      <c r="L28" s="2">
        <f ca="1">IF(CELL("type",Combustion!W25)="b","",Combustion!W25)</f>
      </c>
      <c r="M28" s="2">
        <f ca="1">IF(CELL("type",Combustion!X25)="b","",Combustion!X25)</f>
      </c>
      <c r="N28" s="2">
        <f ca="1">IF(CELL("type",Combustion!Y25)="b","",Combustion!Y25)</f>
      </c>
      <c r="O28" s="2">
        <f ca="1">IF(CELL("type",Combustion!Z25)="b","",Combustion!Z25)</f>
      </c>
      <c r="P28" s="2">
        <f ca="1">IF(CELL("type",Combustion!AA25)="b","",Combustion!AA25)</f>
      </c>
    </row>
    <row r="29" spans="1:16" ht="12.75">
      <c r="A29" s="5" t="s">
        <v>176</v>
      </c>
      <c r="B29" s="2" t="str">
        <f ca="1">IF(CELL("type",Combustion!M26)="b","",Combustion!M26)</f>
        <v>Repave Delivery Line Run</v>
      </c>
      <c r="C29" s="8" t="str">
        <f ca="1">IF(CELL("type",Combustion!N26)="b","",Combustion!N26)</f>
        <v>Cement Truck</v>
      </c>
      <c r="D29" s="7">
        <f ca="1">IF(CELL("type",Combustion!O26)="b","",Combustion!O26)</f>
        <v>15.9712</v>
      </c>
      <c r="E29" s="7">
        <f ca="1">IF(CELL("type",Combustion!P26)="b","",Combustion!P26)</f>
        <v>2.39568</v>
      </c>
      <c r="F29" s="7">
        <f ca="1">IF(CELL("type",Combustion!Q26)="b","",Combustion!Q26)</f>
        <v>19.16544</v>
      </c>
      <c r="G29" s="7">
        <f ca="1">IF(CELL("type",Combustion!R26)="b","",Combustion!R26)</f>
        <v>1.5971199999999999</v>
      </c>
      <c r="H29" s="7">
        <f ca="1">IF(CELL("type",Combustion!S26)="b","",Combustion!S26)</f>
        <v>1.19784</v>
      </c>
      <c r="I29" s="7" t="s">
        <v>153</v>
      </c>
      <c r="J29" s="7">
        <f>H29</f>
        <v>1.19784</v>
      </c>
      <c r="K29" s="2">
        <f ca="1">IF(CELL("type",Combustion!V26)="b","",Combustion!V26)</f>
      </c>
      <c r="L29" s="2">
        <f ca="1">IF(CELL("type",Combustion!W26)="b","",Combustion!W26)</f>
      </c>
      <c r="M29" s="2">
        <f ca="1">IF(CELL("type",Combustion!X26)="b","",Combustion!X26)</f>
      </c>
      <c r="N29" s="2">
        <f ca="1">IF(CELL("type",Combustion!Y26)="b","",Combustion!Y26)</f>
      </c>
      <c r="O29" s="2">
        <f ca="1">IF(CELL("type",Combustion!Z26)="b","",Combustion!Z26)</f>
      </c>
      <c r="P29" s="2">
        <f ca="1">IF(CELL("type",Combustion!AA26)="b","",Combustion!AA26)</f>
      </c>
    </row>
    <row r="30" spans="1:16" ht="12.75">
      <c r="A30" s="5" t="s">
        <v>177</v>
      </c>
      <c r="B30" s="2" t="str">
        <f ca="1">IF(CELL("type",Combustion!M27)="b","",Combustion!M27)</f>
        <v>Pour Pad for CNG System</v>
      </c>
      <c r="C30" s="8" t="str">
        <f ca="1">IF(CELL("type",Combustion!N27)="b","",Combustion!N27)</f>
        <v>Cement Truck</v>
      </c>
      <c r="D30" s="7">
        <f ca="1">IF(CELL("type",Combustion!O27)="b","",Combustion!O27)</f>
        <v>15.9712</v>
      </c>
      <c r="E30" s="7">
        <f ca="1">IF(CELL("type",Combustion!P27)="b","",Combustion!P27)</f>
        <v>2.39568</v>
      </c>
      <c r="F30" s="7">
        <f ca="1">IF(CELL("type",Combustion!Q27)="b","",Combustion!Q27)</f>
        <v>19.16544</v>
      </c>
      <c r="G30" s="7">
        <f ca="1">IF(CELL("type",Combustion!R27)="b","",Combustion!R27)</f>
        <v>1.5971199999999999</v>
      </c>
      <c r="H30" s="7">
        <f ca="1">IF(CELL("type",Combustion!S27)="b","",Combustion!S27)</f>
        <v>1.19784</v>
      </c>
      <c r="I30" s="7" t="s">
        <v>153</v>
      </c>
      <c r="J30" s="7">
        <f>H30</f>
        <v>1.19784</v>
      </c>
      <c r="K30" s="2">
        <f ca="1">IF(CELL("type",Combustion!V27)="b","",Combustion!V27)</f>
      </c>
      <c r="L30" s="2">
        <f ca="1">IF(CELL("type",Combustion!W27)="b","",Combustion!W27)</f>
      </c>
      <c r="M30" s="2">
        <f ca="1">IF(CELL("type",Combustion!X27)="b","",Combustion!X27)</f>
      </c>
      <c r="N30" s="2">
        <f ca="1">IF(CELL("type",Combustion!Y27)="b","",Combustion!Y27)</f>
      </c>
      <c r="O30" s="2">
        <f ca="1">IF(CELL("type",Combustion!Z27)="b","",Combustion!Z27)</f>
      </c>
      <c r="P30" s="2">
        <f ca="1">IF(CELL("type",Combustion!AA27)="b","",Combustion!AA27)</f>
      </c>
    </row>
    <row r="31" spans="1:12" ht="12.75">
      <c r="A31" s="5" t="s">
        <v>177</v>
      </c>
      <c r="B31" s="2" t="s">
        <v>119</v>
      </c>
      <c r="C31" s="8" t="str">
        <f ca="1">IF(CELL("type",Combustion!N28)="b","",Combustion!N28)</f>
        <v>Welder</v>
      </c>
      <c r="D31" s="7">
        <f ca="1">IF(CELL("type",Combustion!O28)="b","",Combustion!O28)</f>
        <v>0.693</v>
      </c>
      <c r="E31" s="7">
        <f ca="1">IF(CELL("type",Combustion!P28)="b","",Combustion!P28)</f>
        <v>0.126</v>
      </c>
      <c r="F31" s="7">
        <f ca="1">IF(CELL("type",Combustion!Q28)="b","",Combustion!Q28)</f>
        <v>1.134</v>
      </c>
      <c r="G31" s="7">
        <f ca="1">IF(CELL("type",Combustion!R28)="b","",Combustion!R28)</f>
        <v>0.126</v>
      </c>
      <c r="H31" s="7">
        <f ca="1">IF(CELL("type",Combustion!S28)="b","",Combustion!S28)</f>
        <v>0.063</v>
      </c>
      <c r="I31" s="7" t="s">
        <v>153</v>
      </c>
      <c r="J31" s="7">
        <f>H31</f>
        <v>0.063</v>
      </c>
      <c r="K31" s="2"/>
      <c r="L31" s="2"/>
    </row>
    <row r="32" spans="1:16" ht="12.75">
      <c r="A32" s="5" t="s">
        <v>178</v>
      </c>
      <c r="B32" s="2" t="str">
        <f ca="1">IF(CELL("type",Combustion!M29)="b","",Combustion!M29)</f>
        <v>All</v>
      </c>
      <c r="C32" s="8" t="str">
        <f ca="1">IF(CELL("type",Combustion!N29)="b","",Combustion!N29)</f>
        <v>Generator Set &lt; 50 HP</v>
      </c>
      <c r="D32" s="7">
        <f ca="1">IF(CELL("type",Combustion!O29)="b","",Combustion!O29)</f>
        <v>1.43264</v>
      </c>
      <c r="E32" s="7">
        <f ca="1">IF(CELL("type",Combustion!P29)="b","",Combustion!P29)</f>
        <v>0.26048000000000004</v>
      </c>
      <c r="F32" s="7">
        <f ca="1">IF(CELL("type",Combustion!Q29)="b","",Combustion!Q29)</f>
        <v>2.34432</v>
      </c>
      <c r="G32" s="7">
        <f ca="1">IF(CELL("type",Combustion!R29)="b","",Combustion!R29)</f>
        <v>0.26048000000000004</v>
      </c>
      <c r="H32" s="7">
        <f ca="1">IF(CELL("type",Combustion!S29)="b","",Combustion!S29)</f>
        <v>0.13024000000000002</v>
      </c>
      <c r="I32" s="7" t="s">
        <v>153</v>
      </c>
      <c r="J32" s="7">
        <f>H32</f>
        <v>0.13024000000000002</v>
      </c>
      <c r="K32" s="2">
        <f ca="1">IF(CELL("type",Combustion!V29)="b","",Combustion!V29)</f>
      </c>
      <c r="L32" s="2">
        <f ca="1">IF(CELL("type",Combustion!W29)="b","",Combustion!W29)</f>
      </c>
      <c r="M32" s="2">
        <f ca="1">IF(CELL("type",Combustion!X29)="b","",Combustion!X29)</f>
      </c>
      <c r="N32" s="2">
        <f ca="1">IF(CELL("type",Combustion!Y29)="b","",Combustion!Y29)</f>
      </c>
      <c r="O32" s="2">
        <f ca="1">IF(CELL("type",Combustion!Z29)="b","",Combustion!Z29)</f>
      </c>
      <c r="P32" s="2">
        <f ca="1">IF(CELL("type",Combustion!AA29)="b","",Combustion!AA29)</f>
      </c>
    </row>
    <row r="33" spans="1:12" ht="12.75">
      <c r="A33" s="5"/>
      <c r="C33" s="9" t="s">
        <v>179</v>
      </c>
      <c r="D33" s="6">
        <f aca="true" t="shared" si="5" ref="D33:I33">D27+D36</f>
        <v>4.4082</v>
      </c>
      <c r="E33" s="6">
        <f t="shared" si="5"/>
        <v>0.88164</v>
      </c>
      <c r="F33" s="6">
        <f t="shared" si="5"/>
        <v>6.4653599999999996</v>
      </c>
      <c r="G33" s="6">
        <f t="shared" si="5"/>
        <v>0.58776</v>
      </c>
      <c r="H33" s="6">
        <f t="shared" si="5"/>
        <v>0.29388</v>
      </c>
      <c r="I33" s="6">
        <f t="shared" si="5"/>
        <v>6.215211801874896E-07</v>
      </c>
      <c r="J33" s="6">
        <f>J27+J36</f>
        <v>0.29388062152118016</v>
      </c>
      <c r="K33" s="2"/>
      <c r="L33" s="2"/>
    </row>
    <row r="34" spans="3:12" ht="12.75">
      <c r="C34" s="9" t="s">
        <v>182</v>
      </c>
      <c r="D34" s="6">
        <f>D29+D32</f>
        <v>17.40384</v>
      </c>
      <c r="E34" s="6">
        <f>E29+E32</f>
        <v>2.65616</v>
      </c>
      <c r="F34" s="6">
        <f>F29+F32</f>
        <v>21.50976</v>
      </c>
      <c r="G34" s="6">
        <f>G29+G32</f>
        <v>1.8576</v>
      </c>
      <c r="H34" s="6">
        <f>H29+H32</f>
        <v>1.32808</v>
      </c>
      <c r="I34" s="6">
        <v>0</v>
      </c>
      <c r="J34" s="6">
        <f>J29+J32</f>
        <v>1.32808</v>
      </c>
      <c r="K34" s="2"/>
      <c r="L34" s="2"/>
    </row>
    <row r="35" spans="3:12" ht="12.75">
      <c r="C35" s="9" t="s">
        <v>181</v>
      </c>
      <c r="D35" s="6">
        <f>D30+D31+D32</f>
        <v>18.09684</v>
      </c>
      <c r="E35" s="6">
        <f>E30+E31+E32</f>
        <v>2.78216</v>
      </c>
      <c r="F35" s="6">
        <f>F30+F31+F32</f>
        <v>22.64376</v>
      </c>
      <c r="G35" s="6">
        <f>G30+G31+G32</f>
        <v>1.9835999999999998</v>
      </c>
      <c r="H35" s="6">
        <f>H30+H31+H32</f>
        <v>1.39108</v>
      </c>
      <c r="I35" s="6">
        <v>0</v>
      </c>
      <c r="J35" s="6">
        <f>J30+J31+J32</f>
        <v>1.39108</v>
      </c>
      <c r="K35" s="2"/>
      <c r="L35" s="2"/>
    </row>
    <row r="36" spans="3:12" ht="12.75">
      <c r="C36" s="8"/>
      <c r="D36" s="7"/>
      <c r="E36" s="7"/>
      <c r="F36" s="7"/>
      <c r="G36" s="7"/>
      <c r="H36" s="7"/>
      <c r="I36" s="7"/>
      <c r="J36" s="7"/>
      <c r="K36" s="2"/>
      <c r="L36" s="2"/>
    </row>
    <row r="37" spans="2:13" ht="12.75">
      <c r="B37" s="1" t="str">
        <f ca="1">IF(CELL("type",Combustion!M31)="b","",Combustion!M31)</f>
        <v>Off-Site Motor Vehicle Emissions</v>
      </c>
      <c r="D37" s="6">
        <f ca="1">IF(CELL("type",Combustion!O31)="b","",Combustion!O31)</f>
      </c>
      <c r="E37" s="6">
        <f ca="1">IF(CELL("type",Combustion!P31)="b","",Combustion!P31)</f>
      </c>
      <c r="F37" s="6">
        <f ca="1">IF(CELL("type",Combustion!Q31)="b","",Combustion!Q31)</f>
      </c>
      <c r="G37" s="6"/>
      <c r="H37" s="6" t="str">
        <f ca="1">IF(CELL("type",Combustion!R31)="b","",Combustion!R31)</f>
        <v>Combustion</v>
      </c>
      <c r="I37" s="6" t="str">
        <f ca="1">IF(CELL("type",Combustion!S31)="b","",Combustion!S31)</f>
        <v>Tire Wear</v>
      </c>
      <c r="J37" s="6" t="str">
        <f ca="1">IF(CELL("type",Combustion!T31)="b","",Combustion!T31)</f>
        <v>Brake Wear</v>
      </c>
      <c r="K37" s="6" t="str">
        <f ca="1">IF(CELL("type",Combustion!U31)="b","",Combustion!U31)</f>
        <v>Paved</v>
      </c>
      <c r="L37" s="5" t="s">
        <v>96</v>
      </c>
      <c r="M37" s="5" t="s">
        <v>63</v>
      </c>
    </row>
    <row r="38" spans="3:17" ht="12.75">
      <c r="C38" s="5" t="s">
        <v>3</v>
      </c>
      <c r="D38" s="6" t="s">
        <v>201</v>
      </c>
      <c r="E38" s="6" t="s">
        <v>202</v>
      </c>
      <c r="F38" s="6" t="s">
        <v>203</v>
      </c>
      <c r="G38" s="6" t="s">
        <v>10</v>
      </c>
      <c r="H38" s="5" t="s">
        <v>1</v>
      </c>
      <c r="I38" s="5" t="s">
        <v>1</v>
      </c>
      <c r="J38" s="5" t="s">
        <v>1</v>
      </c>
      <c r="K38" s="5" t="s">
        <v>1</v>
      </c>
      <c r="L38" s="5" t="s">
        <v>1</v>
      </c>
      <c r="M38" s="5" t="s">
        <v>1</v>
      </c>
      <c r="N38" s="2">
        <f ca="1">IF(CELL("type",Combustion!X31)="b","",Combustion!X31)</f>
      </c>
      <c r="O38" s="2">
        <f ca="1">IF(CELL("type",Combustion!Y31)="b","",Combustion!Y31)</f>
      </c>
      <c r="P38" s="2">
        <f ca="1">IF(CELL("type",Combustion!Z31)="b","",Combustion!Z31)</f>
      </c>
      <c r="Q38" s="2">
        <f ca="1">IF(CELL("type",Combustion!AA31)="b","",Combustion!AA31)</f>
      </c>
    </row>
    <row r="39" spans="1:17" ht="12.75">
      <c r="A39" s="5" t="s">
        <v>173</v>
      </c>
      <c r="B39" s="5" t="str">
        <f ca="1">IF(CELL("type",Combustion!M32)="b","",Combustion!M32)</f>
        <v>Activity</v>
      </c>
      <c r="C39" s="5" t="str">
        <f ca="1">IF(CELL("type",Combustion!N32)="b","",Combustion!N32)</f>
        <v>Type</v>
      </c>
      <c r="D39" s="7" t="str">
        <f ca="1">IF(CELL("type",Combustion!O32)="b","",Combustion!O32)</f>
        <v>lbs/day</v>
      </c>
      <c r="E39" s="7" t="str">
        <f ca="1">IF(CELL("type",Combustion!P32)="b","",Combustion!P32)</f>
        <v>lbs/day</v>
      </c>
      <c r="F39" s="7" t="str">
        <f ca="1">IF(CELL("type",Combustion!Q32)="b","",Combustion!Q32)</f>
        <v>lbs/day</v>
      </c>
      <c r="G39" s="7" t="s">
        <v>12</v>
      </c>
      <c r="H39" s="7" t="str">
        <f ca="1">IF(CELL("type",Combustion!R32)="b","",Combustion!R32)</f>
        <v>lbs/day</v>
      </c>
      <c r="I39" s="7" t="str">
        <f ca="1">IF(CELL("type",Combustion!S32)="b","",Combustion!S32)</f>
        <v>lbs/day</v>
      </c>
      <c r="J39" s="7" t="str">
        <f ca="1">IF(CELL("type",Combustion!T32)="b","",Combustion!T32)</f>
        <v>lbs/day</v>
      </c>
      <c r="K39" s="7" t="str">
        <f ca="1">IF(CELL("type",Combustion!U32)="b","",Combustion!U32)</f>
        <v>lb/day</v>
      </c>
      <c r="L39" s="8" t="s">
        <v>97</v>
      </c>
      <c r="M39" s="8" t="s">
        <v>97</v>
      </c>
      <c r="N39" s="2" t="e">
        <f ca="1">IF(CELL("type",Combustion!#REF!)="b","",Combustion!#REF!)</f>
        <v>#REF!</v>
      </c>
      <c r="O39" s="2" t="e">
        <f ca="1">IF(CELL("type",Combustion!#REF!)="b","",Combustion!#REF!)</f>
        <v>#REF!</v>
      </c>
      <c r="P39" s="2" t="e">
        <f ca="1">IF(CELL("type",Combustion!#REF!)="b","",Combustion!#REF!)</f>
        <v>#REF!</v>
      </c>
      <c r="Q39" s="2" t="e">
        <f ca="1">IF(CELL("type",Combustion!#REF!)="b","",Combustion!#REF!)</f>
        <v>#REF!</v>
      </c>
    </row>
    <row r="40" spans="1:17" ht="12.75">
      <c r="A40" s="5" t="s">
        <v>163</v>
      </c>
      <c r="B40" s="2" t="str">
        <f ca="1">IF(CELL("type",Combustion!M33)="b","",Combustion!M33)</f>
        <v>Tank Excavation</v>
      </c>
      <c r="C40" s="2" t="str">
        <f ca="1">IF(CELL("type",Combustion!N33)="b","",Combustion!N33)</f>
        <v>Employee (Light-Duty Trucks - Cat)</v>
      </c>
      <c r="D40" s="7">
        <f ca="1">IF(CELL("type",Combustion!O33)="b","",Combustion!O33)</f>
        <v>1.667989417989418</v>
      </c>
      <c r="E40" s="7">
        <f ca="1">IF(CELL("type",Combustion!P33)="b","",Combustion!P33)</f>
        <v>0.9177248677248677</v>
      </c>
      <c r="F40" s="7">
        <f ca="1">IF(CELL("type",Combustion!Q33)="b","",Combustion!Q33)</f>
        <v>0.23835978835978835</v>
      </c>
      <c r="G40" s="7">
        <v>0</v>
      </c>
      <c r="H40" s="7">
        <f ca="1">IF(CELL("type",Combustion!R33)="b","",Combustion!R33)</f>
        <v>0</v>
      </c>
      <c r="I40" s="7">
        <f ca="1">IF(CELL("type",Combustion!S33)="b","",Combustion!S33)</f>
        <v>0.0026455026455026454</v>
      </c>
      <c r="J40" s="7">
        <f ca="1">IF(CELL("type",Combustion!T33)="b","",Combustion!T33)</f>
        <v>0.0026455026455026454</v>
      </c>
      <c r="K40" s="7">
        <f ca="1">IF(CELL("type",Combustion!U33)="b","",Combustion!U33)</f>
        <v>0.10270647704468401</v>
      </c>
      <c r="L40" s="7">
        <f>I40+J40+K40</f>
        <v>0.1079974823356893</v>
      </c>
      <c r="M40" s="7">
        <f>H40+L40</f>
        <v>0.1079974823356893</v>
      </c>
      <c r="N40" s="2">
        <f ca="1">IF(CELL("type",Combustion!X32)="b","",Combustion!X32)</f>
      </c>
      <c r="O40" s="2">
        <f ca="1">IF(CELL("type",Combustion!Y32)="b","",Combustion!Y32)</f>
      </c>
      <c r="P40" s="2">
        <f ca="1">IF(CELL("type",Combustion!Z32)="b","",Combustion!Z32)</f>
      </c>
      <c r="Q40" s="2">
        <f ca="1">IF(CELL("type",Combustion!AA32)="b","",Combustion!AA32)</f>
      </c>
    </row>
    <row r="41" spans="1:17" ht="12.75">
      <c r="A41" s="5"/>
      <c r="B41" s="2" t="str">
        <f ca="1">IF(CELL("type",Combustion!M34)="b","",Combustion!M34)</f>
        <v>Tank Excavation</v>
      </c>
      <c r="C41" s="2" t="str">
        <f ca="1">IF(CELL("type",Combustion!N34)="b","",Combustion!N34)</f>
        <v>Haul Truck (Heavy-Heavy Duty Diesel)</v>
      </c>
      <c r="D41" s="7">
        <f ca="1">IF(CELL("type",Combustion!O34)="b","",Combustion!O34)</f>
        <v>0.7936507936507936</v>
      </c>
      <c r="E41" s="7">
        <f ca="1">IF(CELL("type",Combustion!P34)="b","",Combustion!P34)</f>
        <v>0.13447971781305115</v>
      </c>
      <c r="F41" s="7">
        <f ca="1">IF(CELL("type",Combustion!Q34)="b","",Combustion!Q34)</f>
        <v>1.0141093474426806</v>
      </c>
      <c r="G41" s="7">
        <v>0</v>
      </c>
      <c r="H41" s="7">
        <f ca="1">IF(CELL("type",Combustion!R34)="b","",Combustion!R34)</f>
        <v>0.07385361552028219</v>
      </c>
      <c r="I41" s="7">
        <f ca="1">IF(CELL("type",Combustion!S34)="b","",Combustion!S34)</f>
        <v>0.004409171075837742</v>
      </c>
      <c r="J41" s="7">
        <f ca="1">IF(CELL("type",Combustion!T34)="b","",Combustion!T34)</f>
        <v>0.0011022927689594356</v>
      </c>
      <c r="K41" s="7">
        <f ca="1">IF(CELL("type",Combustion!U34)="b","",Combustion!U34)</f>
        <v>1.029472433494209</v>
      </c>
      <c r="L41" s="7">
        <f aca="true" t="shared" si="6" ref="L41:L58">I41+J41+K41</f>
        <v>1.0349838973390062</v>
      </c>
      <c r="M41" s="7">
        <f aca="true" t="shared" si="7" ref="M41:M61">H41+L41</f>
        <v>1.1088375128592884</v>
      </c>
      <c r="N41" s="2">
        <f ca="1">IF(CELL("type",Combustion!X33)="b","",Combustion!X33)</f>
      </c>
      <c r="O41" s="2">
        <f ca="1">IF(CELL("type",Combustion!Y33)="b","",Combustion!Y33)</f>
      </c>
      <c r="P41" s="2">
        <f ca="1">IF(CELL("type",Combustion!Z33)="b","",Combustion!Z33)</f>
      </c>
      <c r="Q41" s="2">
        <f ca="1">IF(CELL("type",Combustion!AA33)="b","",Combustion!AA33)</f>
      </c>
    </row>
    <row r="42" spans="1:13" ht="12.75">
      <c r="A42" s="5"/>
      <c r="C42" s="9" t="s">
        <v>168</v>
      </c>
      <c r="D42" s="6">
        <f>SUM(D40:D41)</f>
        <v>2.4616402116402116</v>
      </c>
      <c r="E42" s="6">
        <f aca="true" t="shared" si="8" ref="E42:L42">SUM(E40:E41)</f>
        <v>1.052204585537919</v>
      </c>
      <c r="F42" s="6">
        <f t="shared" si="8"/>
        <v>1.2524691358024689</v>
      </c>
      <c r="G42" s="6">
        <f t="shared" si="8"/>
        <v>0</v>
      </c>
      <c r="H42" s="6">
        <f t="shared" si="8"/>
        <v>0.07385361552028219</v>
      </c>
      <c r="I42" s="6">
        <f t="shared" si="8"/>
        <v>0.007054673721340388</v>
      </c>
      <c r="J42" s="6">
        <f t="shared" si="8"/>
        <v>0.003747795414462081</v>
      </c>
      <c r="K42" s="6">
        <f t="shared" si="8"/>
        <v>1.1321789105388929</v>
      </c>
      <c r="L42" s="6">
        <f t="shared" si="8"/>
        <v>1.1429813796746955</v>
      </c>
      <c r="M42" s="6">
        <f>H42+L42</f>
        <v>1.2168349951949777</v>
      </c>
    </row>
    <row r="43" spans="1:17" ht="12.75">
      <c r="A43" s="5" t="s">
        <v>164</v>
      </c>
      <c r="B43" s="2" t="str">
        <f ca="1">IF(CELL("type",Combustion!M35)="b","",Combustion!M35)</f>
        <v>Tank Degassing</v>
      </c>
      <c r="C43" s="2" t="str">
        <f ca="1">IF(CELL("type",Combustion!N35)="b","",Combustion!N35)</f>
        <v>Employee (Light-Duty Trucks - Cat)</v>
      </c>
      <c r="D43" s="7">
        <f ca="1">IF(CELL("type",Combustion!O35)="b","",Combustion!O35)</f>
        <v>1.667989417989418</v>
      </c>
      <c r="E43" s="7">
        <f ca="1">IF(CELL("type",Combustion!P35)="b","",Combustion!P35)</f>
        <v>0.9177248677248677</v>
      </c>
      <c r="F43" s="7">
        <f ca="1">IF(CELL("type",Combustion!Q35)="b","",Combustion!Q35)</f>
        <v>0.23835978835978835</v>
      </c>
      <c r="G43" s="7">
        <v>0</v>
      </c>
      <c r="H43" s="7">
        <f ca="1">IF(CELL("type",Combustion!R35)="b","",Combustion!R35)</f>
        <v>0</v>
      </c>
      <c r="I43" s="7">
        <f ca="1">IF(CELL("type",Combustion!S35)="b","",Combustion!S35)</f>
        <v>0.0026455026455026454</v>
      </c>
      <c r="J43" s="7">
        <f ca="1">IF(CELL("type",Combustion!T35)="b","",Combustion!T35)</f>
        <v>0.0026455026455026454</v>
      </c>
      <c r="K43" s="7">
        <f ca="1">IF(CELL("type",Combustion!U35)="b","",Combustion!U35)</f>
        <v>0.10270647704468401</v>
      </c>
      <c r="L43" s="7">
        <f t="shared" si="6"/>
        <v>0.1079974823356893</v>
      </c>
      <c r="M43" s="7">
        <f t="shared" si="7"/>
        <v>0.1079974823356893</v>
      </c>
      <c r="N43" s="2">
        <f ca="1">IF(CELL("type",Combustion!X34)="b","",Combustion!X34)</f>
      </c>
      <c r="O43" s="2">
        <f ca="1">IF(CELL("type",Combustion!Y34)="b","",Combustion!Y34)</f>
      </c>
      <c r="P43" s="2">
        <f ca="1">IF(CELL("type",Combustion!Z34)="b","",Combustion!Z34)</f>
      </c>
      <c r="Q43" s="2">
        <f ca="1">IF(CELL("type",Combustion!AA34)="b","",Combustion!AA34)</f>
      </c>
    </row>
    <row r="44" spans="1:13" ht="12.75">
      <c r="A44" s="5"/>
      <c r="C44" s="9" t="s">
        <v>169</v>
      </c>
      <c r="D44" s="6">
        <f>D43</f>
        <v>1.667989417989418</v>
      </c>
      <c r="E44" s="6">
        <f aca="true" t="shared" si="9" ref="E44:L44">E43</f>
        <v>0.9177248677248677</v>
      </c>
      <c r="F44" s="6">
        <f t="shared" si="9"/>
        <v>0.23835978835978835</v>
      </c>
      <c r="G44" s="6">
        <f t="shared" si="9"/>
        <v>0</v>
      </c>
      <c r="H44" s="6">
        <f t="shared" si="9"/>
        <v>0</v>
      </c>
      <c r="I44" s="6">
        <f t="shared" si="9"/>
        <v>0.0026455026455026454</v>
      </c>
      <c r="J44" s="6">
        <f t="shared" si="9"/>
        <v>0.0026455026455026454</v>
      </c>
      <c r="K44" s="6">
        <f t="shared" si="9"/>
        <v>0.10270647704468401</v>
      </c>
      <c r="L44" s="6">
        <f t="shared" si="9"/>
        <v>0.1079974823356893</v>
      </c>
      <c r="M44" s="6">
        <f>H44+L44</f>
        <v>0.1079974823356893</v>
      </c>
    </row>
    <row r="45" spans="1:17" ht="12.75">
      <c r="A45" s="5" t="s">
        <v>165</v>
      </c>
      <c r="B45" s="2" t="str">
        <f ca="1">IF(CELL("type",Combustion!M36)="b","",Combustion!M36)</f>
        <v>Tank Removal</v>
      </c>
      <c r="C45" s="2" t="str">
        <f ca="1">IF(CELL("type",Combustion!N36)="b","",Combustion!N36)</f>
        <v>Employee (Light-Duty Trucks - Cat)</v>
      </c>
      <c r="D45" s="7">
        <f ca="1">IF(CELL("type",Combustion!O36)="b","",Combustion!O36)</f>
        <v>1.667989417989418</v>
      </c>
      <c r="E45" s="7">
        <f ca="1">IF(CELL("type",Combustion!P36)="b","",Combustion!P36)</f>
        <v>0.9177248677248677</v>
      </c>
      <c r="F45" s="7">
        <f ca="1">IF(CELL("type",Combustion!Q36)="b","",Combustion!Q36)</f>
        <v>0.23835978835978835</v>
      </c>
      <c r="G45" s="7">
        <v>0</v>
      </c>
      <c r="H45" s="7">
        <f ca="1">IF(CELL("type",Combustion!R36)="b","",Combustion!R36)</f>
        <v>0</v>
      </c>
      <c r="I45" s="7">
        <f ca="1">IF(CELL("type",Combustion!S36)="b","",Combustion!S36)</f>
        <v>0.0026455026455026454</v>
      </c>
      <c r="J45" s="7">
        <f ca="1">IF(CELL("type",Combustion!T36)="b","",Combustion!T36)</f>
        <v>0.0026455026455026454</v>
      </c>
      <c r="K45" s="7">
        <f ca="1">IF(CELL("type",Combustion!U36)="b","",Combustion!U36)</f>
        <v>0.10270647704468401</v>
      </c>
      <c r="L45" s="7">
        <f t="shared" si="6"/>
        <v>0.1079974823356893</v>
      </c>
      <c r="M45" s="7">
        <f t="shared" si="7"/>
        <v>0.1079974823356893</v>
      </c>
      <c r="N45" s="2">
        <f ca="1">IF(CELL("type",Combustion!X35)="b","",Combustion!X35)</f>
      </c>
      <c r="O45" s="2">
        <f ca="1">IF(CELL("type",Combustion!Y35)="b","",Combustion!Y35)</f>
      </c>
      <c r="P45" s="2">
        <f ca="1">IF(CELL("type",Combustion!Z35)="b","",Combustion!Z35)</f>
      </c>
      <c r="Q45" s="2">
        <f ca="1">IF(CELL("type",Combustion!AA35)="b","",Combustion!AA35)</f>
      </c>
    </row>
    <row r="46" spans="1:17" ht="12.75">
      <c r="A46" s="5"/>
      <c r="B46" s="2" t="str">
        <f ca="1">IF(CELL("type",Combustion!M37)="b","",Combustion!M37)</f>
        <v>Tank Removal</v>
      </c>
      <c r="C46" s="2" t="str">
        <f ca="1">IF(CELL("type",Combustion!N37)="b","",Combustion!N37)</f>
        <v>Haul Truck (Heavy-Heavy Duty Diesel)</v>
      </c>
      <c r="D46" s="7">
        <f ca="1">IF(CELL("type",Combustion!O37)="b","",Combustion!O37)</f>
        <v>0.7936507936507936</v>
      </c>
      <c r="E46" s="7">
        <f ca="1">IF(CELL("type",Combustion!P37)="b","",Combustion!P37)</f>
        <v>0.13447971781305115</v>
      </c>
      <c r="F46" s="7">
        <f ca="1">IF(CELL("type",Combustion!Q37)="b","",Combustion!Q37)</f>
        <v>1.0141093474426806</v>
      </c>
      <c r="G46" s="7">
        <v>0</v>
      </c>
      <c r="H46" s="7">
        <f ca="1">IF(CELL("type",Combustion!R37)="b","",Combustion!R37)</f>
        <v>0.07385361552028219</v>
      </c>
      <c r="I46" s="7">
        <f ca="1">IF(CELL("type",Combustion!S37)="b","",Combustion!S37)</f>
        <v>0.004409171075837742</v>
      </c>
      <c r="J46" s="7">
        <f ca="1">IF(CELL("type",Combustion!T37)="b","",Combustion!T37)</f>
        <v>0.0011022927689594356</v>
      </c>
      <c r="K46" s="7">
        <f ca="1">IF(CELL("type",Combustion!U37)="b","",Combustion!U37)</f>
        <v>1.029472433494209</v>
      </c>
      <c r="L46" s="7">
        <f t="shared" si="6"/>
        <v>1.0349838973390062</v>
      </c>
      <c r="M46" s="7">
        <f t="shared" si="7"/>
        <v>1.1088375128592884</v>
      </c>
      <c r="N46" s="2">
        <f ca="1">IF(CELL("type",Combustion!X36)="b","",Combustion!X36)</f>
      </c>
      <c r="O46" s="2">
        <f ca="1">IF(CELL("type",Combustion!Y36)="b","",Combustion!Y36)</f>
      </c>
      <c r="P46" s="2">
        <f ca="1">IF(CELL("type",Combustion!Z36)="b","",Combustion!Z36)</f>
      </c>
      <c r="Q46" s="2">
        <f ca="1">IF(CELL("type",Combustion!AA36)="b","",Combustion!AA36)</f>
      </c>
    </row>
    <row r="47" spans="1:13" ht="12.75">
      <c r="A47" s="5"/>
      <c r="C47" s="9" t="s">
        <v>170</v>
      </c>
      <c r="D47" s="6">
        <f>SUM(D45:D46)</f>
        <v>2.4616402116402116</v>
      </c>
      <c r="E47" s="6">
        <f aca="true" t="shared" si="10" ref="E47:L47">SUM(E45:E46)</f>
        <v>1.052204585537919</v>
      </c>
      <c r="F47" s="6">
        <f t="shared" si="10"/>
        <v>1.2524691358024689</v>
      </c>
      <c r="G47" s="6">
        <f t="shared" si="10"/>
        <v>0</v>
      </c>
      <c r="H47" s="6">
        <f t="shared" si="10"/>
        <v>0.07385361552028219</v>
      </c>
      <c r="I47" s="6">
        <f t="shared" si="10"/>
        <v>0.007054673721340388</v>
      </c>
      <c r="J47" s="6">
        <f t="shared" si="10"/>
        <v>0.003747795414462081</v>
      </c>
      <c r="K47" s="6">
        <f t="shared" si="10"/>
        <v>1.1321789105388929</v>
      </c>
      <c r="L47" s="6">
        <f t="shared" si="10"/>
        <v>1.1429813796746955</v>
      </c>
      <c r="M47" s="6">
        <f>H47+L47</f>
        <v>1.2168349951949777</v>
      </c>
    </row>
    <row r="48" spans="1:17" ht="12.75">
      <c r="A48" s="5" t="s">
        <v>166</v>
      </c>
      <c r="B48" s="2" t="str">
        <f ca="1">IF(CELL("type",Combustion!M38)="b","",Combustion!M38)</f>
        <v>Backfill and Grading</v>
      </c>
      <c r="C48" s="2" t="str">
        <f ca="1">IF(CELL("type",Combustion!N38)="b","",Combustion!N38)</f>
        <v>Employee (Light-Duty Trucks - Cat)</v>
      </c>
      <c r="D48" s="7">
        <f ca="1">IF(CELL("type",Combustion!O38)="b","",Combustion!O38)</f>
        <v>1.667989417989418</v>
      </c>
      <c r="E48" s="7">
        <f ca="1">IF(CELL("type",Combustion!P38)="b","",Combustion!P38)</f>
        <v>0.9177248677248677</v>
      </c>
      <c r="F48" s="7">
        <f ca="1">IF(CELL("type",Combustion!Q38)="b","",Combustion!Q38)</f>
        <v>0.23835978835978835</v>
      </c>
      <c r="G48" s="7">
        <v>0</v>
      </c>
      <c r="H48" s="7">
        <f ca="1">IF(CELL("type",Combustion!R38)="b","",Combustion!R38)</f>
        <v>0</v>
      </c>
      <c r="I48" s="7">
        <f ca="1">IF(CELL("type",Combustion!S38)="b","",Combustion!S38)</f>
        <v>0.0026455026455026454</v>
      </c>
      <c r="J48" s="7">
        <f ca="1">IF(CELL("type",Combustion!T38)="b","",Combustion!T38)</f>
        <v>0.0026455026455026454</v>
      </c>
      <c r="K48" s="7">
        <f ca="1">IF(CELL("type",Combustion!U38)="b","",Combustion!U38)</f>
        <v>0.10270647704468401</v>
      </c>
      <c r="L48" s="7">
        <f t="shared" si="6"/>
        <v>0.1079974823356893</v>
      </c>
      <c r="M48" s="7">
        <f t="shared" si="7"/>
        <v>0.1079974823356893</v>
      </c>
      <c r="N48" s="2">
        <f ca="1">IF(CELL("type",Combustion!X37)="b","",Combustion!X37)</f>
      </c>
      <c r="O48" s="2">
        <f ca="1">IF(CELL("type",Combustion!Y37)="b","",Combustion!Y37)</f>
      </c>
      <c r="P48" s="2">
        <f ca="1">IF(CELL("type",Combustion!Z37)="b","",Combustion!Z37)</f>
      </c>
      <c r="Q48" s="2">
        <f ca="1">IF(CELL("type",Combustion!AA37)="b","",Combustion!AA37)</f>
      </c>
    </row>
    <row r="49" spans="1:17" ht="12.75">
      <c r="A49" s="5"/>
      <c r="B49" s="2" t="str">
        <f ca="1">IF(CELL("type",Combustion!M39)="b","",Combustion!M39)</f>
        <v>Backfill and Grading</v>
      </c>
      <c r="C49" s="2" t="str">
        <f ca="1">IF(CELL("type",Combustion!N39)="b","",Combustion!N39)</f>
        <v>Haul Truck (Heavy-Heavy Duty Diesel)</v>
      </c>
      <c r="D49" s="7">
        <f ca="1">IF(CELL("type",Combustion!O39)="b","",Combustion!O39)</f>
        <v>7.936507936507936</v>
      </c>
      <c r="E49" s="7">
        <f ca="1">IF(CELL("type",Combustion!P39)="b","",Combustion!P39)</f>
        <v>1.3447971781305115</v>
      </c>
      <c r="F49" s="7">
        <f ca="1">IF(CELL("type",Combustion!Q39)="b","",Combustion!Q39)</f>
        <v>10.141093474426807</v>
      </c>
      <c r="G49" s="7">
        <v>0</v>
      </c>
      <c r="H49" s="7">
        <f ca="1">IF(CELL("type",Combustion!R39)="b","",Combustion!R39)</f>
        <v>0.7385361552028218</v>
      </c>
      <c r="I49" s="7">
        <f ca="1">IF(CELL("type",Combustion!S39)="b","",Combustion!S39)</f>
        <v>0.04409171075837742</v>
      </c>
      <c r="J49" s="7">
        <f ca="1">IF(CELL("type",Combustion!T39)="b","",Combustion!T39)</f>
        <v>0.011022927689594356</v>
      </c>
      <c r="K49" s="7">
        <f ca="1">IF(CELL("type",Combustion!U39)="b","",Combustion!U39)</f>
        <v>10.294724334942089</v>
      </c>
      <c r="L49" s="7">
        <f t="shared" si="6"/>
        <v>10.34983897339006</v>
      </c>
      <c r="M49" s="7">
        <f t="shared" si="7"/>
        <v>11.088375128592881</v>
      </c>
      <c r="N49" s="2">
        <f ca="1">IF(CELL("type",Combustion!X38)="b","",Combustion!X38)</f>
      </c>
      <c r="O49" s="2">
        <f ca="1">IF(CELL("type",Combustion!Y38)="b","",Combustion!Y38)</f>
      </c>
      <c r="P49" s="2">
        <f ca="1">IF(CELL("type",Combustion!Z38)="b","",Combustion!Z38)</f>
      </c>
      <c r="Q49" s="2">
        <f ca="1">IF(CELL("type",Combustion!AA38)="b","",Combustion!AA38)</f>
      </c>
    </row>
    <row r="50" spans="1:13" ht="12.75">
      <c r="A50" s="5"/>
      <c r="C50" s="9" t="s">
        <v>171</v>
      </c>
      <c r="D50" s="6">
        <f>SUM(D48:D49)</f>
        <v>9.604497354497354</v>
      </c>
      <c r="E50" s="6">
        <f aca="true" t="shared" si="11" ref="E50:L50">SUM(E48:E49)</f>
        <v>2.262522045855379</v>
      </c>
      <c r="F50" s="6">
        <f t="shared" si="11"/>
        <v>10.379453262786596</v>
      </c>
      <c r="G50" s="6">
        <f t="shared" si="11"/>
        <v>0</v>
      </c>
      <c r="H50" s="6">
        <f t="shared" si="11"/>
        <v>0.7385361552028218</v>
      </c>
      <c r="I50" s="6">
        <f t="shared" si="11"/>
        <v>0.04673721340388007</v>
      </c>
      <c r="J50" s="6">
        <f t="shared" si="11"/>
        <v>0.013668430335097001</v>
      </c>
      <c r="K50" s="6">
        <f t="shared" si="11"/>
        <v>10.397430811986773</v>
      </c>
      <c r="L50" s="6">
        <f t="shared" si="11"/>
        <v>10.457836455725749</v>
      </c>
      <c r="M50" s="6">
        <f>H50+L50</f>
        <v>11.19637261092857</v>
      </c>
    </row>
    <row r="51" spans="1:17" ht="12.75">
      <c r="A51" s="5" t="s">
        <v>167</v>
      </c>
      <c r="B51" s="2" t="str">
        <f ca="1">IF(CELL("type",Combustion!M40)="b","",Combustion!M40)</f>
        <v>Paving</v>
      </c>
      <c r="C51" s="2" t="str">
        <f ca="1">IF(CELL("type",Combustion!N40)="b","",Combustion!N40)</f>
        <v>Employee (Light-Duty Trucks - Cat)</v>
      </c>
      <c r="D51" s="7">
        <f ca="1">IF(CELL("type",Combustion!O40)="b","",Combustion!O40)</f>
        <v>1.667989417989418</v>
      </c>
      <c r="E51" s="7">
        <f ca="1">IF(CELL("type",Combustion!P40)="b","",Combustion!P40)</f>
        <v>0.9177248677248677</v>
      </c>
      <c r="F51" s="7">
        <f ca="1">IF(CELL("type",Combustion!Q40)="b","",Combustion!Q40)</f>
        <v>0.23835978835978835</v>
      </c>
      <c r="G51" s="7">
        <v>0</v>
      </c>
      <c r="H51" s="7">
        <f ca="1">IF(CELL("type",Combustion!R40)="b","",Combustion!R40)</f>
        <v>0</v>
      </c>
      <c r="I51" s="7">
        <f ca="1">IF(CELL("type",Combustion!S40)="b","",Combustion!S40)</f>
        <v>0.0026455026455026454</v>
      </c>
      <c r="J51" s="7">
        <f ca="1">IF(CELL("type",Combustion!T40)="b","",Combustion!T40)</f>
        <v>0.0026455026455026454</v>
      </c>
      <c r="K51" s="7">
        <f ca="1">IF(CELL("type",Combustion!U40)="b","",Combustion!U40)</f>
        <v>0.10270647704468401</v>
      </c>
      <c r="L51" s="7">
        <f t="shared" si="6"/>
        <v>0.1079974823356893</v>
      </c>
      <c r="M51" s="7">
        <f t="shared" si="7"/>
        <v>0.1079974823356893</v>
      </c>
      <c r="N51" s="2">
        <f ca="1">IF(CELL("type",Combustion!X39)="b","",Combustion!X39)</f>
      </c>
      <c r="O51" s="2">
        <f ca="1">IF(CELL("type",Combustion!Y39)="b","",Combustion!Y39)</f>
      </c>
      <c r="P51" s="2">
        <f ca="1">IF(CELL("type",Combustion!Z39)="b","",Combustion!Z39)</f>
      </c>
      <c r="Q51" s="2">
        <f ca="1">IF(CELL("type",Combustion!AA39)="b","",Combustion!AA39)</f>
      </c>
    </row>
    <row r="52" spans="2:17" ht="12.75">
      <c r="B52" s="2" t="str">
        <f ca="1">IF(CELL("type",Combustion!M41)="b","",Combustion!M41)</f>
        <v>Paving</v>
      </c>
      <c r="C52" s="2" t="str">
        <f ca="1">IF(CELL("type",Combustion!N41)="b","",Combustion!N41)</f>
        <v>Cement Truck (Medium-Heavy Duty Diesel)</v>
      </c>
      <c r="D52" s="7">
        <f ca="1">IF(CELL("type",Combustion!O41)="b","",Combustion!O41)</f>
        <v>0.6613756613756614</v>
      </c>
      <c r="E52" s="7">
        <f ca="1">IF(CELL("type",Combustion!P41)="b","",Combustion!P41)</f>
        <v>0.10582010582010581</v>
      </c>
      <c r="F52" s="7">
        <f ca="1">IF(CELL("type",Combustion!Q41)="b","",Combustion!Q41)</f>
        <v>0.7231040564373897</v>
      </c>
      <c r="G52" s="7">
        <v>0</v>
      </c>
      <c r="H52" s="7">
        <f ca="1">IF(CELL("type",Combustion!R41)="b","",Combustion!R41)</f>
        <v>0.0496031746031746</v>
      </c>
      <c r="I52" s="7">
        <f ca="1">IF(CELL("type",Combustion!S41)="b","",Combustion!S41)</f>
        <v>0.0011022927689594356</v>
      </c>
      <c r="J52" s="7">
        <f ca="1">IF(CELL("type",Combustion!T41)="b","",Combustion!T41)</f>
        <v>0.0011022927689594356</v>
      </c>
      <c r="K52" s="7">
        <f ca="1">IF(CELL("type",Combustion!U41)="b","",Combustion!U41)</f>
        <v>0.668661959926328</v>
      </c>
      <c r="L52" s="7">
        <f t="shared" si="6"/>
        <v>0.670866545464247</v>
      </c>
      <c r="M52" s="7">
        <f t="shared" si="7"/>
        <v>0.7204697200674216</v>
      </c>
      <c r="N52" s="2">
        <f ca="1">IF(CELL("type",Combustion!X40)="b","",Combustion!X40)</f>
      </c>
      <c r="O52" s="2">
        <f ca="1">IF(CELL("type",Combustion!Y40)="b","",Combustion!Y40)</f>
      </c>
      <c r="P52" s="2">
        <f ca="1">IF(CELL("type",Combustion!Z40)="b","",Combustion!Z40)</f>
      </c>
      <c r="Q52" s="2">
        <f ca="1">IF(CELL("type",Combustion!AA40)="b","",Combustion!AA40)</f>
      </c>
    </row>
    <row r="53" spans="3:13" ht="12.75">
      <c r="C53" s="9" t="s">
        <v>172</v>
      </c>
      <c r="D53" s="6">
        <f>SUM(D51:D52)</f>
        <v>2.329365079365079</v>
      </c>
      <c r="E53" s="6">
        <f aca="true" t="shared" si="12" ref="E53:L53">SUM(E51:E52)</f>
        <v>1.0235449735449735</v>
      </c>
      <c r="F53" s="6">
        <f t="shared" si="12"/>
        <v>0.9614638447971781</v>
      </c>
      <c r="G53" s="6">
        <f t="shared" si="12"/>
        <v>0</v>
      </c>
      <c r="H53" s="6">
        <f t="shared" si="12"/>
        <v>0.0496031746031746</v>
      </c>
      <c r="I53" s="6">
        <f t="shared" si="12"/>
        <v>0.003747795414462081</v>
      </c>
      <c r="J53" s="6">
        <f t="shared" si="12"/>
        <v>0.003747795414462081</v>
      </c>
      <c r="K53" s="6">
        <f t="shared" si="12"/>
        <v>0.7713684369710121</v>
      </c>
      <c r="L53" s="6">
        <f t="shared" si="12"/>
        <v>0.7788640277999362</v>
      </c>
      <c r="M53" s="6">
        <f>H53+L53</f>
        <v>0.8284672024031109</v>
      </c>
    </row>
    <row r="54" spans="1:17" ht="12.75">
      <c r="A54" s="5" t="s">
        <v>178</v>
      </c>
      <c r="B54" s="2" t="str">
        <f ca="1">IF(CELL("type",Combustion!M42)="b","",Combustion!M42)</f>
        <v>CNG System Installation</v>
      </c>
      <c r="C54" s="2" t="str">
        <f ca="1">IF(CELL("type",Combustion!N42)="b","",Combustion!N42)</f>
        <v>Employee (Light-Duty Trucks - Cat)</v>
      </c>
      <c r="D54" s="7">
        <f ca="1">IF(CELL("type",Combustion!O42)="b","",Combustion!O42)</f>
        <v>1.667989417989418</v>
      </c>
      <c r="E54" s="7">
        <f ca="1">IF(CELL("type",Combustion!P42)="b","",Combustion!P42)</f>
        <v>0.9177248677248677</v>
      </c>
      <c r="F54" s="7">
        <f ca="1">IF(CELL("type",Combustion!Q42)="b","",Combustion!Q42)</f>
        <v>0.23835978835978835</v>
      </c>
      <c r="G54" s="7">
        <v>0</v>
      </c>
      <c r="H54" s="7">
        <f ca="1">IF(CELL("type",Combustion!R42)="b","",Combustion!R42)</f>
        <v>0</v>
      </c>
      <c r="I54" s="7">
        <f ca="1">IF(CELL("type",Combustion!S42)="b","",Combustion!S42)</f>
        <v>0.0026455026455026454</v>
      </c>
      <c r="J54" s="7">
        <f ca="1">IF(CELL("type",Combustion!T42)="b","",Combustion!T42)</f>
        <v>0.0026455026455026454</v>
      </c>
      <c r="K54" s="7">
        <f ca="1">IF(CELL("type",Combustion!U42)="b","",Combustion!U42)</f>
        <v>0.10270647704468401</v>
      </c>
      <c r="L54" s="7">
        <f t="shared" si="6"/>
        <v>0.1079974823356893</v>
      </c>
      <c r="M54" s="7">
        <f t="shared" si="7"/>
        <v>0.1079974823356893</v>
      </c>
      <c r="N54" s="2">
        <f ca="1">IF(CELL("type",Combustion!X41)="b","",Combustion!X41)</f>
      </c>
      <c r="O54" s="2">
        <f ca="1">IF(CELL("type",Combustion!Y41)="b","",Combustion!Y41)</f>
      </c>
      <c r="P54" s="2">
        <f ca="1">IF(CELL("type",Combustion!Z41)="b","",Combustion!Z41)</f>
      </c>
      <c r="Q54" s="2">
        <f ca="1">IF(CELL("type",Combustion!AA41)="b","",Combustion!AA41)</f>
      </c>
    </row>
    <row r="55" spans="1:17" ht="12.75">
      <c r="A55" s="5" t="s">
        <v>176</v>
      </c>
      <c r="B55" s="2" t="str">
        <f ca="1">IF(CELL("type",Combustion!M43)="b","",Combustion!M43)</f>
        <v>CNG System Installation</v>
      </c>
      <c r="C55" s="2" t="str">
        <f ca="1">IF(CELL("type",Combustion!N43)="b","",Combustion!N43)</f>
        <v>Cement Truck (Medium-Heavy Duty Diesel)</v>
      </c>
      <c r="D55" s="7">
        <f ca="1">IF(CELL("type",Combustion!O43)="b","",Combustion!O43)</f>
        <v>0.6613756613756614</v>
      </c>
      <c r="E55" s="7">
        <f ca="1">IF(CELL("type",Combustion!P43)="b","",Combustion!P43)</f>
        <v>0.10582010582010581</v>
      </c>
      <c r="F55" s="7">
        <f ca="1">IF(CELL("type",Combustion!Q43)="b","",Combustion!Q43)</f>
        <v>0.7231040564373897</v>
      </c>
      <c r="G55" s="7">
        <v>0</v>
      </c>
      <c r="H55" s="7">
        <f ca="1">IF(CELL("type",Combustion!R43)="b","",Combustion!R43)</f>
        <v>0.0496031746031746</v>
      </c>
      <c r="I55" s="7">
        <f ca="1">IF(CELL("type",Combustion!S43)="b","",Combustion!S43)</f>
        <v>0.0011022927689594356</v>
      </c>
      <c r="J55" s="7">
        <f ca="1">IF(CELL("type",Combustion!T43)="b","",Combustion!T43)</f>
        <v>0.0011022927689594356</v>
      </c>
      <c r="K55" s="7">
        <f ca="1">IF(CELL("type",Combustion!U43)="b","",Combustion!U43)</f>
        <v>0.668661959926328</v>
      </c>
      <c r="L55" s="7">
        <f t="shared" si="6"/>
        <v>0.670866545464247</v>
      </c>
      <c r="M55" s="7">
        <f t="shared" si="7"/>
        <v>0.7204697200674216</v>
      </c>
      <c r="N55" s="2">
        <f ca="1">IF(CELL("type",Combustion!X42)="b","",Combustion!X42)</f>
      </c>
      <c r="O55" s="2">
        <f ca="1">IF(CELL("type",Combustion!Y42)="b","",Combustion!Y42)</f>
      </c>
      <c r="P55" s="2">
        <f ca="1">IF(CELL("type",Combustion!Z42)="b","",Combustion!Z42)</f>
      </c>
      <c r="Q55" s="2">
        <f ca="1">IF(CELL("type",Combustion!AA42)="b","",Combustion!AA42)</f>
      </c>
    </row>
    <row r="56" spans="1:17" ht="12.75">
      <c r="A56" s="5" t="s">
        <v>177</v>
      </c>
      <c r="B56" s="2" t="str">
        <f ca="1">IF(CELL("type",Combustion!M44)="b","",Combustion!M44)</f>
        <v>CNG System Installation</v>
      </c>
      <c r="C56" s="2" t="str">
        <f ca="1">IF(CELL("type",Combustion!N44)="b","",Combustion!N44)</f>
        <v>Cement Truck (Medium-Heavy Duty Diesel)</v>
      </c>
      <c r="D56" s="7">
        <f ca="1">IF(CELL("type",Combustion!O44)="b","",Combustion!O44)</f>
        <v>0.6613756613756614</v>
      </c>
      <c r="E56" s="7">
        <f ca="1">IF(CELL("type",Combustion!P44)="b","",Combustion!P44)</f>
        <v>0.10582010582010581</v>
      </c>
      <c r="F56" s="7">
        <f ca="1">IF(CELL("type",Combustion!Q44)="b","",Combustion!Q44)</f>
        <v>0.7231040564373897</v>
      </c>
      <c r="G56" s="7">
        <v>0</v>
      </c>
      <c r="H56" s="7">
        <f ca="1">IF(CELL("type",Combustion!R44)="b","",Combustion!R44)</f>
        <v>0.0496031746031746</v>
      </c>
      <c r="I56" s="7">
        <f ca="1">IF(CELL("type",Combustion!S44)="b","",Combustion!S44)</f>
        <v>0.0011022927689594356</v>
      </c>
      <c r="J56" s="7">
        <f ca="1">IF(CELL("type",Combustion!T44)="b","",Combustion!T44)</f>
        <v>0.0011022927689594356</v>
      </c>
      <c r="K56" s="7">
        <f ca="1">IF(CELL("type",Combustion!U44)="b","",Combustion!U44)</f>
        <v>0.668661959926328</v>
      </c>
      <c r="L56" s="7">
        <f t="shared" si="6"/>
        <v>0.670866545464247</v>
      </c>
      <c r="M56" s="7">
        <f t="shared" si="7"/>
        <v>0.7204697200674216</v>
      </c>
      <c r="N56" s="2">
        <f ca="1">IF(CELL("type",Combustion!X43)="b","",Combustion!X43)</f>
      </c>
      <c r="O56" s="2">
        <f ca="1">IF(CELL("type",Combustion!Y43)="b","",Combustion!Y43)</f>
      </c>
      <c r="P56" s="2">
        <f ca="1">IF(CELL("type",Combustion!Z43)="b","",Combustion!Z43)</f>
      </c>
      <c r="Q56" s="2">
        <f ca="1">IF(CELL("type",Combustion!AA43)="b","",Combustion!AA43)</f>
      </c>
    </row>
    <row r="57" spans="1:17" ht="12.75">
      <c r="A57" s="5" t="s">
        <v>183</v>
      </c>
      <c r="B57" s="2" t="str">
        <f ca="1">IF(CELL("type",Combustion!M45)="b","",Combustion!M45)</f>
        <v>CNG System Installation</v>
      </c>
      <c r="C57" s="2" t="str">
        <f ca="1">IF(CELL("type",Combustion!N45)="b","",Combustion!N45)</f>
        <v>Haul Truck (Heavy-Heavy Duty Diesel)</v>
      </c>
      <c r="D57" s="7">
        <f ca="1">IF(CELL("type",Combustion!O45)="b","",Combustion!O45)</f>
        <v>0.7936507936507936</v>
      </c>
      <c r="E57" s="7">
        <f ca="1">IF(CELL("type",Combustion!P45)="b","",Combustion!P45)</f>
        <v>0.13447971781305115</v>
      </c>
      <c r="F57" s="7">
        <f ca="1">IF(CELL("type",Combustion!Q45)="b","",Combustion!Q45)</f>
        <v>1.0141093474426806</v>
      </c>
      <c r="G57" s="7">
        <v>0</v>
      </c>
      <c r="H57" s="7">
        <f ca="1">IF(CELL("type",Combustion!R45)="b","",Combustion!R45)</f>
        <v>0.07385361552028219</v>
      </c>
      <c r="I57" s="7">
        <f ca="1">IF(CELL("type",Combustion!S45)="b","",Combustion!S45)</f>
        <v>0.004409171075837742</v>
      </c>
      <c r="J57" s="7">
        <f ca="1">IF(CELL("type",Combustion!T45)="b","",Combustion!T45)</f>
        <v>0.0011022927689594356</v>
      </c>
      <c r="K57" s="7">
        <f ca="1">IF(CELL("type",Combustion!U45)="b","",Combustion!U45)</f>
        <v>1.029472433494209</v>
      </c>
      <c r="L57" s="7">
        <f t="shared" si="6"/>
        <v>1.0349838973390062</v>
      </c>
      <c r="M57" s="7">
        <f t="shared" si="7"/>
        <v>1.1088375128592884</v>
      </c>
      <c r="N57" s="2">
        <f ca="1">IF(CELL("type",Combustion!X44)="b","",Combustion!X44)</f>
      </c>
      <c r="O57" s="2">
        <f ca="1">IF(CELL("type",Combustion!Y44)="b","",Combustion!Y44)</f>
      </c>
      <c r="P57" s="2">
        <f ca="1">IF(CELL("type",Combustion!Z44)="b","",Combustion!Z44)</f>
      </c>
      <c r="Q57" s="2">
        <f ca="1">IF(CELL("type",Combustion!AA44)="b","",Combustion!AA44)</f>
      </c>
    </row>
    <row r="58" spans="1:17" ht="12.75">
      <c r="A58" s="5" t="s">
        <v>175</v>
      </c>
      <c r="B58" s="2" t="str">
        <f ca="1">IF(CELL("type",Combustion!M46)="b","",Combustion!M46)</f>
        <v>CNG System Installation</v>
      </c>
      <c r="C58" s="2" t="str">
        <f ca="1">IF(CELL("type",Combustion!N46)="b","",Combustion!N46)</f>
        <v>Haul Truck (Heavy-Heavy Duty Diesel)</v>
      </c>
      <c r="D58" s="7">
        <f ca="1">IF(CELL("type",Combustion!O46)="b","",Combustion!O46)</f>
        <v>1.5873015873015872</v>
      </c>
      <c r="E58" s="7">
        <f ca="1">IF(CELL("type",Combustion!P46)="b","",Combustion!P46)</f>
        <v>0.2689594356261023</v>
      </c>
      <c r="F58" s="7">
        <f ca="1">IF(CELL("type",Combustion!Q46)="b","",Combustion!Q46)</f>
        <v>2.028218694885361</v>
      </c>
      <c r="G58" s="7">
        <v>0</v>
      </c>
      <c r="H58" s="7">
        <f ca="1">IF(CELL("type",Combustion!R46)="b","",Combustion!R46)</f>
        <v>0.14770723104056438</v>
      </c>
      <c r="I58" s="7">
        <f ca="1">IF(CELL("type",Combustion!S46)="b","",Combustion!S46)</f>
        <v>0.008818342151675485</v>
      </c>
      <c r="J58" s="7">
        <f ca="1">IF(CELL("type",Combustion!T46)="b","",Combustion!T46)</f>
        <v>0.002204585537918871</v>
      </c>
      <c r="K58" s="7">
        <f ca="1">IF(CELL("type",Combustion!U46)="b","",Combustion!U46)</f>
        <v>2.058944866988418</v>
      </c>
      <c r="L58" s="7">
        <f t="shared" si="6"/>
        <v>2.0699677946780124</v>
      </c>
      <c r="M58" s="7">
        <f t="shared" si="7"/>
        <v>2.217675025718577</v>
      </c>
      <c r="N58" s="2">
        <f ca="1">IF(CELL("type",Combustion!X45)="b","",Combustion!X45)</f>
      </c>
      <c r="O58" s="2">
        <f ca="1">IF(CELL("type",Combustion!Y45)="b","",Combustion!Y45)</f>
      </c>
      <c r="P58" s="2">
        <f ca="1">IF(CELL("type",Combustion!Z45)="b","",Combustion!Z45)</f>
      </c>
      <c r="Q58" s="2">
        <f ca="1">IF(CELL("type",Combustion!AA45)="b","",Combustion!AA45)</f>
      </c>
    </row>
    <row r="59" spans="2:17" ht="12.75">
      <c r="B59" s="2">
        <f ca="1">IF(CELL("type",Combustion!M47)="b","",Combustion!M47)</f>
      </c>
      <c r="C59" s="9" t="s">
        <v>184</v>
      </c>
      <c r="D59" s="6">
        <f>D54+D57</f>
        <v>2.4616402116402116</v>
      </c>
      <c r="E59" s="6">
        <f aca="true" t="shared" si="13" ref="E59:L59">E54+E57</f>
        <v>1.052204585537919</v>
      </c>
      <c r="F59" s="6">
        <f t="shared" si="13"/>
        <v>1.2524691358024689</v>
      </c>
      <c r="G59" s="6">
        <f t="shared" si="13"/>
        <v>0</v>
      </c>
      <c r="H59" s="6">
        <f t="shared" si="13"/>
        <v>0.07385361552028219</v>
      </c>
      <c r="I59" s="6">
        <f t="shared" si="13"/>
        <v>0.007054673721340388</v>
      </c>
      <c r="J59" s="6">
        <f t="shared" si="13"/>
        <v>0.003747795414462081</v>
      </c>
      <c r="K59" s="6">
        <f t="shared" si="13"/>
        <v>1.1321789105388929</v>
      </c>
      <c r="L59" s="6">
        <f t="shared" si="13"/>
        <v>1.1429813796746955</v>
      </c>
      <c r="M59" s="6">
        <f t="shared" si="7"/>
        <v>1.2168349951949777</v>
      </c>
      <c r="N59" s="2">
        <f ca="1">IF(CELL("type",Combustion!X46)="b","",Combustion!X46)</f>
      </c>
      <c r="O59" s="2">
        <f ca="1">IF(CELL("type",Combustion!Y46)="b","",Combustion!Y46)</f>
      </c>
      <c r="P59" s="2">
        <f ca="1">IF(CELL("type",Combustion!Z46)="b","",Combustion!Z46)</f>
      </c>
      <c r="Q59" s="2">
        <f ca="1">IF(CELL("type",Combustion!AA46)="b","",Combustion!AA46)</f>
      </c>
    </row>
    <row r="60" spans="3:13" ht="12.75">
      <c r="C60" s="9" t="s">
        <v>185</v>
      </c>
      <c r="D60" s="6">
        <f>D54+D58</f>
        <v>3.255291005291005</v>
      </c>
      <c r="E60" s="6">
        <f aca="true" t="shared" si="14" ref="E60:L60">E54+E58</f>
        <v>1.18668430335097</v>
      </c>
      <c r="F60" s="6">
        <f t="shared" si="14"/>
        <v>2.2665784832451497</v>
      </c>
      <c r="G60" s="6">
        <f t="shared" si="14"/>
        <v>0</v>
      </c>
      <c r="H60" s="6">
        <f t="shared" si="14"/>
        <v>0.14770723104056438</v>
      </c>
      <c r="I60" s="6">
        <f t="shared" si="14"/>
        <v>0.01146384479717813</v>
      </c>
      <c r="J60" s="6">
        <f t="shared" si="14"/>
        <v>0.0048500881834215165</v>
      </c>
      <c r="K60" s="6">
        <f t="shared" si="14"/>
        <v>2.161651344033102</v>
      </c>
      <c r="L60" s="6">
        <f t="shared" si="14"/>
        <v>2.1779652770137017</v>
      </c>
      <c r="M60" s="6">
        <f t="shared" si="7"/>
        <v>2.325672508054266</v>
      </c>
    </row>
    <row r="61" spans="3:13" ht="12.75">
      <c r="C61" s="9" t="s">
        <v>180</v>
      </c>
      <c r="D61" s="6">
        <f>D54+D55</f>
        <v>2.329365079365079</v>
      </c>
      <c r="E61" s="6">
        <f aca="true" t="shared" si="15" ref="E61:L61">E54+E55</f>
        <v>1.0235449735449735</v>
      </c>
      <c r="F61" s="6">
        <f t="shared" si="15"/>
        <v>0.9614638447971781</v>
      </c>
      <c r="G61" s="6">
        <f t="shared" si="15"/>
        <v>0</v>
      </c>
      <c r="H61" s="6">
        <f t="shared" si="15"/>
        <v>0.0496031746031746</v>
      </c>
      <c r="I61" s="6">
        <f t="shared" si="15"/>
        <v>0.003747795414462081</v>
      </c>
      <c r="J61" s="6">
        <f t="shared" si="15"/>
        <v>0.003747795414462081</v>
      </c>
      <c r="K61" s="6">
        <f t="shared" si="15"/>
        <v>0.7713684369710121</v>
      </c>
      <c r="L61" s="6">
        <f t="shared" si="15"/>
        <v>0.7788640277999362</v>
      </c>
      <c r="M61" s="6">
        <f t="shared" si="7"/>
        <v>0.8284672024031109</v>
      </c>
    </row>
    <row r="62" spans="2:17" ht="12.75">
      <c r="B62" s="2">
        <f ca="1">IF(CELL("type",Combustion!M49)="b","",Combustion!M49)</f>
      </c>
      <c r="C62" s="2">
        <f ca="1">IF(CELL("type",Combustion!N49)="b","",Combustion!N49)</f>
      </c>
      <c r="D62" s="4">
        <f ca="1">IF(CELL("type",Combustion!O49)="b","",Combustion!O49)</f>
      </c>
      <c r="E62" s="4">
        <f ca="1">IF(CELL("type",Combustion!P49)="b","",Combustion!P49)</f>
      </c>
      <c r="F62" s="4">
        <f ca="1">IF(CELL("type",Combustion!Q49)="b","",Combustion!Q49)</f>
      </c>
      <c r="G62" s="4">
        <f ca="1">IF(CELL("type",Combustion!R49)="b","",Combustion!R49)</f>
      </c>
      <c r="H62" s="4">
        <f ca="1">IF(CELL("type",Combustion!R49)="b","",Combustion!R49)</f>
      </c>
      <c r="I62" s="4">
        <f ca="1">IF(CELL("type",Combustion!S49)="b","",Combustion!S49)</f>
      </c>
      <c r="J62" s="4">
        <f ca="1">IF(CELL("type",Combustion!T49)="b","",Combustion!T49)</f>
      </c>
      <c r="K62" s="4">
        <f ca="1">IF(CELL("type",Combustion!U49)="b","",Combustion!U49)</f>
      </c>
      <c r="L62" s="2">
        <f ca="1">IF(CELL("type",Combustion!V49)="b","",Combustion!V49)</f>
      </c>
      <c r="M62" s="2">
        <f ca="1">IF(CELL("type",Combustion!W48)="b","",Combustion!W48)</f>
      </c>
      <c r="N62" s="2">
        <f ca="1">IF(CELL("type",Combustion!X48)="b","",Combustion!X48)</f>
      </c>
      <c r="O62" s="2">
        <f ca="1">IF(CELL("type",Combustion!Y48)="b","",Combustion!Y48)</f>
      </c>
      <c r="P62" s="2">
        <f ca="1">IF(CELL("type",Combustion!Z48)="b","",Combustion!Z48)</f>
      </c>
      <c r="Q62" s="2">
        <f ca="1">IF(CELL("type",Combustion!AA48)="b","",Combustion!AA48)</f>
      </c>
    </row>
    <row r="63" spans="1:13" ht="12.75">
      <c r="A63" s="1" t="s">
        <v>187</v>
      </c>
      <c r="B63" s="1"/>
      <c r="D63" s="6">
        <f>MAX(D12+D42,D15+D44,D18+D47,D22+D50,D25+D53,D33+D59,D33+D60,D34+D61,D35+D61)</f>
        <v>20.42620507936508</v>
      </c>
      <c r="E63" s="6">
        <f>MAX(E12+E42,E15+E44,E18+E47,E22+E50,E25+E53,E33+E59,E33+E60,E34+E61,E35+E61)</f>
        <v>3.805704973544974</v>
      </c>
      <c r="F63" s="6">
        <f>MAX(F12+F42,F15+F44,F18+F47,F22+F50,F25+F53,F33+F59,F33+F60,F34+F61,F35+F61)</f>
        <v>23.605223844797177</v>
      </c>
      <c r="G63" s="6">
        <f>MAX(G12+G42,G15+G44,G18+G47,G22+G50,G25+G53,G33+G59,G33+G60,G34+G61,G35+G61)</f>
        <v>1.9835999999999998</v>
      </c>
      <c r="H63" s="6">
        <f>MAX(H12+H42,H15+H44,H18+H47,H22+H50,H25+H53,H33+H59,H33+H60,H34+H61,H35+H61)</f>
        <v>1.4406831746031747</v>
      </c>
      <c r="I63" s="6"/>
      <c r="J63" s="6"/>
      <c r="K63" s="6"/>
      <c r="L63" s="6"/>
      <c r="M63" s="6">
        <f>MAX(J12+M42,J15+M44,J18+J47,J22+M50,J25+M53,J33+M59,J33+M60,J34+M61,J35+M61)</f>
        <v>11.496658614144048</v>
      </c>
    </row>
    <row r="64" spans="4:12" ht="12.75">
      <c r="D64" s="2"/>
      <c r="E64" s="2"/>
      <c r="F64" s="2"/>
      <c r="G64" s="2"/>
      <c r="H64" s="2"/>
      <c r="I64" s="2"/>
      <c r="J64" s="2"/>
      <c r="K64" s="2"/>
      <c r="L64" s="2"/>
    </row>
    <row r="65" spans="1:13" ht="12.75">
      <c r="A65" s="1"/>
      <c r="B65" s="1"/>
      <c r="D65" s="10"/>
      <c r="E65" s="10"/>
      <c r="F65" s="10"/>
      <c r="G65" s="10"/>
      <c r="H65" s="10"/>
      <c r="I65" s="6"/>
      <c r="J65" s="6"/>
      <c r="K65" s="6"/>
      <c r="L65" s="10"/>
      <c r="M65" s="10"/>
    </row>
    <row r="66" spans="11:12" ht="12.75">
      <c r="K66" s="2"/>
      <c r="L66" s="2"/>
    </row>
    <row r="67" spans="1:13" ht="12.75">
      <c r="A67" s="1"/>
      <c r="B67" s="1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6" ht="12.75">
      <c r="B68" s="2">
        <f ca="1">IF(CELL("type",Combustion!M52)="b","",Combustion!M52)</f>
      </c>
      <c r="C68" s="2">
        <f ca="1">IF(CELL("type",Combustion!N52)="b","",Combustion!N52)</f>
      </c>
      <c r="D68" s="4">
        <f ca="1">IF(CELL("type",Combustion!O52)="b","",Combustion!O52)</f>
      </c>
      <c r="E68" s="4">
        <f ca="1">IF(CELL("type",Combustion!P52)="b","",Combustion!P52)</f>
      </c>
      <c r="F68" s="4">
        <f ca="1">IF(CELL("type",Combustion!Q52)="b","",Combustion!Q52)</f>
      </c>
      <c r="G68" s="4">
        <f ca="1">IF(CELL("type",Combustion!R52)="b","",Combustion!R52)</f>
      </c>
      <c r="H68" s="4">
        <f ca="1">IF(CELL("type",Combustion!S52)="b","",Combustion!S52)</f>
      </c>
      <c r="I68" s="4">
        <f ca="1">IF(CELL("type",Combustion!T52)="b","",Combustion!T52)</f>
      </c>
      <c r="J68" s="4">
        <f ca="1">IF(CELL("type",Combustion!U52)="b","",Combustion!U52)</f>
      </c>
      <c r="K68" s="2">
        <f ca="1">IF(CELL("type",Combustion!V52)="b","",Combustion!V52)</f>
      </c>
      <c r="L68" s="2">
        <f ca="1">IF(CELL("type",Combustion!W51)="b","",Combustion!W51)</f>
      </c>
      <c r="M68" s="2">
        <f ca="1">IF(CELL("type",Combustion!X51)="b","",Combustion!X51)</f>
      </c>
      <c r="N68" s="2">
        <f ca="1">IF(CELL("type",Combustion!Y51)="b","",Combustion!Y51)</f>
      </c>
      <c r="O68" s="2">
        <f ca="1">IF(CELL("type",Combustion!Z51)="b","",Combustion!Z51)</f>
      </c>
      <c r="P68" s="2">
        <f ca="1">IF(CELL("type",Combustion!AA51)="b","",Combustion!AA51)</f>
      </c>
    </row>
    <row r="69" spans="2:16" ht="12.75">
      <c r="B69" s="2">
        <f ca="1">IF(CELL("type",Combustion!M53)="b","",Combustion!M53)</f>
      </c>
      <c r="C69" s="2">
        <f ca="1">IF(CELL("type",Combustion!N53)="b","",Combustion!N53)</f>
      </c>
      <c r="D69" s="4">
        <f ca="1">IF(CELL("type",Combustion!O53)="b","",Combustion!O53)</f>
      </c>
      <c r="E69" s="4">
        <f ca="1">IF(CELL("type",Combustion!P53)="b","",Combustion!P53)</f>
      </c>
      <c r="F69" s="4">
        <f ca="1">IF(CELL("type",Combustion!Q53)="b","",Combustion!Q53)</f>
      </c>
      <c r="G69" s="4">
        <f ca="1">IF(CELL("type",Combustion!R53)="b","",Combustion!R53)</f>
      </c>
      <c r="H69" s="4">
        <f ca="1">IF(CELL("type",Combustion!S53)="b","",Combustion!S53)</f>
      </c>
      <c r="I69" s="4">
        <f ca="1">IF(CELL("type",Combustion!T53)="b","",Combustion!T53)</f>
      </c>
      <c r="J69" s="4">
        <f ca="1">IF(CELL("type",Combustion!U53)="b","",Combustion!U53)</f>
      </c>
      <c r="K69" s="2">
        <f ca="1">IF(CELL("type",Combustion!V53)="b","",Combustion!V53)</f>
      </c>
      <c r="L69" s="2">
        <f ca="1">IF(CELL("type",Combustion!W52)="b","",Combustion!W52)</f>
      </c>
      <c r="M69" s="2">
        <f ca="1">IF(CELL("type",Combustion!X52)="b","",Combustion!X52)</f>
      </c>
      <c r="N69" s="2">
        <f ca="1">IF(CELL("type",Combustion!Y52)="b","",Combustion!Y52)</f>
      </c>
      <c r="O69" s="2">
        <f ca="1">IF(CELL("type",Combustion!Z52)="b","",Combustion!Z52)</f>
      </c>
      <c r="P69" s="2">
        <f ca="1">IF(CELL("type",Combustion!AA52)="b","",Combustion!AA52)</f>
      </c>
    </row>
    <row r="70" spans="2:16" ht="12.75">
      <c r="B70" s="2">
        <f ca="1">IF(CELL("type",Combustion!M54)="b","",Combustion!M54)</f>
      </c>
      <c r="C70" s="2">
        <f ca="1">IF(CELL("type",Combustion!N54)="b","",Combustion!N54)</f>
      </c>
      <c r="D70" s="4">
        <f ca="1">IF(CELL("type",Combustion!O54)="b","",Combustion!O54)</f>
      </c>
      <c r="E70" s="4">
        <f ca="1">IF(CELL("type",Combustion!P54)="b","",Combustion!P54)</f>
      </c>
      <c r="F70" s="4">
        <f ca="1">IF(CELL("type",Combustion!Q54)="b","",Combustion!Q54)</f>
      </c>
      <c r="G70" s="4">
        <f ca="1">IF(CELL("type",Combustion!R54)="b","",Combustion!R54)</f>
      </c>
      <c r="H70" s="4">
        <f ca="1">IF(CELL("type",Combustion!S54)="b","",Combustion!S54)</f>
      </c>
      <c r="I70" s="4">
        <f ca="1">IF(CELL("type",Combustion!T54)="b","",Combustion!T54)</f>
      </c>
      <c r="J70" s="4">
        <f ca="1">IF(CELL("type",Combustion!U54)="b","",Combustion!U54)</f>
      </c>
      <c r="K70" s="2">
        <f ca="1">IF(CELL("type",Combustion!V54)="b","",Combustion!V54)</f>
      </c>
      <c r="L70" s="2">
        <f ca="1">IF(CELL("type",Combustion!W53)="b","",Combustion!W53)</f>
      </c>
      <c r="M70" s="2">
        <f ca="1">IF(CELL("type",Combustion!X53)="b","",Combustion!X53)</f>
      </c>
      <c r="N70" s="2">
        <f ca="1">IF(CELL("type",Combustion!Y53)="b","",Combustion!Y53)</f>
      </c>
      <c r="O70" s="2">
        <f ca="1">IF(CELL("type",Combustion!Z53)="b","",Combustion!Z53)</f>
      </c>
      <c r="P70" s="2">
        <f ca="1">IF(CELL("type",Combustion!AA53)="b","",Combustion!AA53)</f>
      </c>
    </row>
    <row r="71" spans="2:16" ht="12.75">
      <c r="B71" s="2">
        <f ca="1">IF(CELL("type",Combustion!M55)="b","",Combustion!M55)</f>
      </c>
      <c r="C71" s="2">
        <f ca="1">IF(CELL("type",Combustion!N55)="b","",Combustion!N55)</f>
      </c>
      <c r="D71" s="4">
        <f ca="1">IF(CELL("type",Combustion!O55)="b","",Combustion!O55)</f>
      </c>
      <c r="E71" s="4">
        <f ca="1">IF(CELL("type",Combustion!P55)="b","",Combustion!P55)</f>
      </c>
      <c r="F71" s="4">
        <f ca="1">IF(CELL("type",Combustion!Q55)="b","",Combustion!Q55)</f>
      </c>
      <c r="G71" s="4">
        <f ca="1">IF(CELL("type",Combustion!R55)="b","",Combustion!R55)</f>
      </c>
      <c r="H71" s="4">
        <f ca="1">IF(CELL("type",Combustion!S55)="b","",Combustion!S55)</f>
      </c>
      <c r="I71" s="4">
        <f ca="1">IF(CELL("type",Combustion!T55)="b","",Combustion!T55)</f>
      </c>
      <c r="J71" s="4">
        <f ca="1">IF(CELL("type",Combustion!U55)="b","",Combustion!U55)</f>
      </c>
      <c r="K71" s="2">
        <f ca="1">IF(CELL("type",Combustion!V55)="b","",Combustion!V55)</f>
      </c>
      <c r="L71" s="2">
        <f ca="1">IF(CELL("type",Combustion!W54)="b","",Combustion!W54)</f>
      </c>
      <c r="M71" s="2">
        <f ca="1">IF(CELL("type",Combustion!X54)="b","",Combustion!X54)</f>
      </c>
      <c r="N71" s="2">
        <f ca="1">IF(CELL("type",Combustion!Y54)="b","",Combustion!Y54)</f>
      </c>
      <c r="O71" s="2">
        <f ca="1">IF(CELL("type",Combustion!Z54)="b","",Combustion!Z54)</f>
      </c>
      <c r="P71" s="2">
        <f ca="1">IF(CELL("type",Combustion!AA54)="b","",Combustion!AA54)</f>
      </c>
    </row>
    <row r="72" spans="2:16" ht="12.75">
      <c r="B72" s="2">
        <f ca="1">IF(CELL("type",Combustion!M56)="b","",Combustion!M56)</f>
      </c>
      <c r="C72" s="2">
        <f ca="1">IF(CELL("type",Combustion!N56)="b","",Combustion!N56)</f>
      </c>
      <c r="D72" s="4">
        <f ca="1">IF(CELL("type",Combustion!O56)="b","",Combustion!O56)</f>
      </c>
      <c r="E72" s="4">
        <f ca="1">IF(CELL("type",Combustion!P56)="b","",Combustion!P56)</f>
      </c>
      <c r="F72" s="4">
        <f ca="1">IF(CELL("type",Combustion!Q56)="b","",Combustion!Q56)</f>
      </c>
      <c r="G72" s="4">
        <f ca="1">IF(CELL("type",Combustion!R56)="b","",Combustion!R56)</f>
      </c>
      <c r="H72" s="4">
        <f ca="1">IF(CELL("type",Combustion!S56)="b","",Combustion!S56)</f>
      </c>
      <c r="I72" s="4">
        <f ca="1">IF(CELL("type",Combustion!T56)="b","",Combustion!T56)</f>
      </c>
      <c r="J72" s="4">
        <f ca="1">IF(CELL("type",Combustion!U56)="b","",Combustion!U56)</f>
      </c>
      <c r="K72" s="2">
        <f ca="1">IF(CELL("type",Combustion!V56)="b","",Combustion!V56)</f>
      </c>
      <c r="L72" s="2">
        <f ca="1">IF(CELL("type",Combustion!W55)="b","",Combustion!W55)</f>
      </c>
      <c r="M72" s="2">
        <f ca="1">IF(CELL("type",Combustion!X55)="b","",Combustion!X55)</f>
      </c>
      <c r="N72" s="2">
        <f ca="1">IF(CELL("type",Combustion!Y55)="b","",Combustion!Y55)</f>
      </c>
      <c r="O72" s="2">
        <f ca="1">IF(CELL("type",Combustion!Z55)="b","",Combustion!Z55)</f>
      </c>
      <c r="P72" s="2">
        <f ca="1">IF(CELL("type",Combustion!AA55)="b","",Combustion!AA55)</f>
      </c>
    </row>
    <row r="73" spans="2:16" ht="12.75">
      <c r="B73" s="2">
        <f ca="1">IF(CELL("type",Combustion!M57)="b","",Combustion!M57)</f>
      </c>
      <c r="C73" s="2">
        <f ca="1">IF(CELL("type",Combustion!N57)="b","",Combustion!N57)</f>
      </c>
      <c r="D73" s="4">
        <f ca="1">IF(CELL("type",Combustion!O57)="b","",Combustion!O57)</f>
      </c>
      <c r="E73" s="4">
        <f ca="1">IF(CELL("type",Combustion!P57)="b","",Combustion!P57)</f>
      </c>
      <c r="F73" s="4">
        <f ca="1">IF(CELL("type",Combustion!Q57)="b","",Combustion!Q57)</f>
      </c>
      <c r="G73" s="4">
        <f ca="1">IF(CELL("type",Combustion!R57)="b","",Combustion!R57)</f>
      </c>
      <c r="H73" s="4">
        <f ca="1">IF(CELL("type",Combustion!S57)="b","",Combustion!S57)</f>
      </c>
      <c r="I73" s="4">
        <f ca="1">IF(CELL("type",Combustion!T57)="b","",Combustion!T57)</f>
      </c>
      <c r="J73" s="4">
        <f ca="1">IF(CELL("type",Combustion!U57)="b","",Combustion!U57)</f>
      </c>
      <c r="K73" s="2">
        <f ca="1">IF(CELL("type",Combustion!V57)="b","",Combustion!V57)</f>
      </c>
      <c r="L73" s="2">
        <f ca="1">IF(CELL("type",Combustion!W56)="b","",Combustion!W56)</f>
      </c>
      <c r="M73" s="2">
        <f ca="1">IF(CELL("type",Combustion!X56)="b","",Combustion!X56)</f>
      </c>
      <c r="N73" s="2">
        <f ca="1">IF(CELL("type",Combustion!Y56)="b","",Combustion!Y56)</f>
      </c>
      <c r="O73" s="2">
        <f ca="1">IF(CELL("type",Combustion!Z56)="b","",Combustion!Z56)</f>
      </c>
      <c r="P73" s="2">
        <f ca="1">IF(CELL("type",Combustion!AA56)="b","",Combustion!AA56)</f>
      </c>
    </row>
    <row r="74" spans="2:16" ht="12.75">
      <c r="B74" s="2">
        <f ca="1">IF(CELL("type",Combustion!M58)="b","",Combustion!M58)</f>
      </c>
      <c r="C74" s="2">
        <f ca="1">IF(CELL("type",Combustion!N58)="b","",Combustion!N58)</f>
      </c>
      <c r="D74" s="4">
        <f ca="1">IF(CELL("type",Combustion!O58)="b","",Combustion!O58)</f>
      </c>
      <c r="E74" s="4">
        <f ca="1">IF(CELL("type",Combustion!P58)="b","",Combustion!P58)</f>
      </c>
      <c r="F74" s="4">
        <f ca="1">IF(CELL("type",Combustion!Q58)="b","",Combustion!Q58)</f>
      </c>
      <c r="G74" s="4">
        <f ca="1">IF(CELL("type",Combustion!R58)="b","",Combustion!R58)</f>
      </c>
      <c r="H74" s="4">
        <f ca="1">IF(CELL("type",Combustion!S58)="b","",Combustion!S58)</f>
      </c>
      <c r="I74" s="4">
        <f ca="1">IF(CELL("type",Combustion!T58)="b","",Combustion!T58)</f>
      </c>
      <c r="J74" s="4">
        <f ca="1">IF(CELL("type",Combustion!U58)="b","",Combustion!U58)</f>
      </c>
      <c r="K74" s="2">
        <f ca="1">IF(CELL("type",Combustion!V58)="b","",Combustion!V58)</f>
      </c>
      <c r="L74" s="2">
        <f ca="1">IF(CELL("type",Combustion!W57)="b","",Combustion!W57)</f>
      </c>
      <c r="M74" s="2">
        <f ca="1">IF(CELL("type",Combustion!X57)="b","",Combustion!X57)</f>
      </c>
      <c r="N74" s="2">
        <f ca="1">IF(CELL("type",Combustion!Y57)="b","",Combustion!Y57)</f>
      </c>
      <c r="O74" s="2">
        <f ca="1">IF(CELL("type",Combustion!Z57)="b","",Combustion!Z57)</f>
      </c>
      <c r="P74" s="2">
        <f ca="1">IF(CELL("type",Combustion!AA57)="b","",Combustion!AA57)</f>
      </c>
    </row>
    <row r="75" spans="2:16" s="1" customFormat="1" ht="12.75">
      <c r="B75" s="2">
        <f ca="1">IF(CELL("type",Combustion!M59)="b","",Combustion!M59)</f>
      </c>
      <c r="C75" s="2">
        <f ca="1">IF(CELL("type",Combustion!N59)="b","",Combustion!N59)</f>
      </c>
      <c r="D75" s="4">
        <f ca="1">IF(CELL("type",Combustion!O59)="b","",Combustion!O59)</f>
      </c>
      <c r="E75" s="4">
        <f ca="1">IF(CELL("type",Combustion!P59)="b","",Combustion!P59)</f>
      </c>
      <c r="F75" s="4">
        <f ca="1">IF(CELL("type",Combustion!Q59)="b","",Combustion!Q59)</f>
      </c>
      <c r="G75" s="4">
        <f ca="1">IF(CELL("type",Combustion!R59)="b","",Combustion!R59)</f>
      </c>
      <c r="H75" s="4">
        <f ca="1">IF(CELL("type",Combustion!S59)="b","",Combustion!S59)</f>
      </c>
      <c r="I75" s="4">
        <f ca="1">IF(CELL("type",Combustion!T59)="b","",Combustion!T59)</f>
      </c>
      <c r="J75" s="4">
        <f ca="1">IF(CELL("type",Combustion!U59)="b","",Combustion!U59)</f>
      </c>
      <c r="K75" s="2">
        <f ca="1">IF(CELL("type",Combustion!V59)="b","",Combustion!V59)</f>
      </c>
      <c r="L75" s="2">
        <f ca="1">IF(CELL("type",Combustion!W58)="b","",Combustion!W58)</f>
      </c>
      <c r="M75" s="2">
        <f ca="1">IF(CELL("type",Combustion!X58)="b","",Combustion!X58)</f>
      </c>
      <c r="N75" s="2">
        <f ca="1">IF(CELL("type",Combustion!Y58)="b","",Combustion!Y58)</f>
      </c>
      <c r="O75" s="2">
        <f ca="1">IF(CELL("type",Combustion!Z58)="b","",Combustion!Z58)</f>
      </c>
      <c r="P75" s="2">
        <f ca="1">IF(CELL("type",Combustion!AA58)="b","",Combustion!AA58)</f>
      </c>
    </row>
    <row r="76" spans="2:16" ht="12.75">
      <c r="B76" s="2">
        <f ca="1">IF(CELL("type",Combustion!M60)="b","",Combustion!M60)</f>
      </c>
      <c r="C76" s="2">
        <f ca="1">IF(CELL("type",Combustion!N60)="b","",Combustion!N60)</f>
      </c>
      <c r="D76" s="4">
        <f ca="1">IF(CELL("type",Combustion!O60)="b","",Combustion!O60)</f>
      </c>
      <c r="E76" s="4">
        <f ca="1">IF(CELL("type",Combustion!P60)="b","",Combustion!P60)</f>
      </c>
      <c r="F76" s="4">
        <f ca="1">IF(CELL("type",Combustion!Q60)="b","",Combustion!Q60)</f>
      </c>
      <c r="G76" s="4">
        <f ca="1">IF(CELL("type",Combustion!R60)="b","",Combustion!R60)</f>
      </c>
      <c r="H76" s="4">
        <f ca="1">IF(CELL("type",Combustion!S60)="b","",Combustion!S60)</f>
      </c>
      <c r="I76" s="4">
        <f ca="1">IF(CELL("type",Combustion!T60)="b","",Combustion!T60)</f>
      </c>
      <c r="J76" s="4">
        <f ca="1">IF(CELL("type",Combustion!U60)="b","",Combustion!U60)</f>
      </c>
      <c r="K76" s="2">
        <f ca="1">IF(CELL("type",Combustion!V60)="b","",Combustion!V60)</f>
      </c>
      <c r="L76" s="2">
        <f ca="1">IF(CELL("type",Combustion!W59)="b","",Combustion!W59)</f>
      </c>
      <c r="M76" s="2">
        <f ca="1">IF(CELL("type",Combustion!X59)="b","",Combustion!X59)</f>
      </c>
      <c r="N76" s="2">
        <f ca="1">IF(CELL("type",Combustion!Y59)="b","",Combustion!Y59)</f>
      </c>
      <c r="O76" s="2">
        <f ca="1">IF(CELL("type",Combustion!Z59)="b","",Combustion!Z59)</f>
      </c>
      <c r="P76" s="2">
        <f ca="1">IF(CELL("type",Combustion!AA59)="b","",Combustion!AA59)</f>
      </c>
    </row>
    <row r="77" spans="2:16" ht="12.75">
      <c r="B77" s="2">
        <f ca="1">IF(CELL("type",Combustion!M61)="b","",Combustion!M61)</f>
      </c>
      <c r="C77" s="2">
        <f ca="1">IF(CELL("type",Combustion!N61)="b","",Combustion!N61)</f>
      </c>
      <c r="D77" s="4">
        <f ca="1">IF(CELL("type",Combustion!O61)="b","",Combustion!O61)</f>
      </c>
      <c r="E77" s="4">
        <f ca="1">IF(CELL("type",Combustion!P61)="b","",Combustion!P61)</f>
      </c>
      <c r="F77" s="4">
        <f ca="1">IF(CELL("type",Combustion!Q61)="b","",Combustion!Q61)</f>
      </c>
      <c r="G77" s="4">
        <f ca="1">IF(CELL("type",Combustion!R61)="b","",Combustion!R61)</f>
      </c>
      <c r="H77" s="4">
        <f ca="1">IF(CELL("type",Combustion!S61)="b","",Combustion!S61)</f>
      </c>
      <c r="I77" s="4">
        <f ca="1">IF(CELL("type",Combustion!T61)="b","",Combustion!T61)</f>
      </c>
      <c r="J77" s="4">
        <f ca="1">IF(CELL("type",Combustion!U61)="b","",Combustion!U61)</f>
      </c>
      <c r="K77" s="2">
        <f ca="1">IF(CELL("type",Combustion!V61)="b","",Combustion!V61)</f>
      </c>
      <c r="L77" s="2">
        <f ca="1">IF(CELL("type",Combustion!W60)="b","",Combustion!W60)</f>
      </c>
      <c r="M77" s="2">
        <f ca="1">IF(CELL("type",Combustion!X60)="b","",Combustion!X60)</f>
      </c>
      <c r="N77" s="2">
        <f ca="1">IF(CELL("type",Combustion!Y60)="b","",Combustion!Y60)</f>
      </c>
      <c r="O77" s="2">
        <f ca="1">IF(CELL("type",Combustion!Z60)="b","",Combustion!Z60)</f>
      </c>
      <c r="P77" s="2">
        <f ca="1">IF(CELL("type",Combustion!AA60)="b","",Combustion!AA60)</f>
      </c>
    </row>
    <row r="78" spans="2:16" ht="12.75">
      <c r="B78" s="2">
        <f ca="1">IF(CELL("type",Combustion!M62)="b","",Combustion!M62)</f>
      </c>
      <c r="C78" s="2">
        <f ca="1">IF(CELL("type",Combustion!N62)="b","",Combustion!N62)</f>
      </c>
      <c r="D78" s="4">
        <f ca="1">IF(CELL("type",Combustion!O62)="b","",Combustion!O62)</f>
      </c>
      <c r="E78" s="4">
        <f ca="1">IF(CELL("type",Combustion!P62)="b","",Combustion!P62)</f>
      </c>
      <c r="F78" s="4">
        <f ca="1">IF(CELL("type",Combustion!Q62)="b","",Combustion!Q62)</f>
      </c>
      <c r="G78" s="4">
        <f ca="1">IF(CELL("type",Combustion!R62)="b","",Combustion!R62)</f>
      </c>
      <c r="H78" s="4">
        <f ca="1">IF(CELL("type",Combustion!S62)="b","",Combustion!S62)</f>
      </c>
      <c r="I78" s="4">
        <f ca="1">IF(CELL("type",Combustion!T62)="b","",Combustion!T62)</f>
      </c>
      <c r="J78" s="4">
        <f ca="1">IF(CELL("type",Combustion!U62)="b","",Combustion!U62)</f>
      </c>
      <c r="K78" s="2">
        <f ca="1">IF(CELL("type",Combustion!V62)="b","",Combustion!V62)</f>
      </c>
      <c r="L78" s="2">
        <f ca="1">IF(CELL("type",Combustion!W61)="b","",Combustion!W61)</f>
      </c>
      <c r="M78" s="2">
        <f ca="1">IF(CELL("type",Combustion!X61)="b","",Combustion!X61)</f>
      </c>
      <c r="N78" s="2">
        <f ca="1">IF(CELL("type",Combustion!Y61)="b","",Combustion!Y61)</f>
      </c>
      <c r="O78" s="2">
        <f ca="1">IF(CELL("type",Combustion!Z61)="b","",Combustion!Z61)</f>
      </c>
      <c r="P78" s="2">
        <f ca="1">IF(CELL("type",Combustion!AA61)="b","",Combustion!AA61)</f>
      </c>
    </row>
    <row r="79" spans="2:16" ht="12.75">
      <c r="B79" s="2">
        <f ca="1">IF(CELL("type",Combustion!M63)="b","",Combustion!M63)</f>
      </c>
      <c r="C79" s="2">
        <f ca="1">IF(CELL("type",Combustion!N63)="b","",Combustion!N63)</f>
      </c>
      <c r="D79" s="4">
        <f ca="1">IF(CELL("type",Combustion!O63)="b","",Combustion!O63)</f>
      </c>
      <c r="E79" s="4">
        <f ca="1">IF(CELL("type",Combustion!P63)="b","",Combustion!P63)</f>
      </c>
      <c r="F79" s="4">
        <f ca="1">IF(CELL("type",Combustion!Q63)="b","",Combustion!Q63)</f>
      </c>
      <c r="G79" s="4">
        <f ca="1">IF(CELL("type",Combustion!R63)="b","",Combustion!R63)</f>
      </c>
      <c r="H79" s="4">
        <f ca="1">IF(CELL("type",Combustion!S63)="b","",Combustion!S63)</f>
      </c>
      <c r="I79" s="4">
        <f ca="1">IF(CELL("type",Combustion!T63)="b","",Combustion!T63)</f>
      </c>
      <c r="J79" s="4">
        <f ca="1">IF(CELL("type",Combustion!U63)="b","",Combustion!U63)</f>
      </c>
      <c r="K79" s="2">
        <f ca="1">IF(CELL("type",Combustion!V63)="b","",Combustion!V63)</f>
      </c>
      <c r="L79" s="2">
        <f ca="1">IF(CELL("type",Combustion!W62)="b","",Combustion!W62)</f>
      </c>
      <c r="M79" s="2">
        <f ca="1">IF(CELL("type",Combustion!X62)="b","",Combustion!X62)</f>
      </c>
      <c r="N79" s="2">
        <f ca="1">IF(CELL("type",Combustion!Y62)="b","",Combustion!Y62)</f>
      </c>
      <c r="O79" s="2">
        <f ca="1">IF(CELL("type",Combustion!Z62)="b","",Combustion!Z62)</f>
      </c>
      <c r="P79" s="2">
        <f ca="1">IF(CELL("type",Combustion!AA62)="b","",Combustion!AA62)</f>
      </c>
    </row>
    <row r="80" spans="2:16" ht="12.75">
      <c r="B80" s="2">
        <f ca="1">IF(CELL("type",Combustion!M64)="b","",Combustion!M64)</f>
      </c>
      <c r="C80" s="2">
        <f ca="1">IF(CELL("type",Combustion!N64)="b","",Combustion!N64)</f>
      </c>
      <c r="D80" s="4">
        <f ca="1">IF(CELL("type",Combustion!O64)="b","",Combustion!O64)</f>
      </c>
      <c r="E80" s="4">
        <f ca="1">IF(CELL("type",Combustion!P64)="b","",Combustion!P64)</f>
      </c>
      <c r="F80" s="4">
        <f ca="1">IF(CELL("type",Combustion!Q64)="b","",Combustion!Q64)</f>
      </c>
      <c r="G80" s="4">
        <f ca="1">IF(CELL("type",Combustion!R64)="b","",Combustion!R64)</f>
      </c>
      <c r="H80" s="4">
        <f ca="1">IF(CELL("type",Combustion!S64)="b","",Combustion!S64)</f>
      </c>
      <c r="I80" s="4">
        <f ca="1">IF(CELL("type",Combustion!T64)="b","",Combustion!T64)</f>
      </c>
      <c r="J80" s="4">
        <f ca="1">IF(CELL("type",Combustion!U64)="b","",Combustion!U64)</f>
      </c>
      <c r="K80" s="2">
        <f ca="1">IF(CELL("type",Combustion!V64)="b","",Combustion!V64)</f>
      </c>
      <c r="L80" s="2">
        <f ca="1">IF(CELL("type",Combustion!W63)="b","",Combustion!W63)</f>
      </c>
      <c r="M80" s="2">
        <f ca="1">IF(CELL("type",Combustion!X63)="b","",Combustion!X63)</f>
      </c>
      <c r="N80" s="2">
        <f ca="1">IF(CELL("type",Combustion!Y63)="b","",Combustion!Y63)</f>
      </c>
      <c r="O80" s="2">
        <f ca="1">IF(CELL("type",Combustion!Z63)="b","",Combustion!Z63)</f>
      </c>
      <c r="P80" s="2">
        <f ca="1">IF(CELL("type",Combustion!AA63)="b","",Combustion!AA63)</f>
      </c>
    </row>
    <row r="81" spans="2:16" ht="12.75">
      <c r="B81" s="2">
        <f ca="1">IF(CELL("type",Combustion!M65)="b","",Combustion!M65)</f>
      </c>
      <c r="C81" s="2">
        <f ca="1">IF(CELL("type",Combustion!N65)="b","",Combustion!N65)</f>
      </c>
      <c r="D81" s="4">
        <f ca="1">IF(CELL("type",Combustion!O65)="b","",Combustion!O65)</f>
      </c>
      <c r="E81" s="4">
        <f ca="1">IF(CELL("type",Combustion!P65)="b","",Combustion!P65)</f>
      </c>
      <c r="F81" s="4">
        <f ca="1">IF(CELL("type",Combustion!Q65)="b","",Combustion!Q65)</f>
      </c>
      <c r="G81" s="4">
        <f ca="1">IF(CELL("type",Combustion!R65)="b","",Combustion!R65)</f>
      </c>
      <c r="H81" s="4">
        <f ca="1">IF(CELL("type",Combustion!S65)="b","",Combustion!S65)</f>
      </c>
      <c r="I81" s="4">
        <f ca="1">IF(CELL("type",Combustion!T65)="b","",Combustion!T65)</f>
      </c>
      <c r="J81" s="4">
        <f ca="1">IF(CELL("type",Combustion!U65)="b","",Combustion!U65)</f>
      </c>
      <c r="K81" s="2">
        <f ca="1">IF(CELL("type",Combustion!V65)="b","",Combustion!V65)</f>
      </c>
      <c r="L81" s="2">
        <f ca="1">IF(CELL("type",Combustion!W64)="b","",Combustion!W64)</f>
      </c>
      <c r="M81" s="2">
        <f ca="1">IF(CELL("type",Combustion!X64)="b","",Combustion!X64)</f>
      </c>
      <c r="N81" s="2">
        <f ca="1">IF(CELL("type",Combustion!Y64)="b","",Combustion!Y64)</f>
      </c>
      <c r="O81" s="2">
        <f ca="1">IF(CELL("type",Combustion!Z64)="b","",Combustion!Z64)</f>
      </c>
      <c r="P81" s="2">
        <f ca="1">IF(CELL("type",Combustion!AA64)="b","",Combustion!AA64)</f>
      </c>
    </row>
  </sheetData>
  <sheetProtection/>
  <printOptions/>
  <pageMargins left="0.76" right="0.25" top="1" bottom="0.75" header="0.5" footer="0.5"/>
  <pageSetup fitToHeight="1" fitToWidth="1" horizontalDpi="600" verticalDpi="600" orientation="landscape" scale="55" r:id="rId1"/>
  <headerFooter alignWithMargins="0">
    <oddHeader xml:space="preserve">&amp;R&amp;"Times New Roman,Bold Italic"Final EA - Appendix D&amp;"Times New Roman,Italic" </oddHeader>
    <oddFooter>&amp;L&amp;"Times New Roman,Bold Italic"PAReg XX / PRs 1631, 1632, 1633, 2507&amp;"Arial,Bold Italic"
&amp;R&amp;"Times New Roman,Bold Italic"May 2001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32.28125" style="2" customWidth="1"/>
    <col min="2" max="2" width="32.140625" style="2" customWidth="1"/>
    <col min="3" max="3" width="17.00390625" style="2" customWidth="1"/>
    <col min="4" max="4" width="10.8515625" style="2" customWidth="1"/>
    <col min="5" max="5" width="11.7109375" style="2" customWidth="1"/>
    <col min="6" max="6" width="8.57421875" style="2" customWidth="1"/>
    <col min="7" max="7" width="12.28125" style="2" customWidth="1"/>
    <col min="8" max="8" width="13.00390625" style="2" customWidth="1"/>
    <col min="9" max="9" width="6.28125" style="2" customWidth="1"/>
    <col min="10" max="10" width="6.140625" style="2" customWidth="1"/>
    <col min="11" max="11" width="7.8515625" style="2" customWidth="1"/>
    <col min="12" max="12" width="15.421875" style="2" bestFit="1" customWidth="1"/>
    <col min="13" max="13" width="30.140625" style="2" bestFit="1" customWidth="1"/>
    <col min="14" max="14" width="18.421875" style="15" customWidth="1"/>
    <col min="15" max="15" width="10.7109375" style="15" bestFit="1" customWidth="1"/>
    <col min="16" max="17" width="7.8515625" style="15" customWidth="1"/>
    <col min="18" max="19" width="10.7109375" style="15" bestFit="1" customWidth="1"/>
    <col min="20" max="20" width="10.00390625" style="2" bestFit="1" customWidth="1"/>
    <col min="21" max="16384" width="7.8515625" style="2" customWidth="1"/>
  </cols>
  <sheetData>
    <row r="1" spans="1:19" ht="15">
      <c r="A1" s="3" t="s">
        <v>190</v>
      </c>
      <c r="S1" s="2"/>
    </row>
    <row r="2" ht="12.75">
      <c r="S2" s="2"/>
    </row>
    <row r="3" spans="1:22" ht="12.75">
      <c r="A3" s="1" t="s">
        <v>41</v>
      </c>
      <c r="M3" s="1" t="s">
        <v>64</v>
      </c>
      <c r="N3" s="2"/>
      <c r="O3" s="2"/>
      <c r="P3" s="2"/>
      <c r="T3" s="15"/>
      <c r="U3" s="15"/>
      <c r="V3" s="15"/>
    </row>
    <row r="4" spans="1:19" ht="12.75">
      <c r="A4" s="5" t="s">
        <v>0</v>
      </c>
      <c r="B4" s="5" t="s">
        <v>43</v>
      </c>
      <c r="C4" s="5" t="s">
        <v>73</v>
      </c>
      <c r="D4" s="5" t="s">
        <v>63</v>
      </c>
      <c r="E4" s="5" t="s">
        <v>69</v>
      </c>
      <c r="F4" s="5" t="s">
        <v>70</v>
      </c>
      <c r="G4" s="5"/>
      <c r="H4" s="5"/>
      <c r="I4" s="5"/>
      <c r="J4" s="5"/>
      <c r="K4" s="5"/>
      <c r="M4" s="1" t="str">
        <f>+A4</f>
        <v>Construction Activity</v>
      </c>
      <c r="N4" s="1" t="s">
        <v>3</v>
      </c>
      <c r="O4" s="16" t="s">
        <v>7</v>
      </c>
      <c r="P4" s="16" t="s">
        <v>34</v>
      </c>
      <c r="Q4" s="16" t="s">
        <v>9</v>
      </c>
      <c r="R4" s="16" t="s">
        <v>10</v>
      </c>
      <c r="S4" s="16" t="s">
        <v>11</v>
      </c>
    </row>
    <row r="5" spans="2:19" ht="12.75">
      <c r="B5" s="5" t="s">
        <v>42</v>
      </c>
      <c r="C5" s="5" t="s">
        <v>72</v>
      </c>
      <c r="D5" s="5" t="s">
        <v>44</v>
      </c>
      <c r="E5" s="5"/>
      <c r="F5" s="5" t="s">
        <v>71</v>
      </c>
      <c r="G5" s="5" t="s">
        <v>110</v>
      </c>
      <c r="H5" s="5"/>
      <c r="I5" s="5"/>
      <c r="J5" s="5"/>
      <c r="K5" s="5"/>
      <c r="N5" s="1" t="s">
        <v>42</v>
      </c>
      <c r="O5" s="17" t="s">
        <v>12</v>
      </c>
      <c r="P5" s="17" t="s">
        <v>12</v>
      </c>
      <c r="Q5" s="17" t="s">
        <v>12</v>
      </c>
      <c r="R5" s="17" t="s">
        <v>12</v>
      </c>
      <c r="S5" s="17" t="s">
        <v>12</v>
      </c>
    </row>
    <row r="6" spans="1:14" ht="12.75">
      <c r="A6" s="1" t="s">
        <v>76</v>
      </c>
      <c r="B6" s="8"/>
      <c r="C6" s="5"/>
      <c r="D6" s="5"/>
      <c r="E6" s="5"/>
      <c r="F6" s="8">
        <v>3</v>
      </c>
      <c r="G6" s="18"/>
      <c r="H6" s="18"/>
      <c r="I6" s="18"/>
      <c r="J6" s="18"/>
      <c r="K6" s="18"/>
      <c r="M6" s="1" t="str">
        <f>+A6</f>
        <v>Tank Excavation</v>
      </c>
      <c r="N6" s="18"/>
    </row>
    <row r="7" spans="1:19" ht="12.75">
      <c r="A7" s="2" t="s">
        <v>99</v>
      </c>
      <c r="B7" s="8" t="s">
        <v>80</v>
      </c>
      <c r="C7" s="8">
        <v>1</v>
      </c>
      <c r="D7" s="19">
        <v>8</v>
      </c>
      <c r="E7" s="19">
        <v>8</v>
      </c>
      <c r="F7" s="8"/>
      <c r="G7" s="20" t="s">
        <v>111</v>
      </c>
      <c r="H7" s="20"/>
      <c r="I7" s="20"/>
      <c r="J7" s="20"/>
      <c r="K7" s="20"/>
      <c r="M7" s="2" t="str">
        <f>+A7</f>
        <v>Driveway Demolition</v>
      </c>
      <c r="N7" s="2" t="str">
        <f>+B7</f>
        <v>Backhoe</v>
      </c>
      <c r="O7" s="15">
        <f>+$E7*$C7*VLOOKUP($N7,$A$67:$E$71,2,FALSE)*VLOOKUP($N7,$A$67:$E$71,3,FALSE)/100*VLOOKUP($N7,$A$55:$K$59,2,FALSE)</f>
        <v>4.4082</v>
      </c>
      <c r="P7" s="15">
        <f>+$E7*$C7*VLOOKUP($N7,$A$67:$E$71,2,FALSE)*VLOOKUP($N7,$A$67:$E$71,3,FALSE)/100*VLOOKUP($N7,$A$55:$K$59,3,FALSE)</f>
        <v>0.88164</v>
      </c>
      <c r="Q7" s="15">
        <f>+$E7*$C7*VLOOKUP($N7,$A$67:$E$71,2,FALSE)*VLOOKUP($N7,$A$67:$E$71,3,FALSE)/100*VLOOKUP($N7,$A$55:$K$59,4,FALSE)</f>
        <v>6.4653599999999996</v>
      </c>
      <c r="R7" s="15">
        <f>+$E7*$C7*VLOOKUP($N7,$A$67:$E$71,2,FALSE)*VLOOKUP($N7,$A$67:$E$71,3,FALSE)/100*VLOOKUP($N7,$A$55:$K$59,5,FALSE)</f>
        <v>0.58776</v>
      </c>
      <c r="S7" s="15">
        <f>+$E7*$C7*VLOOKUP($N7,$A$67:$E$71,2,FALSE)*VLOOKUP($N7,$A$67:$E$71,3,FALSE)/100*VLOOKUP($N7,$A$55:$K$59,6,FALSE)</f>
        <v>0.29388</v>
      </c>
    </row>
    <row r="8" spans="1:19" ht="12.75">
      <c r="A8" s="2" t="s">
        <v>81</v>
      </c>
      <c r="B8" s="8" t="s">
        <v>80</v>
      </c>
      <c r="C8" s="8">
        <v>1</v>
      </c>
      <c r="D8" s="19">
        <v>2</v>
      </c>
      <c r="E8" s="19">
        <v>2</v>
      </c>
      <c r="F8" s="8"/>
      <c r="G8" s="18"/>
      <c r="H8" s="18"/>
      <c r="I8" s="18"/>
      <c r="J8" s="18"/>
      <c r="K8" s="18"/>
      <c r="M8" s="2" t="str">
        <f>+A8</f>
        <v>Excavation</v>
      </c>
      <c r="N8" s="2" t="str">
        <f>+B8</f>
        <v>Backhoe</v>
      </c>
      <c r="O8" s="15">
        <f>+$E8*$C8*VLOOKUP($N8,$A$67:$E$71,2,FALSE)*VLOOKUP($N8,$A$67:$E$71,3,FALSE)/100*VLOOKUP($N8,$A$55:$K$59,2,FALSE)</f>
        <v>1.10205</v>
      </c>
      <c r="P8" s="15">
        <f>+$E8*$C8*VLOOKUP($N8,$A$67:$E$71,2,FALSE)*VLOOKUP($N8,$A$67:$E$71,3,FALSE)/100*VLOOKUP($N8,$A$55:$K$59,3,FALSE)</f>
        <v>0.22041</v>
      </c>
      <c r="Q8" s="15">
        <f>+$E8*$C8*VLOOKUP($N8,$A$67:$E$71,2,FALSE)*VLOOKUP($N8,$A$67:$E$71,3,FALSE)/100*VLOOKUP($N8,$A$55:$K$59,4,FALSE)</f>
        <v>1.6163399999999999</v>
      </c>
      <c r="R8" s="15">
        <f>+$E8*$C8*VLOOKUP($N8,$A$67:$E$71,2,FALSE)*VLOOKUP($N8,$A$67:$E$71,3,FALSE)/100*VLOOKUP($N8,$A$55:$K$59,5,FALSE)</f>
        <v>0.14694</v>
      </c>
      <c r="S8" s="15">
        <f>+$E8*$C8*VLOOKUP($N8,$A$67:$E$71,2,FALSE)*VLOOKUP($N8,$A$67:$E$71,3,FALSE)/100*VLOOKUP($N8,$A$55:$K$59,6,FALSE)</f>
        <v>0.07347</v>
      </c>
    </row>
    <row r="9" spans="1:19" ht="12.75">
      <c r="A9" s="2" t="s">
        <v>82</v>
      </c>
      <c r="B9" s="8" t="s">
        <v>80</v>
      </c>
      <c r="C9" s="8">
        <v>1</v>
      </c>
      <c r="D9" s="19">
        <v>2</v>
      </c>
      <c r="E9" s="19">
        <v>2</v>
      </c>
      <c r="F9" s="8"/>
      <c r="G9" s="18" t="s">
        <v>112</v>
      </c>
      <c r="H9" s="18"/>
      <c r="I9" s="18"/>
      <c r="J9" s="18"/>
      <c r="K9" s="18"/>
      <c r="M9" s="2" t="str">
        <f>+A9</f>
        <v>Concrete Removal</v>
      </c>
      <c r="N9" s="2" t="str">
        <f>+B9</f>
        <v>Backhoe</v>
      </c>
      <c r="O9" s="15">
        <f>+$E9*$C9*VLOOKUP($N9,$A$67:$E$71,2,FALSE)*VLOOKUP($N9,$A$67:$E$71,3,FALSE)/100*VLOOKUP($N9,$A$55:$K$59,2,FALSE)</f>
        <v>1.10205</v>
      </c>
      <c r="P9" s="15">
        <f>+$E9*$C9*VLOOKUP($N9,$A$67:$E$71,2,FALSE)*VLOOKUP($N9,$A$67:$E$71,3,FALSE)/100*VLOOKUP($N9,$A$55:$K$59,3,FALSE)</f>
        <v>0.22041</v>
      </c>
      <c r="Q9" s="15">
        <f>+$E9*$C9*VLOOKUP($N9,$A$67:$E$71,2,FALSE)*VLOOKUP($N9,$A$67:$E$71,3,FALSE)/100*VLOOKUP($N9,$A$55:$K$59,4,FALSE)</f>
        <v>1.6163399999999999</v>
      </c>
      <c r="R9" s="15">
        <f>+$E9*$C9*VLOOKUP($N9,$A$67:$E$71,2,FALSE)*VLOOKUP($N9,$A$67:$E$71,3,FALSE)/100*VLOOKUP($N9,$A$55:$K$59,5,FALSE)</f>
        <v>0.14694</v>
      </c>
      <c r="S9" s="15">
        <f>+$E9*$C9*VLOOKUP($N9,$A$67:$E$71,2,FALSE)*VLOOKUP($N9,$A$67:$E$71,3,FALSE)/100*VLOOKUP($N9,$A$55:$K$59,6,FALSE)</f>
        <v>0.07347</v>
      </c>
    </row>
    <row r="10" spans="2:14" ht="12.75">
      <c r="B10" s="8"/>
      <c r="C10" s="8"/>
      <c r="D10" s="8"/>
      <c r="E10" s="8"/>
      <c r="F10" s="8"/>
      <c r="G10" s="18"/>
      <c r="H10" s="18"/>
      <c r="I10" s="18"/>
      <c r="J10" s="18"/>
      <c r="K10" s="18"/>
      <c r="N10" s="18"/>
    </row>
    <row r="11" spans="1:14" ht="12.75">
      <c r="A11" s="1" t="s">
        <v>78</v>
      </c>
      <c r="B11" s="8"/>
      <c r="C11" s="8"/>
      <c r="D11" s="8"/>
      <c r="E11" s="8"/>
      <c r="F11" s="8">
        <v>3</v>
      </c>
      <c r="G11" s="18"/>
      <c r="H11" s="18"/>
      <c r="I11" s="18"/>
      <c r="J11" s="18"/>
      <c r="K11" s="18"/>
      <c r="M11" s="1" t="str">
        <f>+A11</f>
        <v>Tank Degassing</v>
      </c>
      <c r="N11" s="18"/>
    </row>
    <row r="12" spans="1:19" ht="12.75">
      <c r="A12" s="2" t="s">
        <v>109</v>
      </c>
      <c r="B12" s="8" t="s">
        <v>83</v>
      </c>
      <c r="C12" s="8">
        <v>1</v>
      </c>
      <c r="D12" s="19">
        <v>2</v>
      </c>
      <c r="E12" s="19">
        <f>IF(D12&gt;8,8,D12)</f>
        <v>2</v>
      </c>
      <c r="F12" s="8"/>
      <c r="G12" s="18"/>
      <c r="H12" s="18"/>
      <c r="I12" s="18"/>
      <c r="J12" s="18"/>
      <c r="K12" s="18"/>
      <c r="M12" s="2" t="str">
        <f>+A12</f>
        <v>All</v>
      </c>
      <c r="N12" s="2" t="str">
        <f>+B12</f>
        <v>IC Engine</v>
      </c>
      <c r="O12" s="15">
        <f>+$E12*$C12*VLOOKUP($N12,$A$67:$E$71,4,FALSE)*VLOOKUP($N12,$A$67:$E$71,5,FALSE)/100*VLOOKUP($N12,$A$55:$K$59,7,FALSE)</f>
        <v>17.44</v>
      </c>
      <c r="P12" s="15">
        <f>+$E12*$C12*VLOOKUP($N12,$A$67:$E$71,4,FALSE)*VLOOKUP($N12,$A$67:$E$71,5,FALSE)/100*VLOOKUP($N12,$A$55:$K$59,8,FALSE)</f>
        <v>0.66</v>
      </c>
      <c r="Q12" s="15">
        <f>+$E12*$C12*VLOOKUP($N12,$A$67:$E$71,4,FALSE)*VLOOKUP($N12,$A$67:$E$71,5,FALSE)/100*VLOOKUP($N12,$A$55:$K$59,9,FALSE)</f>
        <v>0.45999999999999996</v>
      </c>
      <c r="R12" s="15">
        <f>+$E12*$C12*VLOOKUP($N12,$A$67:$E$71,4,FALSE)*VLOOKUP($N12,$A$67:$E$71,5,FALSE)/100*VLOOKUP($N12,$A$55:$K$59,10,FALSE)</f>
        <v>0.02</v>
      </c>
      <c r="S12" s="15">
        <f>+$E12*$C12*VLOOKUP($N12,$A$67:$E$71,4,FALSE)*VLOOKUP($N12,$A$67:$E$71,5,FALSE)/100*VLOOKUP($N12,$A$55:$K$59,11,FALSE)</f>
        <v>0.02</v>
      </c>
    </row>
    <row r="13" spans="2:14" ht="12.75">
      <c r="B13" s="8"/>
      <c r="C13" s="8"/>
      <c r="D13" s="8"/>
      <c r="E13" s="8"/>
      <c r="F13" s="8"/>
      <c r="G13" s="18"/>
      <c r="H13" s="18"/>
      <c r="I13" s="18"/>
      <c r="J13" s="18"/>
      <c r="K13" s="18"/>
      <c r="N13" s="18"/>
    </row>
    <row r="14" spans="1:14" ht="12.75">
      <c r="A14" s="1" t="s">
        <v>77</v>
      </c>
      <c r="B14" s="8"/>
      <c r="C14" s="8"/>
      <c r="D14" s="8"/>
      <c r="E14" s="8"/>
      <c r="F14" s="8">
        <v>3</v>
      </c>
      <c r="G14" s="18"/>
      <c r="H14" s="18"/>
      <c r="I14" s="18"/>
      <c r="J14" s="18"/>
      <c r="K14" s="18"/>
      <c r="M14" s="1" t="str">
        <f>+A14</f>
        <v>Tank Removal</v>
      </c>
      <c r="N14" s="18"/>
    </row>
    <row r="15" spans="1:19" ht="12.75">
      <c r="A15" s="2" t="s">
        <v>109</v>
      </c>
      <c r="B15" s="8" t="s">
        <v>80</v>
      </c>
      <c r="C15" s="8">
        <v>1</v>
      </c>
      <c r="D15" s="19">
        <v>8</v>
      </c>
      <c r="E15" s="19">
        <v>8</v>
      </c>
      <c r="F15" s="8"/>
      <c r="G15" s="18"/>
      <c r="H15" s="18"/>
      <c r="I15" s="18"/>
      <c r="J15" s="18"/>
      <c r="K15" s="18"/>
      <c r="M15" s="2" t="str">
        <f>+A15</f>
        <v>All</v>
      </c>
      <c r="N15" s="2" t="str">
        <f>+B15</f>
        <v>Backhoe</v>
      </c>
      <c r="O15" s="15">
        <f>+$E15*$C15*VLOOKUP($N15,$A$67:$E$71,2,FALSE)*VLOOKUP($N15,$A$67:$E$71,3,FALSE)/100*VLOOKUP($N15,$A$55:$K$59,2,FALSE)</f>
        <v>4.4082</v>
      </c>
      <c r="P15" s="15">
        <f>+$E15*$C15*VLOOKUP($N15,$A$67:$E$71,2,FALSE)*VLOOKUP($N15,$A$67:$E$71,3,FALSE)/100*VLOOKUP($N15,$A$55:$K$59,3,FALSE)</f>
        <v>0.88164</v>
      </c>
      <c r="Q15" s="15">
        <f>+$E15*$C15*VLOOKUP($N15,$A$67:$E$71,2,FALSE)*VLOOKUP($N15,$A$67:$E$71,3,FALSE)/100*VLOOKUP($N15,$A$55:$K$59,4,FALSE)</f>
        <v>6.4653599999999996</v>
      </c>
      <c r="R15" s="15">
        <f>+$E15*$C15*VLOOKUP($N15,$A$67:$E$71,2,FALSE)*VLOOKUP($N15,$A$67:$E$71,3,FALSE)/100*VLOOKUP($N15,$A$55:$K$59,5,FALSE)</f>
        <v>0.58776</v>
      </c>
      <c r="S15" s="15">
        <f>+$E15*$C15*VLOOKUP($N15,$A$67:$E$71,2,FALSE)*VLOOKUP($N15,$A$67:$E$71,3,FALSE)/100*VLOOKUP($N15,$A$55:$K$59,6,FALSE)</f>
        <v>0.29388</v>
      </c>
    </row>
    <row r="16" spans="2:14" ht="12.75">
      <c r="B16" s="8"/>
      <c r="C16" s="8"/>
      <c r="D16" s="8"/>
      <c r="E16" s="8"/>
      <c r="F16" s="8"/>
      <c r="G16" s="18"/>
      <c r="H16" s="18"/>
      <c r="I16" s="18"/>
      <c r="J16" s="18"/>
      <c r="K16" s="18"/>
      <c r="N16" s="18"/>
    </row>
    <row r="17" spans="1:14" ht="12.75">
      <c r="A17" s="1" t="s">
        <v>79</v>
      </c>
      <c r="B17" s="8"/>
      <c r="C17" s="8"/>
      <c r="D17" s="8"/>
      <c r="E17" s="8"/>
      <c r="F17" s="8">
        <v>3</v>
      </c>
      <c r="G17" s="18"/>
      <c r="H17" s="18"/>
      <c r="I17" s="18"/>
      <c r="J17" s="18"/>
      <c r="K17" s="18"/>
      <c r="M17" s="1" t="str">
        <f>+A17</f>
        <v>Backfill and Grading</v>
      </c>
      <c r="N17" s="18"/>
    </row>
    <row r="18" spans="1:19" ht="12.75">
      <c r="A18" s="2" t="s">
        <v>109</v>
      </c>
      <c r="B18" s="8" t="s">
        <v>80</v>
      </c>
      <c r="C18" s="8">
        <v>1</v>
      </c>
      <c r="D18" s="19">
        <v>8</v>
      </c>
      <c r="E18" s="19">
        <v>8</v>
      </c>
      <c r="F18" s="8"/>
      <c r="G18" s="18" t="s">
        <v>113</v>
      </c>
      <c r="H18" s="18"/>
      <c r="I18" s="18"/>
      <c r="J18" s="18"/>
      <c r="K18" s="18"/>
      <c r="M18" s="2" t="str">
        <f>+A18</f>
        <v>All</v>
      </c>
      <c r="N18" s="2" t="str">
        <f>+B18</f>
        <v>Backhoe</v>
      </c>
      <c r="O18" s="15">
        <f>+$E18*$C18*VLOOKUP($N18,$A$67:$E$71,2,FALSE)*VLOOKUP($N18,$A$67:$E$71,3,FALSE)/100*VLOOKUP($N18,$A$55:$K$59,2,FALSE)</f>
        <v>4.4082</v>
      </c>
      <c r="P18" s="15">
        <f>+$E18*$C18*VLOOKUP($N18,$A$67:$E$71,2,FALSE)*VLOOKUP($N18,$A$67:$E$71,3,FALSE)/100*VLOOKUP($N18,$A$55:$K$59,3,FALSE)</f>
        <v>0.88164</v>
      </c>
      <c r="Q18" s="15">
        <f>+$E18*$C18*VLOOKUP($N18,$A$67:$E$71,2,FALSE)*VLOOKUP($N18,$A$67:$E$71,3,FALSE)/100*VLOOKUP($N18,$A$55:$K$59,4,FALSE)</f>
        <v>6.4653599999999996</v>
      </c>
      <c r="R18" s="15">
        <f>+$E18*$C18*VLOOKUP($N18,$A$67:$E$71,2,FALSE)*VLOOKUP($N18,$A$67:$E$71,3,FALSE)/100*VLOOKUP($N18,$A$55:$K$59,5,FALSE)</f>
        <v>0.58776</v>
      </c>
      <c r="S18" s="15">
        <f>+$E18*$C18*VLOOKUP($N18,$A$67:$E$71,2,FALSE)*VLOOKUP($N18,$A$67:$E$71,3,FALSE)/100*VLOOKUP($N18,$A$55:$K$59,6,FALSE)</f>
        <v>0.29388</v>
      </c>
    </row>
    <row r="19" spans="2:14" ht="12.75">
      <c r="B19" s="8"/>
      <c r="C19" s="8"/>
      <c r="D19" s="8"/>
      <c r="E19" s="8"/>
      <c r="F19" s="8"/>
      <c r="G19" s="18"/>
      <c r="H19" s="18"/>
      <c r="I19" s="18"/>
      <c r="J19" s="18"/>
      <c r="K19" s="18"/>
      <c r="N19" s="18"/>
    </row>
    <row r="20" spans="1:14" ht="12.75">
      <c r="A20" s="1" t="s">
        <v>2</v>
      </c>
      <c r="B20" s="8"/>
      <c r="C20" s="8"/>
      <c r="D20" s="8"/>
      <c r="E20" s="8"/>
      <c r="F20" s="8">
        <v>3</v>
      </c>
      <c r="G20" s="18"/>
      <c r="H20" s="18"/>
      <c r="I20" s="18"/>
      <c r="J20" s="18"/>
      <c r="K20" s="18"/>
      <c r="M20" s="1" t="str">
        <f>+A20</f>
        <v>Paving</v>
      </c>
      <c r="N20" s="18"/>
    </row>
    <row r="21" spans="1:19" ht="12.75">
      <c r="A21" s="2" t="s">
        <v>109</v>
      </c>
      <c r="B21" s="8" t="s">
        <v>4</v>
      </c>
      <c r="C21" s="8">
        <v>1</v>
      </c>
      <c r="D21" s="19">
        <v>4</v>
      </c>
      <c r="E21" s="19">
        <v>4</v>
      </c>
      <c r="F21" s="8"/>
      <c r="G21" s="18"/>
      <c r="H21" s="18"/>
      <c r="I21" s="18"/>
      <c r="J21" s="18"/>
      <c r="K21" s="18"/>
      <c r="M21" s="2" t="str">
        <f>+A21</f>
        <v>All</v>
      </c>
      <c r="N21" s="2" t="str">
        <f>+B21</f>
        <v>Cement Truck</v>
      </c>
      <c r="O21" s="15">
        <f>+$E21*$C21*VLOOKUP($N21,$A$67:$E$71,2,FALSE)*VLOOKUP($N21,$A$67:$E$71,3,FALSE)/100*VLOOKUP($N21,$A$55:$K$59,2,FALSE)</f>
        <v>7.9856</v>
      </c>
      <c r="P21" s="15">
        <f>+$E21*$C21*VLOOKUP($N21,$A$67:$E$71,2,FALSE)*VLOOKUP($N21,$A$67:$E$71,3,FALSE)/100*VLOOKUP($N21,$A$55:$K$59,3,FALSE)</f>
        <v>1.19784</v>
      </c>
      <c r="Q21" s="15">
        <f>+$E21*$C21*VLOOKUP($N21,$A$67:$E$71,2,FALSE)*VLOOKUP($N21,$A$67:$E$71,3,FALSE)/100*VLOOKUP($N21,$A$55:$K$59,4,FALSE)</f>
        <v>9.58272</v>
      </c>
      <c r="R21" s="15">
        <f>+$E21*$C21*VLOOKUP($N21,$A$67:$E$71,2,FALSE)*VLOOKUP($N21,$A$67:$E$71,3,FALSE)/100*VLOOKUP($N21,$A$55:$K$59,5,FALSE)</f>
        <v>0.7985599999999999</v>
      </c>
      <c r="S21" s="15">
        <f>+$E21*$C21*VLOOKUP($N21,$A$67:$E$71,2,FALSE)*VLOOKUP($N21,$A$67:$E$71,3,FALSE)/100*VLOOKUP($N21,$A$55:$K$59,6,FALSE)</f>
        <v>0.59892</v>
      </c>
    </row>
    <row r="22" spans="2:14" ht="12.75">
      <c r="B22" s="8"/>
      <c r="C22" s="8"/>
      <c r="D22" s="19"/>
      <c r="E22" s="19"/>
      <c r="F22" s="8"/>
      <c r="G22" s="18"/>
      <c r="H22" s="18"/>
      <c r="I22" s="18"/>
      <c r="J22" s="18"/>
      <c r="K22" s="18"/>
      <c r="N22" s="2"/>
    </row>
    <row r="23" spans="1:14" ht="12.75">
      <c r="A23" s="1" t="s">
        <v>119</v>
      </c>
      <c r="B23" s="8"/>
      <c r="C23" s="8"/>
      <c r="D23" s="8"/>
      <c r="E23" s="8"/>
      <c r="F23" s="8">
        <v>3</v>
      </c>
      <c r="G23" s="18"/>
      <c r="H23" s="18"/>
      <c r="I23" s="18"/>
      <c r="J23" s="18"/>
      <c r="K23" s="18"/>
      <c r="M23" s="1" t="str">
        <f>+A23</f>
        <v>CNG System Installation</v>
      </c>
      <c r="N23" s="18"/>
    </row>
    <row r="24" spans="1:19" ht="12.75">
      <c r="A24" s="2" t="s">
        <v>120</v>
      </c>
      <c r="B24" s="8" t="s">
        <v>80</v>
      </c>
      <c r="C24" s="8">
        <v>1</v>
      </c>
      <c r="D24" s="19">
        <v>8</v>
      </c>
      <c r="E24" s="19">
        <v>8</v>
      </c>
      <c r="F24" s="8"/>
      <c r="G24" s="20" t="s">
        <v>121</v>
      </c>
      <c r="H24" s="20"/>
      <c r="I24" s="20"/>
      <c r="J24" s="20"/>
      <c r="K24" s="20"/>
      <c r="M24" s="2" t="str">
        <f>+A24</f>
        <v>Excavation for Gas Delivery Line</v>
      </c>
      <c r="N24" s="2" t="str">
        <f>+B24</f>
        <v>Backhoe</v>
      </c>
      <c r="O24" s="15">
        <f>+$E24*$C24*VLOOKUP($N24,$A$67:$E$71,2,FALSE)*VLOOKUP($N24,$A$67:$E$71,3,FALSE)/100*VLOOKUP($N24,$A$55:$K$59,2,FALSE)</f>
        <v>4.4082</v>
      </c>
      <c r="P24" s="15">
        <f>+$E24*$C24*VLOOKUP($N24,$A$67:$E$71,2,FALSE)*VLOOKUP($N24,$A$67:$E$71,3,FALSE)/100*VLOOKUP($N24,$A$55:$K$59,3,FALSE)</f>
        <v>0.88164</v>
      </c>
      <c r="Q24" s="15">
        <f>+$E24*$C24*VLOOKUP($N24,$A$67:$E$71,2,FALSE)*VLOOKUP($N24,$A$67:$E$71,3,FALSE)/100*VLOOKUP($N24,$A$55:$K$59,4,FALSE)</f>
        <v>6.4653599999999996</v>
      </c>
      <c r="R24" s="15">
        <f>+$E24*$C24*VLOOKUP($N24,$A$67:$E$71,2,FALSE)*VLOOKUP($N24,$A$67:$E$71,3,FALSE)/100*VLOOKUP($N24,$A$55:$K$59,5,FALSE)</f>
        <v>0.58776</v>
      </c>
      <c r="S24" s="15">
        <f>+$E24*$C24*VLOOKUP($N24,$A$67:$E$71,2,FALSE)*VLOOKUP($N24,$A$67:$E$71,3,FALSE)/100*VLOOKUP($N24,$A$55:$K$59,6,FALSE)</f>
        <v>0.29388</v>
      </c>
    </row>
    <row r="25" spans="1:19" ht="12.75">
      <c r="A25" s="2" t="s">
        <v>123</v>
      </c>
      <c r="B25" s="8" t="s">
        <v>80</v>
      </c>
      <c r="C25" s="8">
        <v>1</v>
      </c>
      <c r="D25" s="19">
        <v>8</v>
      </c>
      <c r="E25" s="19">
        <v>8</v>
      </c>
      <c r="F25" s="8"/>
      <c r="G25" s="20"/>
      <c r="H25" s="20"/>
      <c r="I25" s="20"/>
      <c r="J25" s="20"/>
      <c r="K25" s="20"/>
      <c r="M25" s="2" t="str">
        <f>+A25</f>
        <v>Backfill Delivery Line</v>
      </c>
      <c r="N25" s="2" t="str">
        <f>+B25</f>
        <v>Backhoe</v>
      </c>
      <c r="O25" s="15">
        <f>+$E25*$C25*VLOOKUP($N25,$A$67:$E$71,2,FALSE)*VLOOKUP($N25,$A$67:$E$71,3,FALSE)/100*VLOOKUP($N25,$A$55:$K$59,2,FALSE)</f>
        <v>4.4082</v>
      </c>
      <c r="P25" s="15">
        <f>+$E25*$C25*VLOOKUP($N25,$A$67:$E$71,2,FALSE)*VLOOKUP($N25,$A$67:$E$71,3,FALSE)/100*VLOOKUP($N25,$A$55:$K$59,3,FALSE)</f>
        <v>0.88164</v>
      </c>
      <c r="Q25" s="15">
        <f>+$E25*$C25*VLOOKUP($N25,$A$67:$E$71,2,FALSE)*VLOOKUP($N25,$A$67:$E$71,3,FALSE)/100*VLOOKUP($N25,$A$55:$K$59,4,FALSE)</f>
        <v>6.4653599999999996</v>
      </c>
      <c r="R25" s="15">
        <f>+$E25*$C25*VLOOKUP($N25,$A$67:$E$71,2,FALSE)*VLOOKUP($N25,$A$67:$E$71,3,FALSE)/100*VLOOKUP($N25,$A$55:$K$59,5,FALSE)</f>
        <v>0.58776</v>
      </c>
      <c r="S25" s="15">
        <f>+$E25*$C25*VLOOKUP($N25,$A$67:$E$71,2,FALSE)*VLOOKUP($N25,$A$67:$E$71,3,FALSE)/100*VLOOKUP($N25,$A$55:$K$59,6,FALSE)</f>
        <v>0.29388</v>
      </c>
    </row>
    <row r="26" spans="1:19" ht="12.75">
      <c r="A26" s="2" t="s">
        <v>124</v>
      </c>
      <c r="B26" s="8" t="s">
        <v>4</v>
      </c>
      <c r="C26" s="8">
        <v>1</v>
      </c>
      <c r="D26" s="19">
        <v>8</v>
      </c>
      <c r="E26" s="19">
        <v>8</v>
      </c>
      <c r="F26" s="8"/>
      <c r="G26" s="18"/>
      <c r="H26" s="18"/>
      <c r="I26" s="18"/>
      <c r="J26" s="18"/>
      <c r="K26" s="18"/>
      <c r="M26" s="2" t="str">
        <f>+A26</f>
        <v>Repave Delivery Line Run</v>
      </c>
      <c r="N26" s="2" t="str">
        <f>+B26</f>
        <v>Cement Truck</v>
      </c>
      <c r="O26" s="15">
        <f>+$E26*$C26*VLOOKUP($N26,$A$67:$E$71,2,FALSE)*VLOOKUP($N26,$A$67:$E$71,3,FALSE)/100*VLOOKUP($N26,$A$55:$K$59,2,FALSE)</f>
        <v>15.9712</v>
      </c>
      <c r="P26" s="15">
        <f>+$E26*$C26*VLOOKUP($N26,$A$67:$E$71,2,FALSE)*VLOOKUP($N26,$A$67:$E$71,3,FALSE)/100*VLOOKUP($N26,$A$55:$K$59,3,FALSE)</f>
        <v>2.39568</v>
      </c>
      <c r="Q26" s="15">
        <f>+$E26*$C26*VLOOKUP($N26,$A$67:$E$71,2,FALSE)*VLOOKUP($N26,$A$67:$E$71,3,FALSE)/100*VLOOKUP($N26,$A$55:$K$59,4,FALSE)</f>
        <v>19.16544</v>
      </c>
      <c r="R26" s="15">
        <f>+$E26*$C26*VLOOKUP($N26,$A$67:$E$71,2,FALSE)*VLOOKUP($N26,$A$67:$E$71,3,FALSE)/100*VLOOKUP($N26,$A$55:$K$59,5,FALSE)</f>
        <v>1.5971199999999999</v>
      </c>
      <c r="S26" s="15">
        <f>+$E26*$C26*VLOOKUP($N26,$A$67:$E$71,2,FALSE)*VLOOKUP($N26,$A$67:$E$71,3,FALSE)/100*VLOOKUP($N26,$A$55:$K$59,6,FALSE)</f>
        <v>1.19784</v>
      </c>
    </row>
    <row r="27" spans="1:19" ht="12.75">
      <c r="A27" s="2" t="s">
        <v>122</v>
      </c>
      <c r="B27" s="8" t="s">
        <v>4</v>
      </c>
      <c r="C27" s="8">
        <v>1</v>
      </c>
      <c r="D27" s="19">
        <v>8</v>
      </c>
      <c r="E27" s="19">
        <v>8</v>
      </c>
      <c r="F27" s="8"/>
      <c r="G27" s="18"/>
      <c r="H27" s="18"/>
      <c r="I27" s="18"/>
      <c r="J27" s="18"/>
      <c r="K27" s="18"/>
      <c r="M27" s="2" t="str">
        <f>+A27</f>
        <v>Pour Pad for CNG System</v>
      </c>
      <c r="N27" s="2" t="str">
        <f>+B27</f>
        <v>Cement Truck</v>
      </c>
      <c r="O27" s="15">
        <f>+$E27*$C27*VLOOKUP($N27,$A$67:$E$71,2,FALSE)*VLOOKUP($N27,$A$67:$E$71,3,FALSE)/100*VLOOKUP($N27,$A$55:$K$59,2,FALSE)</f>
        <v>15.9712</v>
      </c>
      <c r="P27" s="15">
        <f>+$E27*$C27*VLOOKUP($N27,$A$67:$E$71,2,FALSE)*VLOOKUP($N27,$A$67:$E$71,3,FALSE)/100*VLOOKUP($N27,$A$55:$K$59,3,FALSE)</f>
        <v>2.39568</v>
      </c>
      <c r="Q27" s="15">
        <f>+$E27*$C27*VLOOKUP($N27,$A$67:$E$71,2,FALSE)*VLOOKUP($N27,$A$67:$E$71,3,FALSE)/100*VLOOKUP($N27,$A$55:$K$59,4,FALSE)</f>
        <v>19.16544</v>
      </c>
      <c r="R27" s="15">
        <f>+$E27*$C27*VLOOKUP($N27,$A$67:$E$71,2,FALSE)*VLOOKUP($N27,$A$67:$E$71,3,FALSE)/100*VLOOKUP($N27,$A$55:$K$59,5,FALSE)</f>
        <v>1.5971199999999999</v>
      </c>
      <c r="S27" s="15">
        <f>+$E27*$C27*VLOOKUP($N27,$A$67:$E$71,2,FALSE)*VLOOKUP($N27,$A$67:$E$71,3,FALSE)/100*VLOOKUP($N27,$A$55:$K$59,6,FALSE)</f>
        <v>1.19784</v>
      </c>
    </row>
    <row r="28" spans="1:19" ht="12.75">
      <c r="A28" s="2" t="s">
        <v>109</v>
      </c>
      <c r="B28" s="8" t="s">
        <v>5</v>
      </c>
      <c r="C28" s="8">
        <v>1</v>
      </c>
      <c r="D28" s="19">
        <v>4</v>
      </c>
      <c r="E28" s="19">
        <v>4</v>
      </c>
      <c r="F28" s="8"/>
      <c r="G28" s="18"/>
      <c r="H28" s="18"/>
      <c r="I28" s="18"/>
      <c r="J28" s="18"/>
      <c r="K28" s="18"/>
      <c r="M28" s="2" t="s">
        <v>109</v>
      </c>
      <c r="N28" s="18" t="str">
        <f>B28</f>
        <v>Welder</v>
      </c>
      <c r="O28" s="15">
        <f>+$E28*$C28*VLOOKUP($N28,$A$67:$E$72,2,FALSE)*VLOOKUP($N28,$A$67:$E$72,3,FALSE)/100*VLOOKUP($N28,$A$55:$K$59,2,FALSE)</f>
        <v>0.693</v>
      </c>
      <c r="P28" s="15">
        <f>+$E28*$C28*VLOOKUP($N28,$A$67:$E$72,2,FALSE)*VLOOKUP($N28,$A$67:$E$72,3,FALSE)/100*VLOOKUP($N28,$A$55:$K$59,3,FALSE)</f>
        <v>0.126</v>
      </c>
      <c r="Q28" s="15">
        <f>+$E28*$C28*VLOOKUP($N28,$A$67:$E$72,2,FALSE)*VLOOKUP($N28,$A$67:$E$72,3,FALSE)/100*VLOOKUP($N28,$A$55:$K$59,4,FALSE)</f>
        <v>1.134</v>
      </c>
      <c r="R28" s="15">
        <f>+$E28*$C28*VLOOKUP($N28,$A$67:$E$72,2,FALSE)*VLOOKUP($N28,$A$67:$E$72,3,FALSE)/100*VLOOKUP($N28,$A$55:$K$59,5,FALSE)</f>
        <v>0.126</v>
      </c>
      <c r="S28" s="15">
        <f>+$E28*$C28*VLOOKUP($N28,$A$67:$E$72,2,FALSE)*VLOOKUP($N28,$A$67:$E$72,3,FALSE)/100*VLOOKUP($N28,$A$55:$K$59,6,FALSE)</f>
        <v>0.063</v>
      </c>
    </row>
    <row r="29" spans="1:19" ht="12.75">
      <c r="A29" s="2" t="s">
        <v>109</v>
      </c>
      <c r="B29" s="8" t="s">
        <v>186</v>
      </c>
      <c r="C29" s="8">
        <v>1</v>
      </c>
      <c r="D29" s="19">
        <f>D24+D25+D26+D27</f>
        <v>32</v>
      </c>
      <c r="E29" s="19">
        <v>8</v>
      </c>
      <c r="F29" s="21"/>
      <c r="G29" s="18"/>
      <c r="K29" s="15"/>
      <c r="L29" s="15"/>
      <c r="M29" s="15" t="s">
        <v>109</v>
      </c>
      <c r="N29" s="18" t="str">
        <f>B29</f>
        <v>Generator Set &lt; 50 HP</v>
      </c>
      <c r="O29" s="15">
        <f>+$E29*$C29*VLOOKUP($N29,$A$67:$E$72,2,FALSE)*VLOOKUP($N29,$A$67:$E$72,3,FALSE)/100*VLOOKUP($N29,$A$55:$K$59,2,FALSE)</f>
        <v>1.43264</v>
      </c>
      <c r="P29" s="15">
        <f>+$E29*$C29*VLOOKUP($N29,$A$67:$E$72,2,FALSE)*VLOOKUP($N29,$A$67:$E$72,3,FALSE)/100*VLOOKUP($N29,$A$55:$K$59,3,FALSE)</f>
        <v>0.26048000000000004</v>
      </c>
      <c r="Q29" s="15">
        <f>+$E29*$C29*VLOOKUP($N29,$A$67:$E$72,2,FALSE)*VLOOKUP($N29,$A$67:$E$72,3,FALSE)/100*VLOOKUP($N29,$A$55:$K$59,4,FALSE)</f>
        <v>2.34432</v>
      </c>
      <c r="R29" s="15">
        <f>+$E29*$C29*VLOOKUP($N29,$A$67:$E$72,2,FALSE)*VLOOKUP($N29,$A$67:$E$72,3,FALSE)/100*VLOOKUP($N29,$A$55:$K$59,5,FALSE)</f>
        <v>0.26048000000000004</v>
      </c>
      <c r="S29" s="15">
        <f>+$E29*$C29*VLOOKUP($N29,$A$67:$E$72,2,FALSE)*VLOOKUP($N29,$A$67:$E$72,3,FALSE)/100*VLOOKUP($N29,$A$55:$K$59,6,FALSE)</f>
        <v>0.13024000000000002</v>
      </c>
    </row>
    <row r="30" spans="2:13" ht="12.75">
      <c r="B30" s="18"/>
      <c r="C30" s="18"/>
      <c r="D30" s="18"/>
      <c r="E30" s="18"/>
      <c r="F30" s="18"/>
      <c r="G30" s="18"/>
      <c r="K30" s="15"/>
      <c r="L30" s="15"/>
      <c r="M30" s="15"/>
    </row>
    <row r="31" spans="1:21" ht="12.75">
      <c r="A31" s="1" t="s">
        <v>86</v>
      </c>
      <c r="E31" s="18"/>
      <c r="F31" s="18"/>
      <c r="G31" s="18"/>
      <c r="H31" s="18"/>
      <c r="I31" s="18"/>
      <c r="J31" s="18"/>
      <c r="L31" s="1"/>
      <c r="M31" s="1" t="s">
        <v>129</v>
      </c>
      <c r="R31" s="22" t="s">
        <v>33</v>
      </c>
      <c r="S31" s="16" t="s">
        <v>55</v>
      </c>
      <c r="T31" s="16" t="s">
        <v>56</v>
      </c>
      <c r="U31" s="5" t="s">
        <v>98</v>
      </c>
    </row>
    <row r="32" spans="1:21" ht="12.75">
      <c r="A32" s="5" t="s">
        <v>0</v>
      </c>
      <c r="B32" s="5" t="s">
        <v>57</v>
      </c>
      <c r="C32" s="5" t="s">
        <v>59</v>
      </c>
      <c r="D32" s="5" t="s">
        <v>61</v>
      </c>
      <c r="E32" s="5" t="s">
        <v>87</v>
      </c>
      <c r="F32" s="23" t="s">
        <v>84</v>
      </c>
      <c r="G32" s="23" t="s">
        <v>85</v>
      </c>
      <c r="H32" s="23" t="s">
        <v>105</v>
      </c>
      <c r="I32" s="23" t="s">
        <v>114</v>
      </c>
      <c r="J32" s="18"/>
      <c r="K32" s="18"/>
      <c r="M32" s="23" t="s">
        <v>95</v>
      </c>
      <c r="N32" s="16" t="s">
        <v>42</v>
      </c>
      <c r="O32" s="17" t="s">
        <v>12</v>
      </c>
      <c r="P32" s="17" t="s">
        <v>12</v>
      </c>
      <c r="Q32" s="17" t="s">
        <v>12</v>
      </c>
      <c r="R32" s="17" t="s">
        <v>12</v>
      </c>
      <c r="S32" s="17" t="s">
        <v>12</v>
      </c>
      <c r="T32" s="17" t="s">
        <v>12</v>
      </c>
      <c r="U32" s="5" t="s">
        <v>97</v>
      </c>
    </row>
    <row r="33" spans="3:21" ht="12.75">
      <c r="C33" s="5" t="s">
        <v>60</v>
      </c>
      <c r="D33" s="5" t="s">
        <v>62</v>
      </c>
      <c r="E33" s="5"/>
      <c r="F33" s="18"/>
      <c r="G33" s="18"/>
      <c r="H33" s="18"/>
      <c r="I33" s="18"/>
      <c r="J33" s="18"/>
      <c r="K33" s="18"/>
      <c r="M33" s="2" t="str">
        <f>+A34</f>
        <v>Tank Excavation</v>
      </c>
      <c r="N33" s="2" t="str">
        <f>+B34</f>
        <v>Employee (Light-Duty Trucks - Cat)</v>
      </c>
      <c r="O33" s="15">
        <f aca="true" t="shared" si="0" ref="O33:O46">+($F34*VLOOKUP($N33,$A$80:$G$85,2,FALSE)+$G34*VLOOKUP($N33,$A$94:$F$97,2,FALSE))/453.6</f>
        <v>1.667989417989418</v>
      </c>
      <c r="P33" s="15">
        <f aca="true" t="shared" si="1" ref="P33:P46">+($F34*VLOOKUP($N33,$A$80:$G$85,3,FALSE)+$G34*VLOOKUP($N33,$A$94:$F$97,3,FALSE))/453.6+$C34*(VLOOKUP($N33,$A$94:$F$97,4,FALSE)+$C34/2*VLOOKUP($N33,$A$94:$F$97,5,FALSE))/453.6</f>
        <v>0.9177248677248677</v>
      </c>
      <c r="Q33" s="15">
        <f aca="true" t="shared" si="2" ref="Q33:Q46">+($F34*VLOOKUP($N33,$A$80:$G$85,4,FALSE)+$G34*VLOOKUP($N33,$A$94:$F$97,6,FALSE))/453.6</f>
        <v>0.23835978835978835</v>
      </c>
      <c r="R33" s="15">
        <f aca="true" t="shared" si="3" ref="R33:R46">+$F34*VLOOKUP($N33,$A$80:$G$85,5,FALSE)/453.6</f>
        <v>0</v>
      </c>
      <c r="S33" s="15">
        <f aca="true" t="shared" si="4" ref="S33:S46">+$F34*VLOOKUP($N33,$A$80:$G$85,6,FALSE)/453.6</f>
        <v>0.0026455026455026454</v>
      </c>
      <c r="T33" s="15">
        <f aca="true" t="shared" si="5" ref="T33:T46">+$F34*VLOOKUP($N33,$A$80:$G$85,7,FALSE)/453.6</f>
        <v>0.0026455026455026454</v>
      </c>
      <c r="U33" s="4">
        <f>0.016*('Fug. Dust'!$B$16/2)^0.65*(H34/3)^1.5*F34</f>
        <v>0.10270647704468401</v>
      </c>
    </row>
    <row r="34" spans="1:21" ht="12.75">
      <c r="A34" s="2" t="s">
        <v>76</v>
      </c>
      <c r="B34" s="2" t="s">
        <v>58</v>
      </c>
      <c r="C34" s="8">
        <f>VLOOKUP(A34,$A$6:$F$30,6,FALSE)*2</f>
        <v>6</v>
      </c>
      <c r="D34" s="8">
        <v>20</v>
      </c>
      <c r="E34" s="8">
        <v>1</v>
      </c>
      <c r="F34" s="8">
        <f>C34*D34</f>
        <v>120</v>
      </c>
      <c r="G34" s="8">
        <f>C34*E34</f>
        <v>6</v>
      </c>
      <c r="H34" s="8">
        <f>VLOOKUP(B34,'Fug. Dust'!$A$11:$B$14,2,FALSE)</f>
        <v>2.4</v>
      </c>
      <c r="I34" s="18" t="s">
        <v>115</v>
      </c>
      <c r="J34" s="18"/>
      <c r="K34" s="18"/>
      <c r="M34" s="2" t="str">
        <f aca="true" t="shared" si="6" ref="M34:M46">+A35</f>
        <v>Tank Excavation</v>
      </c>
      <c r="N34" s="2" t="str">
        <f aca="true" t="shared" si="7" ref="N34:N46">+B35</f>
        <v>Haul Truck (Heavy-Heavy Duty Diesel)</v>
      </c>
      <c r="O34" s="15">
        <f t="shared" si="0"/>
        <v>0.7936507936507936</v>
      </c>
      <c r="P34" s="15">
        <f t="shared" si="1"/>
        <v>0.13447971781305115</v>
      </c>
      <c r="Q34" s="15">
        <f t="shared" si="2"/>
        <v>1.0141093474426806</v>
      </c>
      <c r="R34" s="15">
        <f t="shared" si="3"/>
        <v>0.07385361552028219</v>
      </c>
      <c r="S34" s="15">
        <f t="shared" si="4"/>
        <v>0.004409171075837742</v>
      </c>
      <c r="T34" s="15">
        <f t="shared" si="5"/>
        <v>0.0011022927689594356</v>
      </c>
      <c r="U34" s="4">
        <f>0.016*('Fug. Dust'!$B$16/2)^0.65*(H35/3)^1.5*F35</f>
        <v>1.029472433494209</v>
      </c>
    </row>
    <row r="35" spans="1:21" ht="12.75">
      <c r="A35" s="2" t="s">
        <v>76</v>
      </c>
      <c r="B35" s="2" t="s">
        <v>88</v>
      </c>
      <c r="C35" s="8">
        <v>2</v>
      </c>
      <c r="D35" s="8">
        <v>25</v>
      </c>
      <c r="E35" s="8">
        <v>1</v>
      </c>
      <c r="F35" s="8">
        <f aca="true" t="shared" si="8" ref="F35:F44">C35*D35</f>
        <v>50</v>
      </c>
      <c r="G35" s="8">
        <f aca="true" t="shared" si="9" ref="G35:G44">C35*E35</f>
        <v>2</v>
      </c>
      <c r="H35" s="8">
        <f>VLOOKUP(B35,'Fug. Dust'!$A$11:$B$14,2,FALSE)</f>
        <v>20</v>
      </c>
      <c r="I35" s="18" t="s">
        <v>116</v>
      </c>
      <c r="J35" s="18"/>
      <c r="M35" s="2" t="str">
        <f t="shared" si="6"/>
        <v>Tank Degassing</v>
      </c>
      <c r="N35" s="2" t="str">
        <f t="shared" si="7"/>
        <v>Employee (Light-Duty Trucks - Cat)</v>
      </c>
      <c r="O35" s="15">
        <f t="shared" si="0"/>
        <v>1.667989417989418</v>
      </c>
      <c r="P35" s="15">
        <f t="shared" si="1"/>
        <v>0.9177248677248677</v>
      </c>
      <c r="Q35" s="15">
        <f t="shared" si="2"/>
        <v>0.23835978835978835</v>
      </c>
      <c r="R35" s="15">
        <f t="shared" si="3"/>
        <v>0</v>
      </c>
      <c r="S35" s="15">
        <f t="shared" si="4"/>
        <v>0.0026455026455026454</v>
      </c>
      <c r="T35" s="15">
        <f t="shared" si="5"/>
        <v>0.0026455026455026454</v>
      </c>
      <c r="U35" s="4">
        <f>0.016*('Fug. Dust'!$B$16/2)^0.65*(H36/3)^1.5*F36</f>
        <v>0.10270647704468401</v>
      </c>
    </row>
    <row r="36" spans="1:21" ht="12.75">
      <c r="A36" s="2" t="s">
        <v>78</v>
      </c>
      <c r="B36" s="2" t="s">
        <v>58</v>
      </c>
      <c r="C36" s="8">
        <f>VLOOKUP(A36,$A$6:$F$30,6,FALSE)*2</f>
        <v>6</v>
      </c>
      <c r="D36" s="8">
        <v>20</v>
      </c>
      <c r="E36" s="8">
        <v>1</v>
      </c>
      <c r="F36" s="8">
        <f t="shared" si="8"/>
        <v>120</v>
      </c>
      <c r="G36" s="8">
        <f t="shared" si="9"/>
        <v>6</v>
      </c>
      <c r="H36" s="8">
        <f>VLOOKUP(B36,'Fug. Dust'!$A$11:$B$14,2,FALSE)</f>
        <v>2.4</v>
      </c>
      <c r="I36" s="18" t="s">
        <v>115</v>
      </c>
      <c r="J36" s="18"/>
      <c r="M36" s="2" t="str">
        <f t="shared" si="6"/>
        <v>Tank Removal</v>
      </c>
      <c r="N36" s="2" t="str">
        <f t="shared" si="7"/>
        <v>Employee (Light-Duty Trucks - Cat)</v>
      </c>
      <c r="O36" s="15">
        <f t="shared" si="0"/>
        <v>1.667989417989418</v>
      </c>
      <c r="P36" s="15">
        <f t="shared" si="1"/>
        <v>0.9177248677248677</v>
      </c>
      <c r="Q36" s="15">
        <f t="shared" si="2"/>
        <v>0.23835978835978835</v>
      </c>
      <c r="R36" s="15">
        <f t="shared" si="3"/>
        <v>0</v>
      </c>
      <c r="S36" s="15">
        <f t="shared" si="4"/>
        <v>0.0026455026455026454</v>
      </c>
      <c r="T36" s="15">
        <f t="shared" si="5"/>
        <v>0.0026455026455026454</v>
      </c>
      <c r="U36" s="4">
        <f>0.016*('Fug. Dust'!$B$16/2)^0.65*(H37/3)^1.5*F37</f>
        <v>0.10270647704468401</v>
      </c>
    </row>
    <row r="37" spans="1:21" ht="12.75">
      <c r="A37" s="2" t="s">
        <v>77</v>
      </c>
      <c r="B37" s="2" t="s">
        <v>58</v>
      </c>
      <c r="C37" s="8">
        <f>VLOOKUP(A37,$A$6:$F$30,6,FALSE)*2</f>
        <v>6</v>
      </c>
      <c r="D37" s="8">
        <v>20</v>
      </c>
      <c r="E37" s="8">
        <v>1</v>
      </c>
      <c r="F37" s="8">
        <f t="shared" si="8"/>
        <v>120</v>
      </c>
      <c r="G37" s="8">
        <f t="shared" si="9"/>
        <v>6</v>
      </c>
      <c r="H37" s="8">
        <f>VLOOKUP(B37,'Fug. Dust'!$A$11:$B$14,2,FALSE)</f>
        <v>2.4</v>
      </c>
      <c r="I37" s="18" t="s">
        <v>115</v>
      </c>
      <c r="J37" s="18"/>
      <c r="M37" s="2" t="str">
        <f t="shared" si="6"/>
        <v>Tank Removal</v>
      </c>
      <c r="N37" s="2" t="str">
        <f t="shared" si="7"/>
        <v>Haul Truck (Heavy-Heavy Duty Diesel)</v>
      </c>
      <c r="O37" s="15">
        <f t="shared" si="0"/>
        <v>0.7936507936507936</v>
      </c>
      <c r="P37" s="15">
        <f t="shared" si="1"/>
        <v>0.13447971781305115</v>
      </c>
      <c r="Q37" s="15">
        <f t="shared" si="2"/>
        <v>1.0141093474426806</v>
      </c>
      <c r="R37" s="15">
        <f t="shared" si="3"/>
        <v>0.07385361552028219</v>
      </c>
      <c r="S37" s="15">
        <f t="shared" si="4"/>
        <v>0.004409171075837742</v>
      </c>
      <c r="T37" s="15">
        <f t="shared" si="5"/>
        <v>0.0011022927689594356</v>
      </c>
      <c r="U37" s="4">
        <f>0.016*('Fug. Dust'!$B$16/2)^0.65*(H38/3)^1.5*F38</f>
        <v>1.029472433494209</v>
      </c>
    </row>
    <row r="38" spans="1:21" ht="12.75">
      <c r="A38" s="2" t="s">
        <v>77</v>
      </c>
      <c r="B38" s="2" t="s">
        <v>88</v>
      </c>
      <c r="C38" s="8">
        <v>2</v>
      </c>
      <c r="D38" s="8">
        <v>25</v>
      </c>
      <c r="E38" s="8">
        <v>1</v>
      </c>
      <c r="F38" s="8">
        <f t="shared" si="8"/>
        <v>50</v>
      </c>
      <c r="G38" s="8">
        <f t="shared" si="9"/>
        <v>2</v>
      </c>
      <c r="H38" s="8">
        <f>VLOOKUP(B38,'Fug. Dust'!$A$11:$B$14,2,FALSE)</f>
        <v>20</v>
      </c>
      <c r="I38" s="18" t="s">
        <v>117</v>
      </c>
      <c r="J38" s="18"/>
      <c r="M38" s="2" t="str">
        <f t="shared" si="6"/>
        <v>Backfill and Grading</v>
      </c>
      <c r="N38" s="2" t="str">
        <f t="shared" si="7"/>
        <v>Employee (Light-Duty Trucks - Cat)</v>
      </c>
      <c r="O38" s="15">
        <f t="shared" si="0"/>
        <v>1.667989417989418</v>
      </c>
      <c r="P38" s="15">
        <f t="shared" si="1"/>
        <v>0.9177248677248677</v>
      </c>
      <c r="Q38" s="15">
        <f t="shared" si="2"/>
        <v>0.23835978835978835</v>
      </c>
      <c r="R38" s="15">
        <f t="shared" si="3"/>
        <v>0</v>
      </c>
      <c r="S38" s="15">
        <f t="shared" si="4"/>
        <v>0.0026455026455026454</v>
      </c>
      <c r="T38" s="15">
        <f t="shared" si="5"/>
        <v>0.0026455026455026454</v>
      </c>
      <c r="U38" s="4">
        <f>0.016*('Fug. Dust'!$B$16/2)^0.65*(H39/3)^1.5*F39</f>
        <v>0.10270647704468401</v>
      </c>
    </row>
    <row r="39" spans="1:21" ht="12.75">
      <c r="A39" s="2" t="s">
        <v>79</v>
      </c>
      <c r="B39" s="2" t="s">
        <v>58</v>
      </c>
      <c r="C39" s="8">
        <f>VLOOKUP(A39,$A$6:$F$30,6,FALSE)*2</f>
        <v>6</v>
      </c>
      <c r="D39" s="8">
        <v>20</v>
      </c>
      <c r="E39" s="8">
        <v>1</v>
      </c>
      <c r="F39" s="8">
        <f t="shared" si="8"/>
        <v>120</v>
      </c>
      <c r="G39" s="8">
        <f t="shared" si="9"/>
        <v>6</v>
      </c>
      <c r="H39" s="8">
        <f>VLOOKUP(B39,'Fug. Dust'!$A$11:$B$14,2,FALSE)</f>
        <v>2.4</v>
      </c>
      <c r="I39" s="18" t="s">
        <v>115</v>
      </c>
      <c r="J39" s="18"/>
      <c r="M39" s="2" t="str">
        <f t="shared" si="6"/>
        <v>Backfill and Grading</v>
      </c>
      <c r="N39" s="2" t="str">
        <f t="shared" si="7"/>
        <v>Haul Truck (Heavy-Heavy Duty Diesel)</v>
      </c>
      <c r="O39" s="15">
        <f t="shared" si="0"/>
        <v>7.936507936507936</v>
      </c>
      <c r="P39" s="15">
        <f t="shared" si="1"/>
        <v>1.3447971781305115</v>
      </c>
      <c r="Q39" s="15">
        <f t="shared" si="2"/>
        <v>10.141093474426807</v>
      </c>
      <c r="R39" s="15">
        <f t="shared" si="3"/>
        <v>0.7385361552028218</v>
      </c>
      <c r="S39" s="15">
        <f t="shared" si="4"/>
        <v>0.04409171075837742</v>
      </c>
      <c r="T39" s="15">
        <f t="shared" si="5"/>
        <v>0.011022927689594356</v>
      </c>
      <c r="U39" s="4">
        <f>0.016*('Fug. Dust'!$B$16/2)^0.65*(H40/3)^1.5*F40</f>
        <v>10.294724334942089</v>
      </c>
    </row>
    <row r="40" spans="1:21" ht="12.75">
      <c r="A40" s="2" t="s">
        <v>79</v>
      </c>
      <c r="B40" s="2" t="s">
        <v>88</v>
      </c>
      <c r="C40" s="8">
        <v>20</v>
      </c>
      <c r="D40" s="8">
        <v>25</v>
      </c>
      <c r="E40" s="8">
        <v>1</v>
      </c>
      <c r="F40" s="8">
        <f>C40*D40</f>
        <v>500</v>
      </c>
      <c r="G40" s="8">
        <f>C40*E40</f>
        <v>20</v>
      </c>
      <c r="H40" s="8">
        <f>VLOOKUP(B40,'Fug. Dust'!$A$11:$B$14,2,FALSE)</f>
        <v>20</v>
      </c>
      <c r="I40" s="18" t="s">
        <v>118</v>
      </c>
      <c r="J40" s="18"/>
      <c r="M40" s="2" t="str">
        <f t="shared" si="6"/>
        <v>Paving</v>
      </c>
      <c r="N40" s="2" t="str">
        <f t="shared" si="7"/>
        <v>Employee (Light-Duty Trucks - Cat)</v>
      </c>
      <c r="O40" s="15">
        <f t="shared" si="0"/>
        <v>1.667989417989418</v>
      </c>
      <c r="P40" s="15">
        <f t="shared" si="1"/>
        <v>0.9177248677248677</v>
      </c>
      <c r="Q40" s="15">
        <f t="shared" si="2"/>
        <v>0.23835978835978835</v>
      </c>
      <c r="R40" s="15">
        <f t="shared" si="3"/>
        <v>0</v>
      </c>
      <c r="S40" s="15">
        <f t="shared" si="4"/>
        <v>0.0026455026455026454</v>
      </c>
      <c r="T40" s="15">
        <f t="shared" si="5"/>
        <v>0.0026455026455026454</v>
      </c>
      <c r="U40" s="4">
        <f>0.016*('Fug. Dust'!$B$16/2)^0.65*(H41/3)^1.5*F41</f>
        <v>0.10270647704468401</v>
      </c>
    </row>
    <row r="41" spans="1:21" ht="12.75">
      <c r="A41" s="2" t="s">
        <v>2</v>
      </c>
      <c r="B41" s="2" t="s">
        <v>58</v>
      </c>
      <c r="C41" s="8">
        <f>VLOOKUP(A41,$A$6:$F$30,6,FALSE)*2</f>
        <v>6</v>
      </c>
      <c r="D41" s="8">
        <v>20</v>
      </c>
      <c r="E41" s="8">
        <v>1</v>
      </c>
      <c r="F41" s="8">
        <f>C41*D41</f>
        <v>120</v>
      </c>
      <c r="G41" s="8">
        <f>C41*E41</f>
        <v>6</v>
      </c>
      <c r="H41" s="8">
        <f>VLOOKUP(B41,'Fug. Dust'!$A$11:$B$14,2,FALSE)</f>
        <v>2.4</v>
      </c>
      <c r="I41" s="18" t="s">
        <v>115</v>
      </c>
      <c r="J41" s="18"/>
      <c r="M41" s="2" t="str">
        <f t="shared" si="6"/>
        <v>Paving</v>
      </c>
      <c r="N41" s="2" t="str">
        <f t="shared" si="7"/>
        <v>Cement Truck (Medium-Heavy Duty Diesel)</v>
      </c>
      <c r="O41" s="15">
        <f t="shared" si="0"/>
        <v>0.6613756613756614</v>
      </c>
      <c r="P41" s="15">
        <f t="shared" si="1"/>
        <v>0.10582010582010581</v>
      </c>
      <c r="Q41" s="15">
        <f t="shared" si="2"/>
        <v>0.7231040564373897</v>
      </c>
      <c r="R41" s="15">
        <f t="shared" si="3"/>
        <v>0.0496031746031746</v>
      </c>
      <c r="S41" s="15">
        <f t="shared" si="4"/>
        <v>0.0011022927689594356</v>
      </c>
      <c r="T41" s="15">
        <f t="shared" si="5"/>
        <v>0.0011022927689594356</v>
      </c>
      <c r="U41" s="4">
        <f>0.016*('Fug. Dust'!$B$16/2)^0.65*(H42/3)^1.5*F42</f>
        <v>0.668661959926328</v>
      </c>
    </row>
    <row r="42" spans="1:21" ht="12.75">
      <c r="A42" s="2" t="s">
        <v>2</v>
      </c>
      <c r="B42" s="2" t="s">
        <v>104</v>
      </c>
      <c r="C42" s="8">
        <f>+C25*2</f>
        <v>2</v>
      </c>
      <c r="D42" s="8">
        <v>25</v>
      </c>
      <c r="E42" s="8">
        <v>1</v>
      </c>
      <c r="F42" s="8">
        <f>C42*D42</f>
        <v>50</v>
      </c>
      <c r="G42" s="8">
        <f>C42*E42</f>
        <v>2</v>
      </c>
      <c r="H42" s="8">
        <f>VLOOKUP(B42,'Fug. Dust'!$A$11:$B$14,2,FALSE)</f>
        <v>15</v>
      </c>
      <c r="I42" s="18" t="s">
        <v>2</v>
      </c>
      <c r="J42" s="18"/>
      <c r="M42" s="2" t="str">
        <f t="shared" si="6"/>
        <v>CNG System Installation</v>
      </c>
      <c r="N42" s="2" t="str">
        <f t="shared" si="7"/>
        <v>Employee (Light-Duty Trucks - Cat)</v>
      </c>
      <c r="O42" s="15">
        <f t="shared" si="0"/>
        <v>1.667989417989418</v>
      </c>
      <c r="P42" s="15">
        <f t="shared" si="1"/>
        <v>0.9177248677248677</v>
      </c>
      <c r="Q42" s="15">
        <f t="shared" si="2"/>
        <v>0.23835978835978835</v>
      </c>
      <c r="R42" s="15">
        <f t="shared" si="3"/>
        <v>0</v>
      </c>
      <c r="S42" s="15">
        <f t="shared" si="4"/>
        <v>0.0026455026455026454</v>
      </c>
      <c r="T42" s="15">
        <f t="shared" si="5"/>
        <v>0.0026455026455026454</v>
      </c>
      <c r="U42" s="4">
        <f>0.016*('Fug. Dust'!$B$16/2)^0.65*(H43/3)^1.5*F43</f>
        <v>0.10270647704468401</v>
      </c>
    </row>
    <row r="43" spans="1:21" ht="12.75">
      <c r="A43" s="2" t="s">
        <v>119</v>
      </c>
      <c r="B43" s="2" t="s">
        <v>58</v>
      </c>
      <c r="C43" s="8">
        <f>VLOOKUP(A43,$A$6:$F$30,6,FALSE)*2</f>
        <v>6</v>
      </c>
      <c r="D43" s="8">
        <v>20</v>
      </c>
      <c r="E43" s="8">
        <v>1</v>
      </c>
      <c r="F43" s="8">
        <f>C43*D43</f>
        <v>120</v>
      </c>
      <c r="G43" s="8">
        <f>C43*E43</f>
        <v>6</v>
      </c>
      <c r="H43" s="8">
        <f>VLOOKUP(B43,'Fug. Dust'!$A$11:$B$14,2,FALSE)</f>
        <v>2.4</v>
      </c>
      <c r="I43" s="18" t="s">
        <v>115</v>
      </c>
      <c r="J43" s="18"/>
      <c r="M43" s="2" t="str">
        <f t="shared" si="6"/>
        <v>CNG System Installation</v>
      </c>
      <c r="N43" s="2" t="str">
        <f t="shared" si="7"/>
        <v>Cement Truck (Medium-Heavy Duty Diesel)</v>
      </c>
      <c r="O43" s="15">
        <f t="shared" si="0"/>
        <v>0.6613756613756614</v>
      </c>
      <c r="P43" s="15">
        <f t="shared" si="1"/>
        <v>0.10582010582010581</v>
      </c>
      <c r="Q43" s="15">
        <f t="shared" si="2"/>
        <v>0.7231040564373897</v>
      </c>
      <c r="R43" s="15">
        <f t="shared" si="3"/>
        <v>0.0496031746031746</v>
      </c>
      <c r="S43" s="15">
        <f t="shared" si="4"/>
        <v>0.0011022927689594356</v>
      </c>
      <c r="T43" s="15">
        <f t="shared" si="5"/>
        <v>0.0011022927689594356</v>
      </c>
      <c r="U43" s="4">
        <f>0.016*('Fug. Dust'!$B$16/2)^0.65*(H44/3)^1.5*F44</f>
        <v>0.668661959926328</v>
      </c>
    </row>
    <row r="44" spans="1:21" ht="12.75">
      <c r="A44" s="2" t="s">
        <v>119</v>
      </c>
      <c r="B44" s="2" t="s">
        <v>104</v>
      </c>
      <c r="C44" s="8">
        <v>2</v>
      </c>
      <c r="D44" s="8">
        <v>25</v>
      </c>
      <c r="E44" s="8">
        <v>1</v>
      </c>
      <c r="F44" s="8">
        <f t="shared" si="8"/>
        <v>50</v>
      </c>
      <c r="G44" s="8">
        <f t="shared" si="9"/>
        <v>2</v>
      </c>
      <c r="H44" s="8">
        <f>VLOOKUP(B44,'Fug. Dust'!$A$11:$B$14,2,FALSE)</f>
        <v>15</v>
      </c>
      <c r="I44" s="18" t="s">
        <v>125</v>
      </c>
      <c r="J44" s="18"/>
      <c r="M44" s="2" t="str">
        <f t="shared" si="6"/>
        <v>CNG System Installation</v>
      </c>
      <c r="N44" s="2" t="str">
        <f t="shared" si="7"/>
        <v>Cement Truck (Medium-Heavy Duty Diesel)</v>
      </c>
      <c r="O44" s="15">
        <f t="shared" si="0"/>
        <v>0.6613756613756614</v>
      </c>
      <c r="P44" s="15">
        <f t="shared" si="1"/>
        <v>0.10582010582010581</v>
      </c>
      <c r="Q44" s="15">
        <f t="shared" si="2"/>
        <v>0.7231040564373897</v>
      </c>
      <c r="R44" s="15">
        <f t="shared" si="3"/>
        <v>0.0496031746031746</v>
      </c>
      <c r="S44" s="15">
        <f t="shared" si="4"/>
        <v>0.0011022927689594356</v>
      </c>
      <c r="T44" s="15">
        <f t="shared" si="5"/>
        <v>0.0011022927689594356</v>
      </c>
      <c r="U44" s="4">
        <f>0.016*('Fug. Dust'!$B$16/2)^0.65*(H45/3)^1.5*F45</f>
        <v>0.668661959926328</v>
      </c>
    </row>
    <row r="45" spans="1:21" ht="12.75">
      <c r="A45" s="2" t="s">
        <v>119</v>
      </c>
      <c r="B45" s="2" t="s">
        <v>104</v>
      </c>
      <c r="C45" s="8">
        <v>2</v>
      </c>
      <c r="D45" s="8">
        <v>25</v>
      </c>
      <c r="E45" s="8">
        <v>1</v>
      </c>
      <c r="F45" s="8">
        <f>C45*D45</f>
        <v>50</v>
      </c>
      <c r="G45" s="8">
        <f>C45*E45</f>
        <v>2</v>
      </c>
      <c r="H45" s="8">
        <f>VLOOKUP(B45,'Fug. Dust'!$A$11:$B$14,2,FALSE)</f>
        <v>15</v>
      </c>
      <c r="I45" s="18" t="s">
        <v>128</v>
      </c>
      <c r="J45" s="18"/>
      <c r="M45" s="2" t="str">
        <f t="shared" si="6"/>
        <v>CNG System Installation</v>
      </c>
      <c r="N45" s="2" t="str">
        <f t="shared" si="7"/>
        <v>Haul Truck (Heavy-Heavy Duty Diesel)</v>
      </c>
      <c r="O45" s="15">
        <f t="shared" si="0"/>
        <v>0.7936507936507936</v>
      </c>
      <c r="P45" s="15">
        <f t="shared" si="1"/>
        <v>0.13447971781305115</v>
      </c>
      <c r="Q45" s="15">
        <f t="shared" si="2"/>
        <v>1.0141093474426806</v>
      </c>
      <c r="R45" s="15">
        <f t="shared" si="3"/>
        <v>0.07385361552028219</v>
      </c>
      <c r="S45" s="15">
        <f t="shared" si="4"/>
        <v>0.004409171075837742</v>
      </c>
      <c r="T45" s="15">
        <f t="shared" si="5"/>
        <v>0.0011022927689594356</v>
      </c>
      <c r="U45" s="4">
        <f>0.016*('Fug. Dust'!$B$16/2)^0.65*(H46/3)^1.5*F46</f>
        <v>1.029472433494209</v>
      </c>
    </row>
    <row r="46" spans="1:21" ht="12.75">
      <c r="A46" s="2" t="s">
        <v>119</v>
      </c>
      <c r="B46" s="2" t="s">
        <v>88</v>
      </c>
      <c r="C46" s="8">
        <v>2</v>
      </c>
      <c r="D46" s="8">
        <v>25</v>
      </c>
      <c r="E46" s="8">
        <v>1</v>
      </c>
      <c r="F46" s="8">
        <f>C46*D46</f>
        <v>50</v>
      </c>
      <c r="G46" s="8">
        <f>C46*E46</f>
        <v>2</v>
      </c>
      <c r="H46" s="8">
        <f>VLOOKUP(B46,'Fug. Dust'!$A$11:$B$14,2,FALSE)</f>
        <v>20</v>
      </c>
      <c r="I46" s="18" t="s">
        <v>126</v>
      </c>
      <c r="J46" s="18"/>
      <c r="K46" s="18"/>
      <c r="M46" s="2" t="str">
        <f t="shared" si="6"/>
        <v>CNG System Installation</v>
      </c>
      <c r="N46" s="2" t="str">
        <f t="shared" si="7"/>
        <v>Haul Truck (Heavy-Heavy Duty Diesel)</v>
      </c>
      <c r="O46" s="15">
        <f t="shared" si="0"/>
        <v>1.5873015873015872</v>
      </c>
      <c r="P46" s="15">
        <f t="shared" si="1"/>
        <v>0.2689594356261023</v>
      </c>
      <c r="Q46" s="15">
        <f t="shared" si="2"/>
        <v>2.028218694885361</v>
      </c>
      <c r="R46" s="15">
        <f t="shared" si="3"/>
        <v>0.14770723104056438</v>
      </c>
      <c r="S46" s="15">
        <f t="shared" si="4"/>
        <v>0.008818342151675485</v>
      </c>
      <c r="T46" s="15">
        <f t="shared" si="5"/>
        <v>0.002204585537918871</v>
      </c>
      <c r="U46" s="4">
        <f>0.016*('Fug. Dust'!$B$16/2)^0.65*(H47/3)^1.5*F47</f>
        <v>2.058944866988418</v>
      </c>
    </row>
    <row r="47" spans="1:21" ht="12.75">
      <c r="A47" s="2" t="s">
        <v>119</v>
      </c>
      <c r="B47" s="2" t="s">
        <v>88</v>
      </c>
      <c r="C47" s="8">
        <v>4</v>
      </c>
      <c r="D47" s="8">
        <v>25</v>
      </c>
      <c r="E47" s="8">
        <v>1</v>
      </c>
      <c r="F47" s="8">
        <f>C47*D47</f>
        <v>100</v>
      </c>
      <c r="G47" s="8">
        <f>C47*E47</f>
        <v>4</v>
      </c>
      <c r="H47" s="8">
        <f>VLOOKUP(B47,'Fug. Dust'!$A$11:$B$14,2,FALSE)</f>
        <v>20</v>
      </c>
      <c r="I47" s="18" t="s">
        <v>127</v>
      </c>
      <c r="J47" s="18"/>
      <c r="K47" s="18"/>
      <c r="N47" s="2"/>
      <c r="T47" s="15"/>
      <c r="U47" s="4"/>
    </row>
    <row r="48" spans="3:20" ht="12.75">
      <c r="C48" s="21"/>
      <c r="D48" s="21"/>
      <c r="E48" s="21"/>
      <c r="F48" s="21"/>
      <c r="G48" s="21"/>
      <c r="H48" s="21"/>
      <c r="I48" s="18"/>
      <c r="J48" s="18"/>
      <c r="K48" s="18"/>
      <c r="N48" s="2"/>
      <c r="T48" s="15"/>
    </row>
    <row r="49" spans="1:20" ht="12.75">
      <c r="A49" s="2" t="s">
        <v>106</v>
      </c>
      <c r="C49" s="8"/>
      <c r="D49" s="8"/>
      <c r="E49" s="8"/>
      <c r="F49" s="18"/>
      <c r="G49" s="18"/>
      <c r="H49" s="18"/>
      <c r="I49" s="18"/>
      <c r="J49" s="18"/>
      <c r="N49" s="2"/>
      <c r="T49" s="15"/>
    </row>
    <row r="50" spans="3:10" ht="12.75">
      <c r="C50" s="8"/>
      <c r="D50" s="8"/>
      <c r="E50" s="8"/>
      <c r="F50" s="18"/>
      <c r="G50" s="18"/>
      <c r="H50" s="18"/>
      <c r="I50" s="18"/>
      <c r="J50" s="18"/>
    </row>
    <row r="51" spans="1:3" ht="12.75">
      <c r="A51" s="1" t="s">
        <v>67</v>
      </c>
      <c r="C51" s="21"/>
    </row>
    <row r="52" spans="1:3" ht="12.75">
      <c r="A52" s="1"/>
      <c r="C52" s="21"/>
    </row>
    <row r="53" spans="2:11" ht="12.75">
      <c r="B53" s="234" t="s">
        <v>45</v>
      </c>
      <c r="C53" s="234"/>
      <c r="D53" s="234"/>
      <c r="E53" s="234"/>
      <c r="F53" s="234"/>
      <c r="G53" s="234" t="s">
        <v>46</v>
      </c>
      <c r="H53" s="234"/>
      <c r="I53" s="234"/>
      <c r="J53" s="234"/>
      <c r="K53" s="234"/>
    </row>
    <row r="54" spans="1:11" ht="12.75">
      <c r="A54" s="2" t="s">
        <v>6</v>
      </c>
      <c r="B54" s="5" t="s">
        <v>7</v>
      </c>
      <c r="C54" s="5" t="s">
        <v>8</v>
      </c>
      <c r="D54" s="5" t="s">
        <v>9</v>
      </c>
      <c r="E54" s="5" t="s">
        <v>10</v>
      </c>
      <c r="F54" s="5" t="s">
        <v>11</v>
      </c>
      <c r="G54" s="5" t="s">
        <v>7</v>
      </c>
      <c r="H54" s="5" t="s">
        <v>8</v>
      </c>
      <c r="I54" s="5" t="s">
        <v>9</v>
      </c>
      <c r="J54" s="5" t="s">
        <v>10</v>
      </c>
      <c r="K54" s="5" t="s">
        <v>11</v>
      </c>
    </row>
    <row r="55" spans="1:11" ht="12.75">
      <c r="A55" s="18" t="s">
        <v>80</v>
      </c>
      <c r="B55" s="8">
        <v>0.015</v>
      </c>
      <c r="C55" s="8">
        <v>0.003</v>
      </c>
      <c r="D55" s="8">
        <v>0.022</v>
      </c>
      <c r="E55" s="8">
        <v>0.002</v>
      </c>
      <c r="F55" s="8">
        <v>0.001</v>
      </c>
      <c r="G55" s="8" t="s">
        <v>29</v>
      </c>
      <c r="H55" s="8" t="s">
        <v>29</v>
      </c>
      <c r="I55" s="8" t="s">
        <v>29</v>
      </c>
      <c r="J55" s="8" t="s">
        <v>29</v>
      </c>
      <c r="K55" s="8" t="s">
        <v>29</v>
      </c>
    </row>
    <row r="56" spans="1:11" ht="12.75">
      <c r="A56" s="18" t="s">
        <v>83</v>
      </c>
      <c r="B56" s="8" t="s">
        <v>29</v>
      </c>
      <c r="C56" s="8" t="s">
        <v>29</v>
      </c>
      <c r="D56" s="8" t="s">
        <v>29</v>
      </c>
      <c r="E56" s="8" t="s">
        <v>29</v>
      </c>
      <c r="F56" s="8" t="s">
        <v>29</v>
      </c>
      <c r="G56" s="8">
        <f>0.0872/2</f>
        <v>0.0436</v>
      </c>
      <c r="H56" s="8">
        <f>0.0033/2</f>
        <v>0.00165</v>
      </c>
      <c r="I56" s="8">
        <f>0.0023/2</f>
        <v>0.00115</v>
      </c>
      <c r="J56" s="8">
        <f>0.0001/2</f>
        <v>5E-05</v>
      </c>
      <c r="K56" s="8">
        <f>0.0001/2</f>
        <v>5E-05</v>
      </c>
    </row>
    <row r="57" spans="1:11" ht="12.75">
      <c r="A57" s="18" t="s">
        <v>4</v>
      </c>
      <c r="B57" s="8">
        <v>0.02</v>
      </c>
      <c r="C57" s="8">
        <v>0.003</v>
      </c>
      <c r="D57" s="8">
        <v>0.024</v>
      </c>
      <c r="E57" s="8">
        <v>0.002</v>
      </c>
      <c r="F57" s="8">
        <v>0.0015</v>
      </c>
      <c r="G57" s="8">
        <v>0.57</v>
      </c>
      <c r="H57" s="8">
        <v>0.025</v>
      </c>
      <c r="I57" s="8">
        <v>0.011</v>
      </c>
      <c r="J57" s="8">
        <v>0.0005</v>
      </c>
      <c r="K57" s="8">
        <v>5E-05</v>
      </c>
    </row>
    <row r="58" spans="1:11" ht="12.75">
      <c r="A58" s="2" t="s">
        <v>186</v>
      </c>
      <c r="B58" s="8">
        <v>0.011</v>
      </c>
      <c r="C58" s="8">
        <v>0.002</v>
      </c>
      <c r="D58" s="8">
        <v>0.018</v>
      </c>
      <c r="E58" s="8">
        <v>0.002</v>
      </c>
      <c r="F58" s="8">
        <v>0.001</v>
      </c>
      <c r="G58" s="8">
        <v>2.036</v>
      </c>
      <c r="H58" s="8">
        <v>0.893</v>
      </c>
      <c r="I58" s="8">
        <v>0.011</v>
      </c>
      <c r="J58" s="8">
        <v>0.0006</v>
      </c>
      <c r="K58" s="8">
        <v>0.00025</v>
      </c>
    </row>
    <row r="59" spans="1:11" ht="12.75">
      <c r="A59" s="18" t="s">
        <v>5</v>
      </c>
      <c r="B59" s="8">
        <v>0.011</v>
      </c>
      <c r="C59" s="8">
        <v>0.002</v>
      </c>
      <c r="D59" s="8">
        <v>0.018</v>
      </c>
      <c r="E59" s="8">
        <v>0.002</v>
      </c>
      <c r="F59" s="8">
        <v>0.001</v>
      </c>
      <c r="G59" s="8">
        <v>1.479</v>
      </c>
      <c r="H59" s="8">
        <v>0.054</v>
      </c>
      <c r="I59" s="8">
        <v>0.002</v>
      </c>
      <c r="J59" s="8">
        <v>0.0006</v>
      </c>
      <c r="K59" s="8">
        <v>0.00025</v>
      </c>
    </row>
    <row r="60" ht="12.75">
      <c r="A60" s="2" t="s">
        <v>188</v>
      </c>
    </row>
    <row r="62" spans="1:9" ht="12.75">
      <c r="A62" s="1" t="s">
        <v>35</v>
      </c>
      <c r="B62" s="1"/>
      <c r="C62" s="1"/>
      <c r="D62" s="1"/>
      <c r="E62" s="1"/>
      <c r="F62" s="1"/>
      <c r="G62" s="1"/>
      <c r="H62" s="1"/>
      <c r="I62" s="1"/>
    </row>
    <row r="64" spans="2:5" ht="12.75">
      <c r="B64" s="5" t="s">
        <v>36</v>
      </c>
      <c r="C64" s="5" t="s">
        <v>36</v>
      </c>
      <c r="D64" s="5" t="s">
        <v>40</v>
      </c>
      <c r="E64" s="5" t="s">
        <v>40</v>
      </c>
    </row>
    <row r="65" spans="2:5" ht="12.75">
      <c r="B65" s="5" t="s">
        <v>39</v>
      </c>
      <c r="C65" s="5" t="s">
        <v>38</v>
      </c>
      <c r="D65" s="5" t="s">
        <v>39</v>
      </c>
      <c r="E65" s="5" t="s">
        <v>38</v>
      </c>
    </row>
    <row r="66" spans="2:5" ht="12.75">
      <c r="B66" s="5" t="s">
        <v>37</v>
      </c>
      <c r="C66" s="5" t="s">
        <v>17</v>
      </c>
      <c r="D66" s="5" t="s">
        <v>37</v>
      </c>
      <c r="E66" s="5" t="s">
        <v>17</v>
      </c>
    </row>
    <row r="67" ht="12.75">
      <c r="A67" s="18"/>
    </row>
    <row r="68" spans="1:5" ht="12.75">
      <c r="A68" s="18" t="s">
        <v>83</v>
      </c>
      <c r="B68" s="8" t="s">
        <v>29</v>
      </c>
      <c r="C68" s="8" t="s">
        <v>29</v>
      </c>
      <c r="D68" s="8">
        <v>200</v>
      </c>
      <c r="E68" s="8">
        <v>100</v>
      </c>
    </row>
    <row r="69" spans="1:5" ht="12.75">
      <c r="A69" s="18" t="s">
        <v>4</v>
      </c>
      <c r="B69" s="8">
        <v>161</v>
      </c>
      <c r="C69" s="8">
        <v>62</v>
      </c>
      <c r="D69" s="8">
        <v>150</v>
      </c>
      <c r="E69" s="8">
        <v>48</v>
      </c>
    </row>
    <row r="70" spans="1:5" ht="12.75">
      <c r="A70" s="2" t="s">
        <v>186</v>
      </c>
      <c r="B70" s="8">
        <v>22</v>
      </c>
      <c r="C70" s="8">
        <v>74</v>
      </c>
      <c r="D70" s="8">
        <v>11</v>
      </c>
      <c r="E70" s="8">
        <v>68</v>
      </c>
    </row>
    <row r="71" spans="1:5" ht="12.75">
      <c r="A71" s="18" t="s">
        <v>80</v>
      </c>
      <c r="B71" s="8">
        <v>79</v>
      </c>
      <c r="C71" s="8">
        <v>46.5</v>
      </c>
      <c r="D71" s="8" t="s">
        <v>29</v>
      </c>
      <c r="E71" s="8" t="s">
        <v>29</v>
      </c>
    </row>
    <row r="72" spans="1:5" ht="12.75">
      <c r="A72" s="2" t="s">
        <v>5</v>
      </c>
      <c r="B72" s="8">
        <v>35</v>
      </c>
      <c r="C72" s="8">
        <v>45</v>
      </c>
      <c r="D72" s="8">
        <v>19</v>
      </c>
      <c r="E72" s="8">
        <v>51</v>
      </c>
    </row>
    <row r="73" ht="12.75">
      <c r="A73" s="2" t="s">
        <v>48</v>
      </c>
    </row>
    <row r="74" spans="3:10" ht="12.75">
      <c r="C74" s="8"/>
      <c r="D74" s="8"/>
      <c r="E74" s="8"/>
      <c r="F74" s="18"/>
      <c r="G74" s="18"/>
      <c r="H74" s="18"/>
      <c r="I74" s="18"/>
      <c r="J74" s="18"/>
    </row>
    <row r="75" spans="3:10" ht="12.75">
      <c r="C75" s="8"/>
      <c r="D75" s="8"/>
      <c r="E75" s="8"/>
      <c r="F75" s="18"/>
      <c r="G75" s="18"/>
      <c r="H75" s="18"/>
      <c r="I75" s="18"/>
      <c r="J75" s="18"/>
    </row>
    <row r="76" spans="1:10" ht="12.75">
      <c r="A76" s="1" t="s">
        <v>89</v>
      </c>
      <c r="H76" s="18"/>
      <c r="I76" s="18"/>
      <c r="J76" s="18"/>
    </row>
    <row r="77" spans="5:10" ht="12.75">
      <c r="E77" s="1" t="s">
        <v>33</v>
      </c>
      <c r="F77" s="5" t="s">
        <v>55</v>
      </c>
      <c r="G77" s="5" t="s">
        <v>56</v>
      </c>
      <c r="H77" s="18"/>
      <c r="I77" s="18"/>
      <c r="J77" s="18"/>
    </row>
    <row r="78" spans="1:10" ht="12.75">
      <c r="A78" s="5" t="s">
        <v>74</v>
      </c>
      <c r="B78" s="5" t="s">
        <v>7</v>
      </c>
      <c r="C78" s="5" t="s">
        <v>193</v>
      </c>
      <c r="D78" s="5" t="s">
        <v>9</v>
      </c>
      <c r="E78" s="5" t="s">
        <v>1</v>
      </c>
      <c r="F78" s="5" t="s">
        <v>11</v>
      </c>
      <c r="G78" s="5" t="s">
        <v>11</v>
      </c>
      <c r="H78" s="18"/>
      <c r="I78" s="18"/>
      <c r="J78" s="18"/>
    </row>
    <row r="79" spans="2:10" ht="12.75">
      <c r="B79" s="8" t="s">
        <v>66</v>
      </c>
      <c r="C79" s="8" t="s">
        <v>66</v>
      </c>
      <c r="D79" s="8" t="s">
        <v>66</v>
      </c>
      <c r="E79" s="8" t="s">
        <v>66</v>
      </c>
      <c r="F79" s="8" t="s">
        <v>66</v>
      </c>
      <c r="G79" s="8" t="s">
        <v>66</v>
      </c>
      <c r="H79" s="18"/>
      <c r="I79" s="18"/>
      <c r="J79" s="18"/>
    </row>
    <row r="80" spans="2:10" ht="12.75">
      <c r="B80" s="21"/>
      <c r="C80" s="21"/>
      <c r="D80" s="21"/>
      <c r="E80" s="24"/>
      <c r="F80" s="21"/>
      <c r="G80" s="21"/>
      <c r="H80" s="18"/>
      <c r="I80" s="18"/>
      <c r="J80" s="18"/>
    </row>
    <row r="81" spans="1:10" ht="12.75">
      <c r="A81" s="2" t="s">
        <v>88</v>
      </c>
      <c r="B81" s="7">
        <v>7.2</v>
      </c>
      <c r="C81" s="7">
        <v>1.22</v>
      </c>
      <c r="D81" s="7">
        <v>9.2</v>
      </c>
      <c r="E81" s="7">
        <v>0.67</v>
      </c>
      <c r="F81" s="7">
        <v>0.04</v>
      </c>
      <c r="G81" s="7">
        <v>0.01</v>
      </c>
      <c r="H81" s="18"/>
      <c r="I81" s="18"/>
      <c r="J81" s="18"/>
    </row>
    <row r="82" spans="1:10" ht="12.75">
      <c r="A82" s="2" t="s">
        <v>58</v>
      </c>
      <c r="B82" s="7">
        <v>4.02</v>
      </c>
      <c r="C82" s="7">
        <f>0.27+0.12</f>
        <v>0.39</v>
      </c>
      <c r="D82" s="7">
        <v>0.78</v>
      </c>
      <c r="E82" s="7">
        <v>0</v>
      </c>
      <c r="F82" s="7">
        <v>0.01</v>
      </c>
      <c r="G82" s="7">
        <v>0.01</v>
      </c>
      <c r="H82" s="18"/>
      <c r="I82" s="18"/>
      <c r="J82" s="18"/>
    </row>
    <row r="83" spans="1:10" ht="12.75">
      <c r="A83" s="2" t="s">
        <v>104</v>
      </c>
      <c r="B83" s="7">
        <v>6</v>
      </c>
      <c r="C83" s="7">
        <v>0.96</v>
      </c>
      <c r="D83" s="7">
        <v>6.56</v>
      </c>
      <c r="E83" s="7">
        <v>0.45</v>
      </c>
      <c r="F83" s="7">
        <v>0.01</v>
      </c>
      <c r="G83" s="7">
        <v>0.01</v>
      </c>
      <c r="H83" s="18"/>
      <c r="I83" s="18"/>
      <c r="J83" s="18"/>
    </row>
    <row r="84" spans="2:10" ht="12.75">
      <c r="B84" s="21"/>
      <c r="C84" s="21"/>
      <c r="D84" s="21"/>
      <c r="E84" s="24"/>
      <c r="F84" s="21"/>
      <c r="G84" s="21"/>
      <c r="H84" s="18"/>
      <c r="I84" s="18"/>
      <c r="J84" s="18"/>
    </row>
    <row r="85" spans="1:10" ht="12.75">
      <c r="A85" s="2" t="s">
        <v>194</v>
      </c>
      <c r="C85" s="8"/>
      <c r="D85" s="8"/>
      <c r="E85" s="8"/>
      <c r="F85" s="18"/>
      <c r="G85" s="18"/>
      <c r="H85" s="18"/>
      <c r="I85" s="18"/>
      <c r="J85" s="18"/>
    </row>
    <row r="86" spans="1:10" ht="12.75">
      <c r="A86" s="2" t="s">
        <v>108</v>
      </c>
      <c r="C86" s="8"/>
      <c r="D86" s="8"/>
      <c r="E86" s="8"/>
      <c r="F86" s="18"/>
      <c r="G86" s="18"/>
      <c r="H86" s="18"/>
      <c r="I86" s="18"/>
      <c r="J86" s="18"/>
    </row>
    <row r="87" spans="1:10" ht="12.75">
      <c r="A87" s="2" t="s">
        <v>195</v>
      </c>
      <c r="C87" s="8"/>
      <c r="D87" s="8"/>
      <c r="E87" s="8"/>
      <c r="F87" s="18"/>
      <c r="G87" s="18"/>
      <c r="H87" s="18"/>
      <c r="I87" s="18"/>
      <c r="J87" s="18"/>
    </row>
    <row r="88" spans="3:10" ht="12.75">
      <c r="C88" s="8"/>
      <c r="D88" s="8"/>
      <c r="E88" s="8"/>
      <c r="F88" s="18"/>
      <c r="G88" s="18"/>
      <c r="H88" s="18"/>
      <c r="I88" s="18"/>
      <c r="J88" s="18"/>
    </row>
    <row r="89" spans="1:10" ht="12.75">
      <c r="A89" s="1" t="s">
        <v>90</v>
      </c>
      <c r="G89" s="18"/>
      <c r="H89" s="18"/>
      <c r="I89" s="18"/>
      <c r="J89" s="18"/>
    </row>
    <row r="90" spans="1:10" ht="12.75">
      <c r="A90" s="1"/>
      <c r="G90" s="18"/>
      <c r="H90" s="18"/>
      <c r="I90" s="18"/>
      <c r="J90" s="18"/>
    </row>
    <row r="91" spans="2:10" ht="12.75">
      <c r="B91" s="5" t="s">
        <v>91</v>
      </c>
      <c r="C91" s="5" t="s">
        <v>91</v>
      </c>
      <c r="D91" s="5" t="s">
        <v>75</v>
      </c>
      <c r="E91" s="5" t="s">
        <v>107</v>
      </c>
      <c r="F91" s="5" t="s">
        <v>91</v>
      </c>
      <c r="G91" s="18"/>
      <c r="H91" s="18"/>
      <c r="I91" s="18"/>
      <c r="J91" s="18"/>
    </row>
    <row r="92" spans="1:10" ht="12.75">
      <c r="A92" s="5" t="s">
        <v>57</v>
      </c>
      <c r="B92" s="5" t="s">
        <v>196</v>
      </c>
      <c r="C92" s="5" t="s">
        <v>193</v>
      </c>
      <c r="D92" s="5" t="s">
        <v>8</v>
      </c>
      <c r="E92" s="5" t="s">
        <v>197</v>
      </c>
      <c r="F92" s="5" t="s">
        <v>198</v>
      </c>
      <c r="G92" s="18"/>
      <c r="H92" s="18"/>
      <c r="I92" s="18"/>
      <c r="J92" s="18"/>
    </row>
    <row r="93" spans="2:10" ht="12.75">
      <c r="B93" s="8" t="s">
        <v>92</v>
      </c>
      <c r="C93" s="8" t="s">
        <v>92</v>
      </c>
      <c r="D93" s="8" t="s">
        <v>93</v>
      </c>
      <c r="E93" s="8" t="s">
        <v>94</v>
      </c>
      <c r="F93" s="8" t="s">
        <v>92</v>
      </c>
      <c r="G93" s="18"/>
      <c r="H93" s="18"/>
      <c r="I93" s="18"/>
      <c r="J93" s="18"/>
    </row>
    <row r="94" spans="1:10" ht="12.75">
      <c r="A94" s="2" t="s">
        <v>58</v>
      </c>
      <c r="B94" s="7">
        <v>45.7</v>
      </c>
      <c r="C94" s="7">
        <v>4.08</v>
      </c>
      <c r="D94" s="7">
        <v>0.62</v>
      </c>
      <c r="E94" s="7">
        <f>(0.67+0.12)*24</f>
        <v>18.96</v>
      </c>
      <c r="F94" s="7">
        <v>2.42</v>
      </c>
      <c r="G94" s="18"/>
      <c r="H94" s="18"/>
      <c r="I94" s="18"/>
      <c r="J94" s="18"/>
    </row>
    <row r="95" spans="1:10" ht="12.75">
      <c r="A95" s="2" t="s">
        <v>88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18"/>
      <c r="H95" s="18"/>
      <c r="I95" s="18"/>
      <c r="J95" s="18"/>
    </row>
    <row r="96" spans="1:10" ht="12.75">
      <c r="A96" s="2" t="s">
        <v>104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18"/>
      <c r="H96" s="18"/>
      <c r="I96" s="18"/>
      <c r="J96" s="18"/>
    </row>
    <row r="97" spans="2:10" ht="12.75">
      <c r="B97" s="18"/>
      <c r="C97" s="21"/>
      <c r="D97" s="18"/>
      <c r="E97" s="18"/>
      <c r="F97" s="18"/>
      <c r="G97" s="18"/>
      <c r="H97" s="18"/>
      <c r="I97" s="18"/>
      <c r="J97" s="18"/>
    </row>
    <row r="98" spans="1:10" ht="12.75">
      <c r="A98" s="2" t="s">
        <v>194</v>
      </c>
      <c r="B98" s="18"/>
      <c r="C98" s="21"/>
      <c r="D98" s="18"/>
      <c r="E98" s="18"/>
      <c r="F98" s="18"/>
      <c r="G98" s="18"/>
      <c r="H98" s="18"/>
      <c r="I98" s="18"/>
      <c r="J98" s="18"/>
    </row>
    <row r="99" spans="1:19" ht="12.75">
      <c r="A99" s="2" t="s">
        <v>199</v>
      </c>
      <c r="N99" s="2"/>
      <c r="O99" s="2"/>
      <c r="P99" s="2"/>
      <c r="Q99" s="2"/>
      <c r="R99" s="2"/>
      <c r="S99" s="2"/>
    </row>
    <row r="100" spans="1:19" ht="12.75">
      <c r="A100" s="2" t="s">
        <v>200</v>
      </c>
      <c r="N100" s="2"/>
      <c r="O100" s="2"/>
      <c r="P100" s="2"/>
      <c r="Q100" s="2"/>
      <c r="R100" s="2"/>
      <c r="S100" s="2"/>
    </row>
  </sheetData>
  <sheetProtection/>
  <mergeCells count="2">
    <mergeCell ref="B53:F53"/>
    <mergeCell ref="G53:K53"/>
  </mergeCells>
  <printOptions/>
  <pageMargins left="0.76" right="0.25" top="1" bottom="0.75" header="0.5" footer="0.5"/>
  <pageSetup fitToHeight="5" horizontalDpi="600" verticalDpi="600" orientation="landscape" scale="72" r:id="rId1"/>
  <headerFooter alignWithMargins="0">
    <oddHeader>&amp;R&amp;"Times New Roman,Bold Italic"Final EA - Appendix D</oddHeader>
    <oddFooter>&amp;L&amp;"Times New Roman,Bold Italic"PAReg XX / PRs 1631, 1632, 1633, 2507&amp;"Arial,Regular"
&amp;R&amp;"Times New Roman,Bold Italic"May 2001</oddFooter>
  </headerFooter>
  <rowBreaks count="1" manualBreakCount="1">
    <brk id="4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zoomScalePageLayoutView="0" workbookViewId="0" topLeftCell="A24">
      <selection activeCell="B27" sqref="B27"/>
    </sheetView>
  </sheetViews>
  <sheetFormatPr defaultColWidth="7.8515625" defaultRowHeight="12.75"/>
  <cols>
    <col min="1" max="1" width="40.28125" style="2" customWidth="1"/>
    <col min="2" max="2" width="13.140625" style="2" bestFit="1" customWidth="1"/>
    <col min="3" max="3" width="8.8515625" style="2" customWidth="1"/>
    <col min="4" max="16384" width="7.8515625" style="2" customWidth="1"/>
  </cols>
  <sheetData>
    <row r="1" spans="1:4" ht="15">
      <c r="A1" s="3" t="s">
        <v>191</v>
      </c>
      <c r="D1" s="11"/>
    </row>
    <row r="2" spans="1:4" ht="12.75">
      <c r="A2" s="1"/>
      <c r="D2" s="11"/>
    </row>
    <row r="3" spans="1:4" s="8" customFormat="1" ht="12.75">
      <c r="A3" s="5" t="s">
        <v>13</v>
      </c>
      <c r="B3" s="5" t="s">
        <v>14</v>
      </c>
      <c r="C3" s="5" t="s">
        <v>15</v>
      </c>
      <c r="D3" s="5" t="s">
        <v>47</v>
      </c>
    </row>
    <row r="4" spans="1:4" ht="12.75">
      <c r="A4" s="2" t="s">
        <v>16</v>
      </c>
      <c r="B4" s="8">
        <v>6.9</v>
      </c>
      <c r="C4" s="8" t="s">
        <v>17</v>
      </c>
      <c r="D4" s="11" t="s">
        <v>54</v>
      </c>
    </row>
    <row r="5" spans="1:4" ht="12.75">
      <c r="A5" s="2" t="s">
        <v>156</v>
      </c>
      <c r="B5" s="8">
        <v>15</v>
      </c>
      <c r="C5" s="8" t="s">
        <v>17</v>
      </c>
      <c r="D5" s="11" t="s">
        <v>68</v>
      </c>
    </row>
    <row r="6" spans="1:4" ht="12.75">
      <c r="A6" s="2" t="s">
        <v>18</v>
      </c>
      <c r="B6" s="8">
        <v>2430</v>
      </c>
      <c r="C6" s="8" t="s">
        <v>19</v>
      </c>
      <c r="D6" s="11" t="s">
        <v>50</v>
      </c>
    </row>
    <row r="7" spans="1:4" ht="12.75">
      <c r="A7" s="2" t="s">
        <v>157</v>
      </c>
      <c r="B7" s="8">
        <v>3.5</v>
      </c>
      <c r="C7" s="8" t="s">
        <v>20</v>
      </c>
      <c r="D7" s="11" t="s">
        <v>49</v>
      </c>
    </row>
    <row r="8" spans="1:4" ht="12.75">
      <c r="A8" s="2" t="s">
        <v>21</v>
      </c>
      <c r="B8" s="8">
        <v>5</v>
      </c>
      <c r="C8" s="8" t="s">
        <v>20</v>
      </c>
      <c r="D8" s="11" t="s">
        <v>52</v>
      </c>
    </row>
    <row r="9" spans="2:4" ht="12.75">
      <c r="B9" s="8"/>
      <c r="C9" s="8"/>
      <c r="D9" s="11"/>
    </row>
    <row r="10" spans="1:4" ht="12.75">
      <c r="A10" s="2" t="s">
        <v>22</v>
      </c>
      <c r="B10" s="8"/>
      <c r="C10" s="8"/>
      <c r="D10" s="11" t="s">
        <v>6</v>
      </c>
    </row>
    <row r="11" spans="1:4" ht="12.75">
      <c r="A11" s="2" t="s">
        <v>58</v>
      </c>
      <c r="B11" s="8">
        <v>2.4</v>
      </c>
      <c r="C11" s="8" t="s">
        <v>23</v>
      </c>
      <c r="D11" s="11" t="s">
        <v>65</v>
      </c>
    </row>
    <row r="12" spans="1:4" ht="12.75">
      <c r="A12" s="2" t="s">
        <v>88</v>
      </c>
      <c r="B12" s="8">
        <v>20</v>
      </c>
      <c r="C12" s="8" t="s">
        <v>23</v>
      </c>
      <c r="D12" s="11" t="s">
        <v>65</v>
      </c>
    </row>
    <row r="13" spans="1:4" ht="12.75">
      <c r="A13" s="2" t="s">
        <v>104</v>
      </c>
      <c r="B13" s="8">
        <v>15</v>
      </c>
      <c r="C13" s="8" t="s">
        <v>23</v>
      </c>
      <c r="D13" s="11" t="s">
        <v>65</v>
      </c>
    </row>
    <row r="14" spans="2:4" ht="12.75">
      <c r="B14" s="8"/>
      <c r="C14" s="8"/>
      <c r="D14" s="11"/>
    </row>
    <row r="15" spans="1:4" ht="12.75">
      <c r="A15" s="2" t="s">
        <v>24</v>
      </c>
      <c r="B15" s="8">
        <v>4</v>
      </c>
      <c r="C15" s="8" t="s">
        <v>25</v>
      </c>
      <c r="D15" s="11" t="s">
        <v>52</v>
      </c>
    </row>
    <row r="16" spans="1:4" ht="12.75">
      <c r="A16" s="2" t="s">
        <v>26</v>
      </c>
      <c r="B16" s="8">
        <v>0.037</v>
      </c>
      <c r="C16" s="8" t="s">
        <v>27</v>
      </c>
      <c r="D16" s="11" t="s">
        <v>51</v>
      </c>
    </row>
    <row r="17" spans="1:4" ht="12.75">
      <c r="A17" s="2" t="s">
        <v>28</v>
      </c>
      <c r="B17" s="8">
        <v>34</v>
      </c>
      <c r="C17" s="8" t="s">
        <v>148</v>
      </c>
      <c r="D17" s="11" t="s">
        <v>53</v>
      </c>
    </row>
    <row r="18" spans="1:4" ht="12.75">
      <c r="A18" s="2" t="s">
        <v>32</v>
      </c>
      <c r="B18" s="12">
        <v>95</v>
      </c>
      <c r="C18" s="8" t="s">
        <v>17</v>
      </c>
      <c r="D18" s="11" t="s">
        <v>52</v>
      </c>
    </row>
    <row r="19" spans="1:4" ht="12.75">
      <c r="A19" s="2" t="s">
        <v>30</v>
      </c>
      <c r="B19" s="13">
        <f>40*20/43560</f>
        <v>0.018365472910927456</v>
      </c>
      <c r="C19" s="8" t="s">
        <v>31</v>
      </c>
      <c r="D19" s="11" t="s">
        <v>52</v>
      </c>
    </row>
    <row r="20" spans="1:4" ht="12.75">
      <c r="A20" s="2" t="s">
        <v>158</v>
      </c>
      <c r="B20" s="8">
        <f>50*1.5</f>
        <v>75</v>
      </c>
      <c r="C20" s="8" t="s">
        <v>23</v>
      </c>
      <c r="D20" s="11" t="s">
        <v>52</v>
      </c>
    </row>
    <row r="21" spans="1:4" ht="12.75">
      <c r="A21" s="2" t="s">
        <v>159</v>
      </c>
      <c r="B21" s="8">
        <f>20*1.5</f>
        <v>30</v>
      </c>
      <c r="C21" s="8" t="s">
        <v>23</v>
      </c>
      <c r="D21" s="11" t="s">
        <v>52</v>
      </c>
    </row>
    <row r="22" spans="1:4" ht="12.75">
      <c r="A22" s="2" t="s">
        <v>160</v>
      </c>
      <c r="B22" s="8">
        <f>120*1.5</f>
        <v>180</v>
      </c>
      <c r="C22" s="8" t="s">
        <v>23</v>
      </c>
      <c r="D22" s="11" t="s">
        <v>52</v>
      </c>
    </row>
    <row r="23" spans="1:4" ht="12.75">
      <c r="A23" s="2" t="s">
        <v>161</v>
      </c>
      <c r="B23" s="8">
        <f>45*1.5</f>
        <v>67.5</v>
      </c>
      <c r="C23" s="8" t="s">
        <v>23</v>
      </c>
      <c r="D23" s="11" t="s">
        <v>52</v>
      </c>
    </row>
    <row r="24" spans="1:4" ht="12.75">
      <c r="A24" s="2" t="s">
        <v>162</v>
      </c>
      <c r="B24" s="8">
        <f>B23</f>
        <v>67.5</v>
      </c>
      <c r="C24" s="8" t="s">
        <v>23</v>
      </c>
      <c r="D24" s="11" t="s">
        <v>52</v>
      </c>
    </row>
    <row r="25" spans="4:256" ht="12.75">
      <c r="D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2:6" ht="12.75">
      <c r="B26" s="5"/>
      <c r="C26" s="5" t="s">
        <v>100</v>
      </c>
      <c r="D26" s="5" t="s">
        <v>96</v>
      </c>
      <c r="E26" s="5"/>
      <c r="F26" s="5"/>
    </row>
    <row r="27" spans="2:6" ht="12.75">
      <c r="B27" s="5" t="s">
        <v>3</v>
      </c>
      <c r="C27" s="5" t="s">
        <v>102</v>
      </c>
      <c r="D27" s="5" t="s">
        <v>1</v>
      </c>
      <c r="E27" s="5"/>
      <c r="F27" s="5"/>
    </row>
    <row r="28" spans="1:6" ht="12.75">
      <c r="A28" s="5" t="s">
        <v>95</v>
      </c>
      <c r="B28" s="5" t="s">
        <v>42</v>
      </c>
      <c r="C28" s="5" t="s">
        <v>103</v>
      </c>
      <c r="D28" s="5" t="s">
        <v>97</v>
      </c>
      <c r="E28" s="5"/>
      <c r="F28" s="5"/>
    </row>
    <row r="29" spans="1:6" ht="12.75">
      <c r="A29" s="2" t="s">
        <v>99</v>
      </c>
      <c r="B29" s="2" t="s">
        <v>80</v>
      </c>
      <c r="C29" s="8">
        <v>15</v>
      </c>
      <c r="D29" s="7">
        <f>0.00042*C29</f>
        <v>0.0063</v>
      </c>
      <c r="E29" s="4"/>
      <c r="F29" s="4" t="s">
        <v>147</v>
      </c>
    </row>
    <row r="30" spans="1:6" ht="12.75">
      <c r="A30" s="2" t="s">
        <v>79</v>
      </c>
      <c r="B30" s="2" t="s">
        <v>101</v>
      </c>
      <c r="C30" s="13">
        <f>+B19</f>
        <v>0.018365472910927456</v>
      </c>
      <c r="D30" s="7">
        <f>0.85*B4/1.5*(365-B17)/235*B18/100/15*C30</f>
        <v>0.006405770145035136</v>
      </c>
      <c r="E30" s="4"/>
      <c r="F30" s="2" t="s">
        <v>154</v>
      </c>
    </row>
    <row r="31" ht="12.75">
      <c r="F31" s="2" t="s">
        <v>155</v>
      </c>
    </row>
    <row r="32" spans="2:4" ht="12.75">
      <c r="B32" s="5"/>
      <c r="D32" s="5" t="s">
        <v>96</v>
      </c>
    </row>
    <row r="33" spans="2:6" ht="12.75">
      <c r="B33" s="5" t="s">
        <v>3</v>
      </c>
      <c r="C33" s="5" t="s">
        <v>150</v>
      </c>
      <c r="D33" s="5" t="s">
        <v>1</v>
      </c>
      <c r="F33" s="14"/>
    </row>
    <row r="34" spans="1:4" ht="12.75">
      <c r="A34" s="5" t="s">
        <v>95</v>
      </c>
      <c r="B34" s="5" t="s">
        <v>42</v>
      </c>
      <c r="C34" s="5" t="s">
        <v>151</v>
      </c>
      <c r="D34" s="5" t="s">
        <v>97</v>
      </c>
    </row>
    <row r="35" spans="1:6" ht="12.75">
      <c r="A35" s="2" t="s">
        <v>76</v>
      </c>
      <c r="B35" s="2" t="s">
        <v>80</v>
      </c>
      <c r="C35" s="8">
        <f>B20</f>
        <v>75</v>
      </c>
      <c r="D35" s="7">
        <f>(0.00112*(($B$7/5)^1.3))/((($B$5/2)^1.4)*C35)</f>
        <v>5.593690621687406E-07</v>
      </c>
      <c r="E35" s="4"/>
      <c r="F35" s="4" t="s">
        <v>149</v>
      </c>
    </row>
    <row r="36" spans="1:6" ht="12.75">
      <c r="A36" s="2" t="s">
        <v>77</v>
      </c>
      <c r="B36" s="2" t="s">
        <v>80</v>
      </c>
      <c r="C36" s="8">
        <f>B21</f>
        <v>30</v>
      </c>
      <c r="D36" s="7">
        <f>(0.00112*(($B$7/5)^1.3))/((($B$5/2)^1.4)*C36)</f>
        <v>1.3984226554218518E-06</v>
      </c>
      <c r="F36" s="4" t="s">
        <v>149</v>
      </c>
    </row>
    <row r="37" spans="1:6" ht="12.75">
      <c r="A37" s="2" t="s">
        <v>79</v>
      </c>
      <c r="B37" s="2" t="s">
        <v>80</v>
      </c>
      <c r="C37" s="8">
        <f>B22</f>
        <v>180</v>
      </c>
      <c r="D37" s="7">
        <f>(0.00112*(($B$7/5)^1.3))/((($B$5/2)^1.4)*C37)</f>
        <v>2.330704425703086E-07</v>
      </c>
      <c r="F37" s="4" t="s">
        <v>149</v>
      </c>
    </row>
    <row r="38" spans="1:6" ht="12.75">
      <c r="A38" s="2" t="s">
        <v>152</v>
      </c>
      <c r="B38" s="2" t="s">
        <v>80</v>
      </c>
      <c r="C38" s="8">
        <f>B23</f>
        <v>67.5</v>
      </c>
      <c r="D38" s="7">
        <f>(0.00112*(($B$7/5)^1.3))/((($B$5/2)^1.4)*C38)</f>
        <v>6.215211801874896E-07</v>
      </c>
      <c r="F38" s="4" t="s">
        <v>149</v>
      </c>
    </row>
    <row r="39" spans="1:6" ht="12.75">
      <c r="A39" s="2" t="s">
        <v>123</v>
      </c>
      <c r="B39" s="2" t="s">
        <v>80</v>
      </c>
      <c r="C39" s="8">
        <f>B24</f>
        <v>67.5</v>
      </c>
      <c r="D39" s="7">
        <f>(0.00112*(($B$7/5)^1.3))/((($B$5/2)^1.4)*C39)</f>
        <v>6.215211801874896E-07</v>
      </c>
      <c r="F39" s="4" t="s">
        <v>149</v>
      </c>
    </row>
    <row r="40" ht="12.75">
      <c r="B40" s="2" t="s">
        <v>6</v>
      </c>
    </row>
  </sheetData>
  <sheetProtection/>
  <printOptions/>
  <pageMargins left="0.75" right="0.5" top="1" bottom="1" header="0.5" footer="0.5"/>
  <pageSetup fitToHeight="1" fitToWidth="1" horizontalDpi="600" verticalDpi="600" orientation="landscape" scale="81" r:id="rId1"/>
  <headerFooter alignWithMargins="0">
    <oddHeader>&amp;R&amp;"Times New Roman,Bold Italic"Final EA - Apppendix D</oddHeader>
    <oddFooter>&amp;L&amp;"Times New Roman,Bold Italic"PAReg XX / PRs 1631, 1632, 1633, 2507&amp;"Arial,Regular"
&amp;R&amp;"Times New Roman,Bold Italic"May 2001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26"/>
  <sheetViews>
    <sheetView zoomScalePageLayoutView="0" workbookViewId="0" topLeftCell="H1">
      <selection activeCell="O3" sqref="O3"/>
    </sheetView>
  </sheetViews>
  <sheetFormatPr defaultColWidth="9.140625" defaultRowHeight="12.75"/>
  <cols>
    <col min="22" max="22" width="7.28125" style="0" customWidth="1"/>
    <col min="23" max="23" width="7.140625" style="0" customWidth="1"/>
    <col min="24" max="24" width="7.00390625" style="0" customWidth="1"/>
    <col min="25" max="25" width="7.7109375" style="0" customWidth="1"/>
    <col min="26" max="26" width="7.140625" style="0" customWidth="1"/>
  </cols>
  <sheetData>
    <row r="1" spans="2:11" ht="12.75">
      <c r="B1" s="25"/>
      <c r="E1" s="25"/>
      <c r="F1" s="25"/>
      <c r="G1" s="25"/>
      <c r="H1" s="25"/>
      <c r="I1" s="25"/>
      <c r="J1" s="25"/>
      <c r="K1" s="25"/>
    </row>
    <row r="2" spans="2:16" ht="12.75">
      <c r="B2" s="25"/>
      <c r="E2" s="26"/>
      <c r="F2" s="25"/>
      <c r="G2" s="25"/>
      <c r="H2" s="25"/>
      <c r="I2" s="25"/>
      <c r="J2" s="25"/>
      <c r="K2" s="25"/>
      <c r="O2" s="28"/>
      <c r="P2" s="28"/>
    </row>
    <row r="3" spans="3:15" ht="12.75">
      <c r="C3" s="28"/>
      <c r="E3" s="26" t="s">
        <v>265</v>
      </c>
      <c r="F3" s="25"/>
      <c r="G3" s="25"/>
      <c r="H3" s="25"/>
      <c r="I3" s="25"/>
      <c r="J3" s="25"/>
      <c r="K3" s="29"/>
      <c r="O3" s="26" t="s">
        <v>265</v>
      </c>
    </row>
    <row r="4" spans="2:11" ht="13.5" thickBot="1">
      <c r="B4" s="25"/>
      <c r="E4" s="25"/>
      <c r="F4" s="25"/>
      <c r="G4" s="25"/>
      <c r="H4" s="25"/>
      <c r="I4" s="25"/>
      <c r="J4" s="25"/>
      <c r="K4" s="29"/>
    </row>
    <row r="5" spans="1:40" ht="12.75">
      <c r="A5" s="28"/>
      <c r="B5" s="240" t="s">
        <v>205</v>
      </c>
      <c r="C5" s="241"/>
      <c r="D5" s="241"/>
      <c r="E5" s="235" t="s">
        <v>206</v>
      </c>
      <c r="F5" s="236"/>
      <c r="G5" s="236"/>
      <c r="H5" s="236"/>
      <c r="I5" s="237"/>
      <c r="J5" s="30"/>
      <c r="K5" s="27"/>
      <c r="L5" s="235" t="s">
        <v>207</v>
      </c>
      <c r="M5" s="236"/>
      <c r="N5" s="236"/>
      <c r="O5" s="236"/>
      <c r="P5" s="237"/>
      <c r="Q5" s="235" t="s">
        <v>208</v>
      </c>
      <c r="R5" s="236"/>
      <c r="S5" s="236"/>
      <c r="T5" s="236"/>
      <c r="U5" s="236"/>
      <c r="V5" s="235" t="s">
        <v>209</v>
      </c>
      <c r="W5" s="236"/>
      <c r="X5" s="236"/>
      <c r="Y5" s="236"/>
      <c r="Z5" s="237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ht="13.5" thickBot="1">
      <c r="A6" s="31"/>
      <c r="B6" s="238" t="s">
        <v>3</v>
      </c>
      <c r="C6" s="239"/>
      <c r="D6" s="239"/>
      <c r="E6" s="32" t="s">
        <v>210</v>
      </c>
      <c r="F6" s="33" t="s">
        <v>202</v>
      </c>
      <c r="G6" s="33" t="s">
        <v>203</v>
      </c>
      <c r="H6" s="33" t="s">
        <v>211</v>
      </c>
      <c r="I6" s="34" t="s">
        <v>1</v>
      </c>
      <c r="J6" s="27"/>
      <c r="K6" s="27"/>
      <c r="L6" s="32" t="s">
        <v>210</v>
      </c>
      <c r="M6" s="33" t="s">
        <v>212</v>
      </c>
      <c r="N6" s="33" t="s">
        <v>203</v>
      </c>
      <c r="O6" s="33" t="s">
        <v>211</v>
      </c>
      <c r="P6" s="34" t="s">
        <v>1</v>
      </c>
      <c r="Q6" s="32" t="s">
        <v>210</v>
      </c>
      <c r="R6" s="33" t="s">
        <v>212</v>
      </c>
      <c r="S6" s="33" t="s">
        <v>203</v>
      </c>
      <c r="T6" s="33" t="s">
        <v>211</v>
      </c>
      <c r="U6" s="33" t="s">
        <v>1</v>
      </c>
      <c r="V6" s="32" t="s">
        <v>210</v>
      </c>
      <c r="W6" s="33" t="s">
        <v>212</v>
      </c>
      <c r="X6" s="33" t="s">
        <v>203</v>
      </c>
      <c r="Y6" s="33" t="s">
        <v>211</v>
      </c>
      <c r="Z6" s="34" t="s">
        <v>1</v>
      </c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2:26" ht="12.75">
      <c r="B7" s="35">
        <v>1</v>
      </c>
      <c r="C7" s="36" t="s">
        <v>213</v>
      </c>
      <c r="D7" s="37"/>
      <c r="E7" s="38">
        <f>'[1]Calc Sheet'!P8</f>
        <v>15.75</v>
      </c>
      <c r="F7" s="38">
        <f>'[1]Calc Sheet'!Q8*'[1]Equipment List &amp; Total Emission'!$B$8</f>
        <v>5.25</v>
      </c>
      <c r="G7" s="38">
        <f>'[1]Calc Sheet'!R8*'[1]Equipment List &amp; Total Emission'!$B$8</f>
        <v>40.25</v>
      </c>
      <c r="H7" s="38">
        <f>'[1]Calc Sheet'!S8*'[1]Equipment List &amp; Total Emission'!$B$8</f>
        <v>3.5000000000000004</v>
      </c>
      <c r="I7" s="39">
        <f>'[1]Calc Sheet'!T8*'[1]Equipment List &amp; Total Emission'!$B$8</f>
        <v>2.625</v>
      </c>
      <c r="J7" s="29"/>
      <c r="K7" s="29"/>
      <c r="L7" s="40">
        <f>V7/2000</f>
        <v>0</v>
      </c>
      <c r="M7" s="41">
        <f>W7/2000</f>
        <v>0</v>
      </c>
      <c r="N7" s="41">
        <f>X7/2000</f>
        <v>0</v>
      </c>
      <c r="O7" s="41">
        <f>Y7/2000</f>
        <v>0</v>
      </c>
      <c r="P7" s="42">
        <f>Z7/2000</f>
        <v>0</v>
      </c>
      <c r="Q7" s="43">
        <f>'[1]Calc Sheet'!V8</f>
        <v>0</v>
      </c>
      <c r="R7" s="44">
        <f>'[1]Calc Sheet'!W8</f>
        <v>0</v>
      </c>
      <c r="S7" s="44">
        <f>'[1]Calc Sheet'!X8</f>
        <v>0</v>
      </c>
      <c r="T7" s="44">
        <f>'[1]Calc Sheet'!Y8</f>
        <v>0</v>
      </c>
      <c r="U7" s="45">
        <f>'[1]Calc Sheet'!Z8</f>
        <v>0</v>
      </c>
      <c r="V7" s="43">
        <f>Q7*$B$7</f>
        <v>0</v>
      </c>
      <c r="W7" s="44">
        <f>R7*$B$7</f>
        <v>0</v>
      </c>
      <c r="X7" s="44">
        <f>S7*$B$7</f>
        <v>0</v>
      </c>
      <c r="Y7" s="44">
        <f>T7*$B$7</f>
        <v>0</v>
      </c>
      <c r="Z7" s="45">
        <f>U7*$B$7</f>
        <v>0</v>
      </c>
    </row>
    <row r="8" spans="1:26" ht="12.75">
      <c r="A8" s="46"/>
      <c r="B8" s="47">
        <v>3</v>
      </c>
      <c r="C8" s="48" t="s">
        <v>214</v>
      </c>
      <c r="D8" s="49"/>
      <c r="E8" s="50">
        <f>'[1]Calc Sheet'!P10*'[1]Equipment List &amp; Total Emission'!$B$9</f>
        <v>3.7800000000000002</v>
      </c>
      <c r="F8" s="50">
        <f>'[1]Calc Sheet'!Q10*'[1]Equipment List &amp; Total Emission'!$B$9</f>
        <v>1.1129999999999998</v>
      </c>
      <c r="G8" s="50">
        <f>'[1]Calc Sheet'!R10*'[1]Equipment List &amp; Total Emission'!$B$9</f>
        <v>9.261</v>
      </c>
      <c r="H8" s="51">
        <v>0</v>
      </c>
      <c r="I8" s="52">
        <f>'[1]Calc Sheet'!T10*'[1]Equipment List &amp; Total Emission'!$B$9</f>
        <v>0.6509999999999999</v>
      </c>
      <c r="J8" s="29"/>
      <c r="K8" s="29"/>
      <c r="L8" s="53">
        <f aca="true" t="shared" si="0" ref="L8:N11">V8/2000</f>
        <v>0</v>
      </c>
      <c r="M8" s="54">
        <f t="shared" si="0"/>
        <v>0</v>
      </c>
      <c r="N8" s="54">
        <f t="shared" si="0"/>
        <v>0</v>
      </c>
      <c r="O8" s="54" t="s">
        <v>215</v>
      </c>
      <c r="P8" s="55">
        <f>Z8/2000</f>
        <v>0</v>
      </c>
      <c r="Q8" s="56">
        <f>'[1]Calc Sheet'!V10</f>
        <v>0</v>
      </c>
      <c r="R8" s="29">
        <f>'[1]Calc Sheet'!W10</f>
        <v>0</v>
      </c>
      <c r="S8" s="29">
        <f>'[1]Calc Sheet'!X10</f>
        <v>0</v>
      </c>
      <c r="T8" s="29">
        <f>'[1]Calc Sheet'!Y10</f>
        <v>0</v>
      </c>
      <c r="U8" s="57">
        <f>'[1]Calc Sheet'!Z10</f>
        <v>0</v>
      </c>
      <c r="V8" s="47">
        <f>Q8*$B$8</f>
        <v>0</v>
      </c>
      <c r="W8" s="50">
        <f>R8*$B$8</f>
        <v>0</v>
      </c>
      <c r="X8" s="50">
        <f>S8*$B$8</f>
        <v>0</v>
      </c>
      <c r="Y8" s="29" t="str">
        <f>'[1]Calc Sheet'!S10</f>
        <v>---</v>
      </c>
      <c r="Z8" s="55">
        <f>U8*$B$8</f>
        <v>0</v>
      </c>
    </row>
    <row r="9" spans="1:40" ht="12.75">
      <c r="A9" s="46"/>
      <c r="B9" s="58">
        <v>1</v>
      </c>
      <c r="C9" s="59" t="s">
        <v>216</v>
      </c>
      <c r="D9" s="60"/>
      <c r="E9" s="61">
        <f>'[1]Calc Sheet'!P11*'[1]Equipment List &amp; Total Emission'!$B$10</f>
        <v>11.25</v>
      </c>
      <c r="F9" s="61">
        <f>'[1]Calc Sheet'!Q11*'[1]Equipment List &amp; Total Emission'!$B$10</f>
        <v>2.25</v>
      </c>
      <c r="G9" s="61">
        <f>'[1]Calc Sheet'!R11*'[1]Equipment List &amp; Total Emission'!$B$10</f>
        <v>16.5</v>
      </c>
      <c r="H9" s="61">
        <f>'[1]Calc Sheet'!S11*'[1]Equipment List &amp; Total Emission'!$B$10</f>
        <v>1.5</v>
      </c>
      <c r="I9" s="62">
        <f>'[1]Calc Sheet'!T11*'[1]Equipment List &amp; Total Emission'!$B$10</f>
        <v>0.75</v>
      </c>
      <c r="J9" s="29"/>
      <c r="K9" s="29"/>
      <c r="L9" s="63">
        <f t="shared" si="0"/>
        <v>0</v>
      </c>
      <c r="M9" s="64">
        <f t="shared" si="0"/>
        <v>0</v>
      </c>
      <c r="N9" s="64">
        <f t="shared" si="0"/>
        <v>0</v>
      </c>
      <c r="O9" s="64">
        <f>Y9/2000</f>
        <v>0</v>
      </c>
      <c r="P9" s="65">
        <f>Z9/2000</f>
        <v>0</v>
      </c>
      <c r="Q9" s="58">
        <f>'[1]Calc Sheet'!V11</f>
        <v>0</v>
      </c>
      <c r="R9" s="61">
        <f>'[1]Calc Sheet'!W11</f>
        <v>0</v>
      </c>
      <c r="S9" s="61">
        <f>'[1]Calc Sheet'!X11</f>
        <v>0</v>
      </c>
      <c r="T9" s="61">
        <f>'[1]Calc Sheet'!Y11</f>
        <v>0</v>
      </c>
      <c r="U9" s="62">
        <f>'[1]Calc Sheet'!Z11</f>
        <v>0</v>
      </c>
      <c r="V9" s="58">
        <f>Q9*$B$9</f>
        <v>0</v>
      </c>
      <c r="W9" s="61">
        <f>R9*$B$9</f>
        <v>0</v>
      </c>
      <c r="X9" s="61">
        <f>S9*$B$9</f>
        <v>0</v>
      </c>
      <c r="Y9" s="61">
        <f>T9*$B$9</f>
        <v>0</v>
      </c>
      <c r="Z9" s="62">
        <f>U9*$B$9</f>
        <v>0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12.75">
      <c r="A10" s="46"/>
      <c r="B10" s="47">
        <v>8</v>
      </c>
      <c r="C10" s="66" t="s">
        <v>217</v>
      </c>
      <c r="D10" s="49"/>
      <c r="E10" s="29">
        <f>'[1]Calc Sheet'!P12*$B$10</f>
        <v>7.2</v>
      </c>
      <c r="F10" s="29">
        <f>'[1]Calc Sheet'!Q12*$B$10</f>
        <v>1.4400000000000002</v>
      </c>
      <c r="G10" s="29">
        <f>'[1]Calc Sheet'!R12*$B$10</f>
        <v>10.56</v>
      </c>
      <c r="H10" s="51">
        <v>0</v>
      </c>
      <c r="I10" s="57">
        <f>'[1]Calc Sheet'!T12*$B$10</f>
        <v>0.48</v>
      </c>
      <c r="J10" s="29"/>
      <c r="K10" s="29"/>
      <c r="L10" s="53">
        <f t="shared" si="0"/>
        <v>0</v>
      </c>
      <c r="M10" s="54">
        <f t="shared" si="0"/>
        <v>0</v>
      </c>
      <c r="N10" s="54">
        <f t="shared" si="0"/>
        <v>0</v>
      </c>
      <c r="O10" s="54">
        <f>Y10/2000</f>
        <v>0</v>
      </c>
      <c r="P10" s="55">
        <f>Z10/2000</f>
        <v>0</v>
      </c>
      <c r="Q10" s="67">
        <f>'[1]Calc Sheet'!V12</f>
        <v>0</v>
      </c>
      <c r="R10" s="68">
        <f>'[1]Calc Sheet'!W12</f>
        <v>0</v>
      </c>
      <c r="S10" s="68">
        <f>'[1]Calc Sheet'!X12</f>
        <v>0</v>
      </c>
      <c r="T10" s="29">
        <f>'[1]Calc Sheet'!Y12</f>
        <v>0</v>
      </c>
      <c r="U10" s="69">
        <f>'[1]Calc Sheet'!Z12</f>
        <v>0</v>
      </c>
      <c r="V10" s="53">
        <f>Q10*$B$10</f>
        <v>0</v>
      </c>
      <c r="W10" s="50">
        <f>R10*$B$10</f>
        <v>0</v>
      </c>
      <c r="X10" s="54">
        <f>S10*$B$10</f>
        <v>0</v>
      </c>
      <c r="Y10" s="50">
        <f>T10*$B$10</f>
        <v>0</v>
      </c>
      <c r="Z10" s="55">
        <f>U10*$B$10</f>
        <v>0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</row>
    <row r="11" spans="1:40" ht="13.5" thickBot="1">
      <c r="A11" s="46"/>
      <c r="B11" s="47">
        <v>1</v>
      </c>
      <c r="C11" s="70" t="s">
        <v>218</v>
      </c>
      <c r="D11" s="49"/>
      <c r="E11" s="29">
        <f>'[1]Calc Sheet'!P14*'[1]Equipment List &amp; Total Emission'!$B$12</f>
        <v>0.44999999999999996</v>
      </c>
      <c r="F11" s="29">
        <f>'[1]Calc Sheet'!Q14*'[1]Equipment List &amp; Total Emission'!$B$12</f>
        <v>0.09</v>
      </c>
      <c r="G11" s="29">
        <f>'[1]Calc Sheet'!R14*'[1]Equipment List &amp; Total Emission'!$B$12</f>
        <v>1.08</v>
      </c>
      <c r="H11" s="29">
        <f>'[1]Calc Sheet'!S14*'[1]Equipment List &amp; Total Emission'!$B$12</f>
        <v>0.09</v>
      </c>
      <c r="I11" s="57">
        <f>'[1]Calc Sheet'!T14*'[1]Equipment List &amp; Total Emission'!$B$12</f>
        <v>0.045</v>
      </c>
      <c r="J11" s="29"/>
      <c r="K11" s="29"/>
      <c r="L11" s="53">
        <f t="shared" si="0"/>
        <v>0.0005250000000000001</v>
      </c>
      <c r="M11" s="54">
        <f t="shared" si="0"/>
        <v>0.00010499999999999999</v>
      </c>
      <c r="N11" s="54">
        <f t="shared" si="0"/>
        <v>0</v>
      </c>
      <c r="O11" s="54">
        <f>Y11/2000</f>
        <v>0</v>
      </c>
      <c r="P11" s="55">
        <f>Z11/2000</f>
        <v>0</v>
      </c>
      <c r="Q11" s="56">
        <f>'[1]Calc Sheet'!V14</f>
        <v>1.05</v>
      </c>
      <c r="R11" s="29">
        <f>'[1]Calc Sheet'!W14</f>
        <v>0.21</v>
      </c>
      <c r="S11" s="29">
        <f>'[1]Calc Sheet'!X14</f>
        <v>0</v>
      </c>
      <c r="T11" s="29">
        <f>'[1]Calc Sheet'!Y14</f>
        <v>0</v>
      </c>
      <c r="U11" s="57">
        <f>'[1]Calc Sheet'!Z14</f>
        <v>0</v>
      </c>
      <c r="V11" s="71">
        <f>Q11*$B$11</f>
        <v>1.05</v>
      </c>
      <c r="W11" s="72">
        <f>R11*$B$11</f>
        <v>0.21</v>
      </c>
      <c r="X11" s="72">
        <f>S11*$B$11</f>
        <v>0</v>
      </c>
      <c r="Y11" s="72">
        <f>T11*$B$11</f>
        <v>0</v>
      </c>
      <c r="Z11" s="73">
        <f>U11*$B$11</f>
        <v>0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</row>
    <row r="12" spans="1:40" ht="13.5" thickBot="1">
      <c r="A12" s="46"/>
      <c r="B12" s="74">
        <v>2</v>
      </c>
      <c r="C12" s="75" t="s">
        <v>219</v>
      </c>
      <c r="D12" s="76"/>
      <c r="E12" s="77">
        <f>'[1]Calc Sheet'!P13*'[1]Equipment List &amp; Total Emission'!$B$13</f>
        <v>5.389999999999999</v>
      </c>
      <c r="F12" s="77">
        <f>'[1]Calc Sheet'!Q13*'[1]Equipment List &amp; Total Emission'!$B$13</f>
        <v>0.98</v>
      </c>
      <c r="G12" s="77">
        <f>'[1]Calc Sheet'!R13*'[1]Equipment List &amp; Total Emission'!$B$13</f>
        <v>8.819999999999999</v>
      </c>
      <c r="H12" s="77">
        <f>'[1]Calc Sheet'!S13*'[1]Equipment List &amp; Total Emission'!$B$13</f>
        <v>0.98</v>
      </c>
      <c r="I12" s="78">
        <f>'[1]Calc Sheet'!T13*'[1]Equipment List &amp; Total Emission'!$B$13</f>
        <v>0.49</v>
      </c>
      <c r="J12" s="29"/>
      <c r="K12" s="29"/>
      <c r="L12" s="79">
        <f>V12/2000</f>
        <v>0.10741500000000001</v>
      </c>
      <c r="M12" s="80">
        <f>W12/2000</f>
        <v>0.019530000000000002</v>
      </c>
      <c r="N12" s="80">
        <f>X12/2000</f>
        <v>0.17577</v>
      </c>
      <c r="O12" s="80">
        <f>Y12/2000</f>
        <v>0.019530000000000002</v>
      </c>
      <c r="P12" s="81">
        <f>Z12/2000</f>
        <v>0.009765000000000001</v>
      </c>
      <c r="Q12" s="82">
        <v>107.415</v>
      </c>
      <c r="R12" s="83">
        <v>19.53</v>
      </c>
      <c r="S12" s="83">
        <v>175.77</v>
      </c>
      <c r="T12" s="83">
        <v>19.53</v>
      </c>
      <c r="U12" s="84">
        <v>9.765</v>
      </c>
      <c r="V12" s="82">
        <f>Q12*$B$12</f>
        <v>214.83</v>
      </c>
      <c r="W12" s="83">
        <f>R12*$B$12</f>
        <v>39.06</v>
      </c>
      <c r="X12" s="83">
        <f>S12*$B$12</f>
        <v>351.54</v>
      </c>
      <c r="Y12" s="83">
        <f>T12*$B$12</f>
        <v>39.06</v>
      </c>
      <c r="Z12" s="84">
        <f>U12*$B$12</f>
        <v>19.53</v>
      </c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</row>
    <row r="13" spans="2:17" ht="12.75">
      <c r="B13" s="85" t="s">
        <v>220</v>
      </c>
      <c r="C13" s="86"/>
      <c r="D13" s="87"/>
      <c r="E13" s="88">
        <v>10.8</v>
      </c>
      <c r="F13" s="89">
        <v>16.2</v>
      </c>
      <c r="G13" s="89">
        <v>3.6</v>
      </c>
      <c r="H13" s="89">
        <v>0</v>
      </c>
      <c r="I13" s="90">
        <v>0.8</v>
      </c>
      <c r="J13" s="29"/>
      <c r="K13" s="25"/>
      <c r="L13" s="91">
        <f>(10.8*93)/2000</f>
        <v>0.5022000000000001</v>
      </c>
      <c r="M13" s="92">
        <f>(16.2*93)/2000</f>
        <v>0.7533</v>
      </c>
      <c r="N13" s="92">
        <f>(3.6*93)/2000</f>
        <v>0.1674</v>
      </c>
      <c r="O13" s="93">
        <v>0</v>
      </c>
      <c r="P13" s="94">
        <f>(0.8*93)/2000</f>
        <v>0.037200000000000004</v>
      </c>
      <c r="Q13" s="95" t="s">
        <v>221</v>
      </c>
    </row>
    <row r="14" spans="2:17" ht="13.5" thickBot="1">
      <c r="B14" s="96" t="s">
        <v>222</v>
      </c>
      <c r="C14" s="97"/>
      <c r="D14" s="98"/>
      <c r="E14" s="99">
        <f>SUM(E7:E11,E12:E13)</f>
        <v>54.620000000000005</v>
      </c>
      <c r="F14" s="99">
        <f>SUM(F7:F11,F12:F13)</f>
        <v>27.323</v>
      </c>
      <c r="G14" s="99">
        <f>SUM(G7:G11,G12:G13)</f>
        <v>90.07099999999998</v>
      </c>
      <c r="H14" s="99">
        <f>SUM(H7:H11,H12:H13)</f>
        <v>6.07</v>
      </c>
      <c r="I14" s="100">
        <f>SUM(I7:I11,I12:I13)</f>
        <v>5.841</v>
      </c>
      <c r="J14" s="101"/>
      <c r="K14" s="25"/>
      <c r="L14" s="102">
        <f>SUM(L7:L11,L12:L12)</f>
        <v>0.10794000000000001</v>
      </c>
      <c r="M14" s="103">
        <f>SUM(M7:M11,M12:M12)</f>
        <v>0.019635000000000003</v>
      </c>
      <c r="N14" s="103">
        <f>SUM(N7:N11,N12:N12)</f>
        <v>0.17577</v>
      </c>
      <c r="O14" s="104">
        <f>SUM(O7:O11,O12:O12)</f>
        <v>0.019530000000000002</v>
      </c>
      <c r="P14" s="105">
        <f>SUM(P7:P11,P12:P12)</f>
        <v>0.009765000000000001</v>
      </c>
      <c r="Q14" s="106" t="s">
        <v>223</v>
      </c>
    </row>
    <row r="15" spans="2:17" ht="13.5" thickBot="1">
      <c r="B15" s="107" t="s">
        <v>263</v>
      </c>
      <c r="C15" s="108"/>
      <c r="D15" s="108"/>
      <c r="E15" s="109">
        <v>550</v>
      </c>
      <c r="F15" s="110">
        <v>75</v>
      </c>
      <c r="G15" s="110">
        <v>100</v>
      </c>
      <c r="H15" s="110">
        <v>150</v>
      </c>
      <c r="I15" s="111">
        <v>150</v>
      </c>
      <c r="J15" s="50"/>
      <c r="K15" s="25"/>
      <c r="L15" s="112">
        <v>24.75</v>
      </c>
      <c r="M15" s="113">
        <v>2.5</v>
      </c>
      <c r="N15" s="113">
        <v>2.5</v>
      </c>
      <c r="O15" s="113">
        <v>6.75</v>
      </c>
      <c r="P15" s="114">
        <v>6.75</v>
      </c>
      <c r="Q15" s="106" t="s">
        <v>224</v>
      </c>
    </row>
    <row r="16" spans="2:11" ht="12.75">
      <c r="B16" s="25"/>
      <c r="E16" s="25"/>
      <c r="F16" s="25"/>
      <c r="G16" s="25"/>
      <c r="H16" s="25"/>
      <c r="I16" s="25"/>
      <c r="J16" s="25"/>
      <c r="K16" s="25"/>
    </row>
    <row r="17" spans="2:11" ht="12.75">
      <c r="B17" s="25"/>
      <c r="E17" s="25"/>
      <c r="F17" s="25"/>
      <c r="G17" s="25"/>
      <c r="H17" s="25"/>
      <c r="I17" s="25"/>
      <c r="J17" s="25"/>
      <c r="K17" s="25"/>
    </row>
    <row r="18" spans="2:11" ht="12.75">
      <c r="B18" s="115" t="s">
        <v>225</v>
      </c>
      <c r="C18" s="25"/>
      <c r="E18" s="25"/>
      <c r="F18" s="25"/>
      <c r="G18" s="25"/>
      <c r="H18" s="25"/>
      <c r="I18" s="25"/>
      <c r="J18" s="25"/>
      <c r="K18" s="25"/>
    </row>
    <row r="19" spans="2:11" ht="12.75">
      <c r="B19" s="116" t="s">
        <v>226</v>
      </c>
      <c r="C19" s="25"/>
      <c r="E19" s="25"/>
      <c r="F19" s="25"/>
      <c r="G19" s="25"/>
      <c r="H19" s="25"/>
      <c r="I19" s="25"/>
      <c r="J19" s="25"/>
      <c r="K19" s="25"/>
    </row>
    <row r="20" spans="2:11" ht="15">
      <c r="B20" s="117" t="s">
        <v>227</v>
      </c>
      <c r="E20" s="25"/>
      <c r="F20" s="25"/>
      <c r="G20" s="25"/>
      <c r="H20" s="25"/>
      <c r="I20" s="25"/>
      <c r="J20" s="25"/>
      <c r="K20" s="25"/>
    </row>
    <row r="21" spans="2:11" ht="12.75">
      <c r="B21" s="118" t="s">
        <v>261</v>
      </c>
      <c r="E21" s="25"/>
      <c r="F21" s="25"/>
      <c r="G21" s="25"/>
      <c r="H21" s="25"/>
      <c r="I21" s="25"/>
      <c r="J21" s="25"/>
      <c r="K21" s="25"/>
    </row>
    <row r="22" spans="2:11" ht="12.75">
      <c r="B22" s="116"/>
      <c r="E22" s="25"/>
      <c r="F22" s="25"/>
      <c r="G22" s="25"/>
      <c r="H22" s="25"/>
      <c r="I22" s="25"/>
      <c r="J22" s="25"/>
      <c r="K22" s="25"/>
    </row>
    <row r="23" spans="2:11" ht="12.75">
      <c r="B23" s="116"/>
      <c r="E23" s="25"/>
      <c r="F23" s="25"/>
      <c r="G23" s="25"/>
      <c r="H23" s="25"/>
      <c r="I23" s="25"/>
      <c r="J23" s="25"/>
      <c r="K23" s="25"/>
    </row>
    <row r="24" spans="2:11" ht="12.75">
      <c r="B24" s="116"/>
      <c r="E24" s="25"/>
      <c r="F24" s="25"/>
      <c r="G24" s="25"/>
      <c r="H24" s="25"/>
      <c r="I24" s="25"/>
      <c r="J24" s="25"/>
      <c r="K24" s="25"/>
    </row>
    <row r="25" spans="2:11" ht="12.75">
      <c r="B25" s="116"/>
      <c r="E25" s="25"/>
      <c r="F25" s="25"/>
      <c r="G25" s="25"/>
      <c r="H25" s="25"/>
      <c r="I25" s="25"/>
      <c r="J25" s="25"/>
      <c r="K25" s="25"/>
    </row>
    <row r="26" spans="2:11" ht="12.75">
      <c r="B26" s="25"/>
      <c r="E26" s="25"/>
      <c r="F26" s="25"/>
      <c r="G26" s="25"/>
      <c r="H26" s="25"/>
      <c r="I26" s="25"/>
      <c r="J26" s="25"/>
      <c r="K26" s="25"/>
    </row>
  </sheetData>
  <sheetProtection/>
  <mergeCells count="6">
    <mergeCell ref="Q5:U5"/>
    <mergeCell ref="V5:Z5"/>
    <mergeCell ref="B6:D6"/>
    <mergeCell ref="B5:D5"/>
    <mergeCell ref="E5:I5"/>
    <mergeCell ref="L5:P5"/>
  </mergeCells>
  <printOptions/>
  <pageMargins left="0.78" right="0.25" top="1.02" bottom="1" header="0.5" footer="0.5"/>
  <pageSetup horizontalDpi="600" verticalDpi="600" orientation="landscape" r:id="rId1"/>
  <headerFooter alignWithMargins="0">
    <oddHeader>&amp;R&amp;"Times New Roman,Bold Italic"Final EA - Appendix D</oddHeader>
    <oddFooter>&amp;L&amp;"Times New Roman,Bold Italic"PAReg XX / PRs 1631, 1632, 1633, 2507&amp;R&amp;"Times New Roman,Bold Italic"May 2001</oddFooter>
  </headerFooter>
  <rowBreaks count="1" manualBreakCount="1">
    <brk id="21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9.140625" style="0" customWidth="1"/>
    <col min="2" max="2" width="5.140625" style="225" customWidth="1"/>
    <col min="3" max="3" width="6.421875" style="225" customWidth="1"/>
    <col min="4" max="4" width="3.8515625" style="0" customWidth="1"/>
    <col min="5" max="5" width="12.57421875" style="225" customWidth="1"/>
    <col min="6" max="6" width="6.140625" style="0" customWidth="1"/>
    <col min="7" max="7" width="5.8515625" style="0" customWidth="1"/>
    <col min="8" max="9" width="6.00390625" style="0" customWidth="1"/>
    <col min="10" max="10" width="5.7109375" style="0" customWidth="1"/>
    <col min="11" max="11" width="5.57421875" style="0" customWidth="1"/>
    <col min="12" max="12" width="5.421875" style="0" customWidth="1"/>
    <col min="13" max="14" width="5.57421875" style="0" customWidth="1"/>
    <col min="15" max="15" width="6.00390625" style="0" customWidth="1"/>
    <col min="16" max="16" width="6.28125" style="0" customWidth="1"/>
    <col min="17" max="17" width="6.140625" style="224" customWidth="1"/>
    <col min="18" max="18" width="6.421875" style="224" customWidth="1"/>
    <col min="19" max="19" width="5.7109375" style="224" customWidth="1"/>
    <col min="20" max="20" width="6.140625" style="224" customWidth="1"/>
    <col min="21" max="21" width="6.7109375" style="224" customWidth="1"/>
    <col min="22" max="22" width="8.421875" style="224" customWidth="1"/>
  </cols>
  <sheetData>
    <row r="1" spans="1:21" s="119" customFormat="1" ht="12.75" customHeight="1">
      <c r="A1" s="257" t="s">
        <v>228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16" s="119" customFormat="1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21" s="119" customFormat="1" ht="12.75" customHeight="1">
      <c r="A3" s="257" t="s">
        <v>262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4" s="123" customFormat="1" ht="19.5" customHeight="1">
      <c r="A4" s="120"/>
      <c r="B4" s="121"/>
      <c r="C4" s="121"/>
      <c r="D4" s="119"/>
      <c r="E4" s="122"/>
      <c r="F4" s="27"/>
      <c r="G4" s="27"/>
      <c r="H4" s="27"/>
      <c r="I4" s="27"/>
      <c r="J4" s="27"/>
      <c r="K4" s="27"/>
      <c r="Q4" s="119"/>
      <c r="R4" s="119"/>
      <c r="S4" s="119"/>
      <c r="T4" s="119"/>
      <c r="U4" s="119"/>
      <c r="V4" s="119"/>
      <c r="W4" s="119"/>
      <c r="X4" s="119"/>
    </row>
    <row r="5" spans="1:27" s="123" customFormat="1" ht="9.75">
      <c r="A5" s="258" t="s">
        <v>229</v>
      </c>
      <c r="B5" s="242" t="s">
        <v>230</v>
      </c>
      <c r="C5" s="242" t="s">
        <v>231</v>
      </c>
      <c r="D5" s="242" t="s">
        <v>232</v>
      </c>
      <c r="E5" s="242" t="s">
        <v>233</v>
      </c>
      <c r="F5" s="244" t="s">
        <v>234</v>
      </c>
      <c r="G5" s="245"/>
      <c r="H5" s="245"/>
      <c r="I5" s="245"/>
      <c r="J5" s="245"/>
      <c r="K5" s="246" t="s">
        <v>235</v>
      </c>
      <c r="L5" s="247"/>
      <c r="M5" s="247"/>
      <c r="N5" s="247"/>
      <c r="O5" s="248"/>
      <c r="P5" s="249" t="s">
        <v>236</v>
      </c>
      <c r="Q5" s="250"/>
      <c r="R5" s="250"/>
      <c r="S5" s="250"/>
      <c r="T5" s="251"/>
      <c r="U5" s="124"/>
      <c r="V5" s="252" t="s">
        <v>237</v>
      </c>
      <c r="W5" s="253"/>
      <c r="X5" s="253"/>
      <c r="Y5" s="253"/>
      <c r="Z5" s="254"/>
      <c r="AA5" s="242" t="s">
        <v>238</v>
      </c>
    </row>
    <row r="6" spans="1:27" s="128" customFormat="1" ht="26.25" customHeight="1">
      <c r="A6" s="259"/>
      <c r="B6" s="243"/>
      <c r="C6" s="260"/>
      <c r="D6" s="243"/>
      <c r="E6" s="243"/>
      <c r="F6" s="125" t="s">
        <v>210</v>
      </c>
      <c r="G6" s="126" t="s">
        <v>212</v>
      </c>
      <c r="H6" s="126" t="s">
        <v>203</v>
      </c>
      <c r="I6" s="126" t="s">
        <v>211</v>
      </c>
      <c r="J6" s="126" t="s">
        <v>1</v>
      </c>
      <c r="K6" s="125" t="s">
        <v>210</v>
      </c>
      <c r="L6" s="126" t="s">
        <v>212</v>
      </c>
      <c r="M6" s="126" t="s">
        <v>203</v>
      </c>
      <c r="N6" s="126" t="s">
        <v>211</v>
      </c>
      <c r="O6" s="127" t="s">
        <v>1</v>
      </c>
      <c r="P6" s="125" t="s">
        <v>210</v>
      </c>
      <c r="Q6" s="126" t="s">
        <v>212</v>
      </c>
      <c r="R6" s="126" t="s">
        <v>203</v>
      </c>
      <c r="S6" s="126" t="s">
        <v>211</v>
      </c>
      <c r="T6" s="127" t="s">
        <v>1</v>
      </c>
      <c r="U6" s="27"/>
      <c r="V6" s="125" t="s">
        <v>210</v>
      </c>
      <c r="W6" s="126" t="s">
        <v>212</v>
      </c>
      <c r="X6" s="126" t="s">
        <v>203</v>
      </c>
      <c r="Y6" s="126" t="s">
        <v>211</v>
      </c>
      <c r="Z6" s="127" t="s">
        <v>1</v>
      </c>
      <c r="AA6" s="243" t="s">
        <v>239</v>
      </c>
    </row>
    <row r="7" spans="1:27" s="123" customFormat="1" ht="9.75">
      <c r="A7" s="129"/>
      <c r="B7" s="130"/>
      <c r="C7" s="130"/>
      <c r="D7" s="119"/>
      <c r="E7" s="131"/>
      <c r="F7" s="132"/>
      <c r="G7" s="131"/>
      <c r="H7" s="131"/>
      <c r="I7" s="131"/>
      <c r="J7" s="131"/>
      <c r="K7" s="133"/>
      <c r="L7" s="134"/>
      <c r="M7" s="134"/>
      <c r="N7" s="134"/>
      <c r="O7" s="135"/>
      <c r="P7" s="136"/>
      <c r="Q7" s="137"/>
      <c r="R7" s="137"/>
      <c r="S7" s="137"/>
      <c r="T7" s="138"/>
      <c r="U7" s="130"/>
      <c r="V7" s="139"/>
      <c r="W7" s="130"/>
      <c r="X7" s="130"/>
      <c r="Y7" s="130"/>
      <c r="Z7" s="140"/>
      <c r="AA7" s="122"/>
    </row>
    <row r="8" spans="1:27" s="149" customFormat="1" ht="9.75">
      <c r="A8" s="141" t="s">
        <v>240</v>
      </c>
      <c r="B8" s="142" t="s">
        <v>241</v>
      </c>
      <c r="C8" s="142">
        <v>50</v>
      </c>
      <c r="D8" s="142">
        <v>10</v>
      </c>
      <c r="E8" s="143" t="s">
        <v>242</v>
      </c>
      <c r="F8" s="143">
        <v>0.009</v>
      </c>
      <c r="G8" s="143">
        <v>0.003</v>
      </c>
      <c r="H8" s="143">
        <v>0.023</v>
      </c>
      <c r="I8" s="143">
        <v>0.002</v>
      </c>
      <c r="J8" s="143">
        <v>0.0015</v>
      </c>
      <c r="K8" s="143">
        <f>F8*350</f>
        <v>3.15</v>
      </c>
      <c r="L8" s="144">
        <f>G8*350</f>
        <v>1.05</v>
      </c>
      <c r="M8" s="144">
        <f>H8*350</f>
        <v>8.05</v>
      </c>
      <c r="N8" s="144">
        <f>I8*350</f>
        <v>0.7000000000000001</v>
      </c>
      <c r="O8" s="145">
        <f>J8*350</f>
        <v>0.525</v>
      </c>
      <c r="P8" s="143">
        <f>K8*($C8/100)*$D8</f>
        <v>15.75</v>
      </c>
      <c r="Q8" s="144">
        <f>L8*($C8/100)*$D8</f>
        <v>5.25</v>
      </c>
      <c r="R8" s="144">
        <f>M8*($C8/100)*$D8</f>
        <v>40.25</v>
      </c>
      <c r="S8" s="144">
        <f>N8*($C8/100)*$D8</f>
        <v>3.5000000000000004</v>
      </c>
      <c r="T8" s="145">
        <f>O8*($C8/100)*$D8</f>
        <v>2.625</v>
      </c>
      <c r="U8" s="29"/>
      <c r="V8" s="146"/>
      <c r="W8" s="147"/>
      <c r="X8" s="147"/>
      <c r="Y8" s="147"/>
      <c r="Z8" s="148"/>
      <c r="AA8" s="142">
        <v>56</v>
      </c>
    </row>
    <row r="9" spans="1:27" s="149" customFormat="1" ht="9.75">
      <c r="A9" s="150" t="s">
        <v>204</v>
      </c>
      <c r="B9" s="151" t="s">
        <v>241</v>
      </c>
      <c r="C9" s="151">
        <v>70</v>
      </c>
      <c r="D9" s="151">
        <v>10</v>
      </c>
      <c r="E9" s="152" t="s">
        <v>242</v>
      </c>
      <c r="F9" s="152">
        <v>0.009</v>
      </c>
      <c r="G9" s="152">
        <v>0.003</v>
      </c>
      <c r="H9" s="152">
        <v>0.023</v>
      </c>
      <c r="I9" s="152">
        <v>0.002</v>
      </c>
      <c r="J9" s="152">
        <v>0.0015</v>
      </c>
      <c r="K9" s="152">
        <f>F9*250</f>
        <v>2.25</v>
      </c>
      <c r="L9" s="44">
        <f>G9*250</f>
        <v>0.75</v>
      </c>
      <c r="M9" s="44">
        <f>H9*250</f>
        <v>5.75</v>
      </c>
      <c r="N9" s="44">
        <f>I9*250</f>
        <v>0.5</v>
      </c>
      <c r="O9" s="153">
        <f>J9*250</f>
        <v>0.375</v>
      </c>
      <c r="P9" s="152">
        <f aca="true" t="shared" si="0" ref="P9:S14">K9*($C9/100)*$D9</f>
        <v>15.75</v>
      </c>
      <c r="Q9" s="44">
        <f t="shared" si="0"/>
        <v>5.249999999999999</v>
      </c>
      <c r="R9" s="44">
        <f t="shared" si="0"/>
        <v>40.24999999999999</v>
      </c>
      <c r="S9" s="44">
        <f>N9*($C9/100)*$D9</f>
        <v>3.5</v>
      </c>
      <c r="T9" s="153">
        <f aca="true" t="shared" si="1" ref="T9:T14">O9*($C9/100)*$D9</f>
        <v>2.6249999999999996</v>
      </c>
      <c r="U9" s="29"/>
      <c r="V9" s="154"/>
      <c r="W9" s="155"/>
      <c r="X9" s="155"/>
      <c r="Y9" s="155"/>
      <c r="Z9" s="156"/>
      <c r="AA9" s="151">
        <v>56</v>
      </c>
    </row>
    <row r="10" spans="1:27" s="149" customFormat="1" ht="9.75">
      <c r="A10" s="157" t="s">
        <v>243</v>
      </c>
      <c r="B10" s="158" t="s">
        <v>241</v>
      </c>
      <c r="C10" s="159">
        <v>70</v>
      </c>
      <c r="D10" s="160">
        <v>10</v>
      </c>
      <c r="E10" s="161" t="s">
        <v>244</v>
      </c>
      <c r="F10" s="160" t="s">
        <v>245</v>
      </c>
      <c r="G10" s="29" t="s">
        <v>245</v>
      </c>
      <c r="H10" s="160" t="s">
        <v>245</v>
      </c>
      <c r="I10" s="29" t="s">
        <v>245</v>
      </c>
      <c r="J10" s="160" t="s">
        <v>245</v>
      </c>
      <c r="K10" s="162">
        <v>0.18</v>
      </c>
      <c r="L10" s="29">
        <v>0.053</v>
      </c>
      <c r="M10" s="29">
        <v>0.441</v>
      </c>
      <c r="N10" s="163" t="s">
        <v>215</v>
      </c>
      <c r="O10" s="164">
        <v>0.031</v>
      </c>
      <c r="P10" s="162">
        <f t="shared" si="0"/>
        <v>1.26</v>
      </c>
      <c r="Q10" s="51">
        <f t="shared" si="0"/>
        <v>0.37099999999999994</v>
      </c>
      <c r="R10" s="51">
        <f t="shared" si="0"/>
        <v>3.0869999999999997</v>
      </c>
      <c r="S10" s="163" t="s">
        <v>215</v>
      </c>
      <c r="T10" s="165">
        <f t="shared" si="1"/>
        <v>0.21699999999999997</v>
      </c>
      <c r="U10" s="166"/>
      <c r="V10" s="167"/>
      <c r="W10" s="92"/>
      <c r="X10" s="92"/>
      <c r="Y10" s="168"/>
      <c r="Z10" s="169"/>
      <c r="AA10" s="160">
        <v>112</v>
      </c>
    </row>
    <row r="11" spans="1:27" s="149" customFormat="1" ht="9.75">
      <c r="A11" s="170" t="s">
        <v>246</v>
      </c>
      <c r="B11" s="171" t="s">
        <v>241</v>
      </c>
      <c r="C11" s="171">
        <v>50</v>
      </c>
      <c r="D11" s="171">
        <v>10</v>
      </c>
      <c r="E11" s="172" t="s">
        <v>247</v>
      </c>
      <c r="F11" s="173">
        <v>0.015</v>
      </c>
      <c r="G11" s="173">
        <v>0.003</v>
      </c>
      <c r="H11" s="173">
        <v>0.022</v>
      </c>
      <c r="I11" s="173">
        <v>0.002</v>
      </c>
      <c r="J11" s="173">
        <v>0.001</v>
      </c>
      <c r="K11" s="173">
        <f>F11*150</f>
        <v>2.25</v>
      </c>
      <c r="L11" s="61">
        <f aca="true" t="shared" si="2" ref="L11:O12">G11*150</f>
        <v>0.45</v>
      </c>
      <c r="M11" s="61">
        <f t="shared" si="2"/>
        <v>3.3</v>
      </c>
      <c r="N11" s="61">
        <f t="shared" si="2"/>
        <v>0.3</v>
      </c>
      <c r="O11" s="174">
        <f t="shared" si="2"/>
        <v>0.15</v>
      </c>
      <c r="P11" s="173">
        <f t="shared" si="0"/>
        <v>11.25</v>
      </c>
      <c r="Q11" s="61">
        <f t="shared" si="0"/>
        <v>2.25</v>
      </c>
      <c r="R11" s="61">
        <f t="shared" si="0"/>
        <v>16.5</v>
      </c>
      <c r="S11" s="61">
        <f t="shared" si="0"/>
        <v>1.5</v>
      </c>
      <c r="T11" s="174">
        <f t="shared" si="1"/>
        <v>0.75</v>
      </c>
      <c r="U11" s="51"/>
      <c r="V11" s="175"/>
      <c r="W11" s="176"/>
      <c r="X11" s="176"/>
      <c r="Y11" s="176"/>
      <c r="Z11" s="177"/>
      <c r="AA11" s="171">
        <f>14</f>
        <v>14</v>
      </c>
    </row>
    <row r="12" spans="1:27" s="149" customFormat="1" ht="9.75">
      <c r="A12" s="178" t="s">
        <v>217</v>
      </c>
      <c r="B12" s="160" t="s">
        <v>241</v>
      </c>
      <c r="C12" s="160">
        <v>20</v>
      </c>
      <c r="D12" s="160">
        <v>2</v>
      </c>
      <c r="E12" s="179" t="s">
        <v>247</v>
      </c>
      <c r="F12" s="162">
        <v>0.015</v>
      </c>
      <c r="G12" s="162">
        <v>0.003</v>
      </c>
      <c r="H12" s="162">
        <v>0.022</v>
      </c>
      <c r="I12" s="162">
        <v>0.002</v>
      </c>
      <c r="J12" s="162">
        <v>0.001</v>
      </c>
      <c r="K12" s="162">
        <f>F12*150</f>
        <v>2.25</v>
      </c>
      <c r="L12" s="162">
        <f t="shared" si="2"/>
        <v>0.45</v>
      </c>
      <c r="M12" s="162">
        <f t="shared" si="2"/>
        <v>3.3</v>
      </c>
      <c r="N12" s="162">
        <f t="shared" si="2"/>
        <v>0.3</v>
      </c>
      <c r="O12" s="162">
        <f t="shared" si="2"/>
        <v>0.15</v>
      </c>
      <c r="P12" s="162">
        <f t="shared" si="0"/>
        <v>0.9</v>
      </c>
      <c r="Q12" s="29">
        <f t="shared" si="0"/>
        <v>0.18000000000000002</v>
      </c>
      <c r="R12" s="29">
        <f t="shared" si="0"/>
        <v>1.32</v>
      </c>
      <c r="S12" s="163" t="s">
        <v>215</v>
      </c>
      <c r="T12" s="164">
        <f t="shared" si="1"/>
        <v>0.06</v>
      </c>
      <c r="U12" s="166"/>
      <c r="V12" s="167"/>
      <c r="W12" s="92"/>
      <c r="X12" s="92"/>
      <c r="Y12" s="92"/>
      <c r="Z12" s="169"/>
      <c r="AA12" s="160">
        <v>80</v>
      </c>
    </row>
    <row r="13" spans="1:27" s="46" customFormat="1" ht="12.75">
      <c r="A13" s="180" t="s">
        <v>219</v>
      </c>
      <c r="B13" s="181" t="s">
        <v>241</v>
      </c>
      <c r="C13" s="181">
        <v>70</v>
      </c>
      <c r="D13" s="181">
        <v>10</v>
      </c>
      <c r="E13" s="182" t="s">
        <v>248</v>
      </c>
      <c r="F13" s="182">
        <v>0.011</v>
      </c>
      <c r="G13" s="182">
        <v>0.002</v>
      </c>
      <c r="H13" s="182">
        <v>0.018</v>
      </c>
      <c r="I13" s="182">
        <v>0.002</v>
      </c>
      <c r="J13" s="182">
        <v>0.001</v>
      </c>
      <c r="K13" s="182">
        <f>F13*35</f>
        <v>0.38499999999999995</v>
      </c>
      <c r="L13" s="182">
        <f>G13*35</f>
        <v>0.07</v>
      </c>
      <c r="M13" s="182">
        <f>H13*35</f>
        <v>0.63</v>
      </c>
      <c r="N13" s="182">
        <f>I13*35</f>
        <v>0.07</v>
      </c>
      <c r="O13" s="182">
        <f>J13*35</f>
        <v>0.035</v>
      </c>
      <c r="P13" s="182">
        <f t="shared" si="0"/>
        <v>2.6949999999999994</v>
      </c>
      <c r="Q13" s="77">
        <f t="shared" si="0"/>
        <v>0.49</v>
      </c>
      <c r="R13" s="77">
        <f t="shared" si="0"/>
        <v>4.409999999999999</v>
      </c>
      <c r="S13" s="77">
        <f t="shared" si="0"/>
        <v>0.49</v>
      </c>
      <c r="T13" s="183">
        <f t="shared" si="1"/>
        <v>0.245</v>
      </c>
      <c r="U13" s="29"/>
      <c r="V13" s="184"/>
      <c r="W13" s="185"/>
      <c r="X13" s="185"/>
      <c r="Y13" s="185"/>
      <c r="Z13" s="186"/>
      <c r="AA13" s="181">
        <v>56</v>
      </c>
    </row>
    <row r="14" spans="1:27" ht="12.75">
      <c r="A14" s="187" t="s">
        <v>218</v>
      </c>
      <c r="B14" s="188" t="s">
        <v>241</v>
      </c>
      <c r="C14" s="189">
        <v>30</v>
      </c>
      <c r="D14" s="188">
        <v>10</v>
      </c>
      <c r="E14" s="190" t="s">
        <v>249</v>
      </c>
      <c r="F14" s="188">
        <v>0.01</v>
      </c>
      <c r="G14" s="191">
        <v>0.002</v>
      </c>
      <c r="H14" s="188">
        <v>0.024</v>
      </c>
      <c r="I14" s="191">
        <v>0.002</v>
      </c>
      <c r="J14" s="192">
        <v>0.001</v>
      </c>
      <c r="K14" s="193">
        <f>F14*15</f>
        <v>0.15</v>
      </c>
      <c r="L14" s="193">
        <f>G14*15</f>
        <v>0.03</v>
      </c>
      <c r="M14" s="193">
        <f>H14*15</f>
        <v>0.36</v>
      </c>
      <c r="N14" s="193">
        <f>I14*15</f>
        <v>0.03</v>
      </c>
      <c r="O14" s="193">
        <f>J14*15</f>
        <v>0.015</v>
      </c>
      <c r="P14" s="194">
        <f t="shared" si="0"/>
        <v>0.44999999999999996</v>
      </c>
      <c r="Q14" s="195">
        <f t="shared" si="0"/>
        <v>0.09</v>
      </c>
      <c r="R14" s="191">
        <f t="shared" si="0"/>
        <v>1.08</v>
      </c>
      <c r="S14" s="196">
        <f t="shared" si="0"/>
        <v>0.09</v>
      </c>
      <c r="T14" s="197">
        <f t="shared" si="1"/>
        <v>0.045</v>
      </c>
      <c r="U14" s="166"/>
      <c r="V14" s="229">
        <f>K14*$AA$14</f>
        <v>1.05</v>
      </c>
      <c r="W14" s="230">
        <f>L14*$AA$14</f>
        <v>0.21</v>
      </c>
      <c r="X14" s="231"/>
      <c r="Y14" s="232"/>
      <c r="Z14" s="233"/>
      <c r="AA14" s="189">
        <v>7</v>
      </c>
    </row>
    <row r="15" spans="1:26" s="200" customFormat="1" ht="9.75">
      <c r="A15" s="198"/>
      <c r="B15" s="199"/>
      <c r="C15" s="199"/>
      <c r="E15" s="201"/>
      <c r="Q15" s="27"/>
      <c r="R15" s="27"/>
      <c r="S15" s="27"/>
      <c r="T15" s="27"/>
      <c r="U15" s="27"/>
      <c r="V15" s="202" t="s">
        <v>210</v>
      </c>
      <c r="W15" s="203" t="s">
        <v>212</v>
      </c>
      <c r="X15" s="27" t="s">
        <v>203</v>
      </c>
      <c r="Y15" s="203" t="s">
        <v>211</v>
      </c>
      <c r="Z15" s="203" t="s">
        <v>1</v>
      </c>
    </row>
    <row r="16" spans="1:26" s="200" customFormat="1" ht="15">
      <c r="A16" s="204" t="s">
        <v>264</v>
      </c>
      <c r="B16" s="201"/>
      <c r="C16" s="201"/>
      <c r="E16" s="201"/>
      <c r="F16" s="205"/>
      <c r="G16" s="205"/>
      <c r="H16" s="205"/>
      <c r="I16" s="205"/>
      <c r="J16" s="205"/>
      <c r="K16" s="205"/>
      <c r="P16" s="123"/>
      <c r="Q16" s="206"/>
      <c r="R16" s="206"/>
      <c r="S16" s="206"/>
      <c r="T16" s="206"/>
      <c r="U16" s="206"/>
      <c r="V16" s="226">
        <f>SUM(V8:V14)</f>
        <v>1.05</v>
      </c>
      <c r="W16" s="227">
        <f>SUM(W8:W14)</f>
        <v>0.21</v>
      </c>
      <c r="X16" s="227">
        <f>SUM(X8:X14)</f>
        <v>0</v>
      </c>
      <c r="Y16" s="227">
        <f>SUM(Y8:Y14)</f>
        <v>0</v>
      </c>
      <c r="Z16" s="228">
        <f>SUM(Z8:Z14)</f>
        <v>0</v>
      </c>
    </row>
    <row r="17" spans="1:27" s="200" customFormat="1" ht="15">
      <c r="A17" s="208" t="s">
        <v>250</v>
      </c>
      <c r="B17" s="201"/>
      <c r="C17" s="201"/>
      <c r="E17" s="201"/>
      <c r="F17" s="205"/>
      <c r="G17" s="205"/>
      <c r="H17" s="205"/>
      <c r="I17" s="205"/>
      <c r="J17" s="205"/>
      <c r="K17" s="205"/>
      <c r="P17" s="123"/>
      <c r="Q17" s="205"/>
      <c r="R17" s="207"/>
      <c r="S17" s="207"/>
      <c r="T17" s="207"/>
      <c r="U17" s="207"/>
      <c r="V17" s="207"/>
      <c r="W17" s="255"/>
      <c r="X17" s="255"/>
      <c r="Y17" s="255"/>
      <c r="Z17" s="255"/>
      <c r="AA17" s="255"/>
    </row>
    <row r="18" spans="1:22" s="149" customFormat="1" ht="13.5" customHeight="1">
      <c r="A18" s="209" t="s">
        <v>251</v>
      </c>
      <c r="B18" s="210"/>
      <c r="C18" s="210"/>
      <c r="D18" s="29"/>
      <c r="E18" s="29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2"/>
      <c r="R18" s="92"/>
      <c r="S18" s="92"/>
      <c r="T18" s="93"/>
      <c r="U18" s="68"/>
      <c r="V18" s="68"/>
    </row>
    <row r="19" spans="2:29" s="200" customFormat="1" ht="12.75" customHeight="1">
      <c r="B19" s="211"/>
      <c r="C19" s="211"/>
      <c r="D19" s="212"/>
      <c r="E19" s="211"/>
      <c r="Q19" s="205"/>
      <c r="R19" s="207"/>
      <c r="S19" s="207"/>
      <c r="T19" s="207"/>
      <c r="U19" s="207"/>
      <c r="V19" s="207"/>
      <c r="W19" s="256"/>
      <c r="X19" s="256"/>
      <c r="Y19" s="256"/>
      <c r="Z19" s="256"/>
      <c r="AA19" s="256"/>
      <c r="AB19" s="205"/>
      <c r="AC19" s="119"/>
    </row>
    <row r="20" spans="1:29" s="123" customFormat="1" ht="9.75">
      <c r="A20" s="123" t="s">
        <v>252</v>
      </c>
      <c r="C20" s="201"/>
      <c r="E20" s="122"/>
      <c r="Q20" s="213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13"/>
      <c r="AC20" s="119"/>
    </row>
    <row r="21" spans="1:22" s="123" customFormat="1" ht="9.75">
      <c r="A21" s="149"/>
      <c r="B21" s="123" t="s">
        <v>253</v>
      </c>
      <c r="C21" s="214"/>
      <c r="E21" s="215" t="s">
        <v>254</v>
      </c>
      <c r="Q21" s="119"/>
      <c r="R21" s="119"/>
      <c r="S21" s="119"/>
      <c r="T21" s="119"/>
      <c r="U21" s="119"/>
      <c r="V21" s="119"/>
    </row>
    <row r="22" spans="1:22" s="123" customFormat="1" ht="9.75">
      <c r="A22" s="149"/>
      <c r="B22" s="123" t="s">
        <v>255</v>
      </c>
      <c r="C22" s="214"/>
      <c r="E22" s="215" t="s">
        <v>256</v>
      </c>
      <c r="Q22" s="119"/>
      <c r="R22" s="119"/>
      <c r="S22" s="119"/>
      <c r="T22" s="119"/>
      <c r="U22" s="119"/>
      <c r="V22" s="119"/>
    </row>
    <row r="23" spans="2:22" s="123" customFormat="1" ht="15">
      <c r="B23" s="123" t="s">
        <v>257</v>
      </c>
      <c r="C23" s="216"/>
      <c r="D23" s="217"/>
      <c r="E23" s="218" t="s">
        <v>258</v>
      </c>
      <c r="F23" s="219"/>
      <c r="G23" s="219"/>
      <c r="H23" s="219"/>
      <c r="I23" s="219"/>
      <c r="J23" s="219"/>
      <c r="K23" s="219"/>
      <c r="L23" s="219"/>
      <c r="M23" s="220"/>
      <c r="N23" s="220"/>
      <c r="O23" s="220"/>
      <c r="P23" s="220"/>
      <c r="Q23" s="212"/>
      <c r="R23" s="221"/>
      <c r="S23" s="119"/>
      <c r="T23" s="119"/>
      <c r="U23" s="119"/>
      <c r="V23" s="119"/>
    </row>
    <row r="24" spans="2:22" s="123" customFormat="1" ht="15">
      <c r="B24" s="216"/>
      <c r="C24" s="216"/>
      <c r="E24" s="218" t="s">
        <v>259</v>
      </c>
      <c r="F24" s="219"/>
      <c r="G24" s="219"/>
      <c r="H24" s="219"/>
      <c r="I24" s="219"/>
      <c r="J24" s="219"/>
      <c r="K24" s="219"/>
      <c r="L24" s="219"/>
      <c r="M24" s="220"/>
      <c r="N24" s="220"/>
      <c r="O24" s="220"/>
      <c r="P24" s="220"/>
      <c r="Q24" s="222"/>
      <c r="R24" s="221"/>
      <c r="S24" s="119"/>
      <c r="T24" s="119"/>
      <c r="U24" s="119"/>
      <c r="V24" s="119"/>
    </row>
    <row r="25" spans="2:5" ht="15">
      <c r="B25" s="223"/>
      <c r="C25" s="223"/>
      <c r="E25" s="218" t="s">
        <v>260</v>
      </c>
    </row>
    <row r="26" spans="2:3" ht="15">
      <c r="B26" s="223"/>
      <c r="C26" s="223"/>
    </row>
  </sheetData>
  <sheetProtection/>
  <mergeCells count="14">
    <mergeCell ref="AA5:AA6"/>
    <mergeCell ref="W17:AA17"/>
    <mergeCell ref="W19:AA19"/>
    <mergeCell ref="A1:U1"/>
    <mergeCell ref="A3:U3"/>
    <mergeCell ref="A5:A6"/>
    <mergeCell ref="B5:B6"/>
    <mergeCell ref="C5:C6"/>
    <mergeCell ref="D5:D6"/>
    <mergeCell ref="E5:E6"/>
    <mergeCell ref="F5:J5"/>
    <mergeCell ref="K5:O5"/>
    <mergeCell ref="P5:T5"/>
    <mergeCell ref="V5:Z5"/>
  </mergeCells>
  <printOptions/>
  <pageMargins left="0.27" right="0.23" top="1" bottom="1" header="0.5" footer="0.5"/>
  <pageSetup horizontalDpi="600" verticalDpi="600" orientation="landscape" r:id="rId1"/>
  <headerFooter alignWithMargins="0">
    <oddHeader>&amp;R&amp;"Times New Roman,Bold Italic"Final EA - Appendix D</oddHeader>
    <oddFooter>&amp;L&amp;"Times New Roman,Bold Italic"PAReg XX / PRs 1631, 1632, 1633, 2507&amp;R&amp;"Times New Roman,Bold Italic"May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W. Stroud</dc:creator>
  <cp:keywords/>
  <dc:description/>
  <cp:lastModifiedBy>dsasaki</cp:lastModifiedBy>
  <cp:lastPrinted>2001-03-24T23:27:16Z</cp:lastPrinted>
  <dcterms:created xsi:type="dcterms:W3CDTF">1998-09-22T22:20:55Z</dcterms:created>
  <dcterms:modified xsi:type="dcterms:W3CDTF">2014-08-06T15:37:15Z</dcterms:modified>
  <cp:category/>
  <cp:version/>
  <cp:contentType/>
  <cp:contentStatus/>
</cp:coreProperties>
</file>