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ummary" sheetId="1" r:id="rId1"/>
    <sheet name="On-Site" sheetId="2" r:id="rId2"/>
    <sheet name="Off-Site" sheetId="3" r:id="rId3"/>
    <sheet name="OP_Proj." sheetId="4" r:id="rId4"/>
    <sheet name="Op_Alts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<sst xmlns="http://schemas.openxmlformats.org/spreadsheetml/2006/main" count="970" uniqueCount="251">
  <si>
    <t>Construction Activity</t>
  </si>
  <si>
    <t xml:space="preserve">Equipment </t>
  </si>
  <si>
    <t>Pieces of</t>
  </si>
  <si>
    <t>Total</t>
  </si>
  <si>
    <t>Type</t>
  </si>
  <si>
    <t>Equpment</t>
  </si>
  <si>
    <t>Hours</t>
  </si>
  <si>
    <t>Tank Excavation</t>
  </si>
  <si>
    <t>Backhoe</t>
  </si>
  <si>
    <t>Tank Degassing</t>
  </si>
  <si>
    <t>IC Engine</t>
  </si>
  <si>
    <t>Tank Removal</t>
  </si>
  <si>
    <t>Tank and Dispenser Installation</t>
  </si>
  <si>
    <t>Generator Set &lt; 50 HP</t>
  </si>
  <si>
    <t>Backfill and Grading</t>
  </si>
  <si>
    <t>Paving</t>
  </si>
  <si>
    <t>Cement Truck</t>
  </si>
  <si>
    <t>CNG System Installation</t>
  </si>
  <si>
    <t>Welder</t>
  </si>
  <si>
    <t>LPG System Installation</t>
  </si>
  <si>
    <t>Charger Installation</t>
  </si>
  <si>
    <t>Methanol</t>
  </si>
  <si>
    <t>CNG</t>
  </si>
  <si>
    <t>LNG</t>
  </si>
  <si>
    <t>LNG System Installation</t>
  </si>
  <si>
    <t>LPG</t>
  </si>
  <si>
    <t>EV</t>
  </si>
  <si>
    <t>On-site Construction Equipment Fuel Usage</t>
  </si>
  <si>
    <t>Number of One-Way</t>
  </si>
  <si>
    <t>Trip Length</t>
  </si>
  <si>
    <t>Total Miles</t>
  </si>
  <si>
    <t>Employee (Light-Duty Trucks - Cat)</t>
  </si>
  <si>
    <t>Haul Truck (Heavy-Heavy Duty Diesel)</t>
  </si>
  <si>
    <t>Cement Truck (Medium-Heavy Duty Diesel)</t>
  </si>
  <si>
    <t>Crew Size</t>
  </si>
  <si>
    <t>Diesel</t>
  </si>
  <si>
    <t>Usage</t>
  </si>
  <si>
    <t>gal/project</t>
  </si>
  <si>
    <t>Equipment</t>
  </si>
  <si>
    <t>HP</t>
  </si>
  <si>
    <t>Usage*</t>
  </si>
  <si>
    <t>Usage**</t>
  </si>
  <si>
    <t>*Used conversion factors of 0.066 gal/BHP-hr for diesel equipment.  SCAQMD 1993 CEQA Air Quality Handbook.</t>
  </si>
  <si>
    <t>**Used conversion factors of 0.16 gal/BHP-hr for gasoline equipment.  SCAQMD 1993 CEQA Air Quality Handbook.</t>
  </si>
  <si>
    <t>On-Site Construction Equipment Fuel Usage</t>
  </si>
  <si>
    <t>gal/yr</t>
  </si>
  <si>
    <t>Gasoline</t>
  </si>
  <si>
    <t>Electricity</t>
  </si>
  <si>
    <t>Off-Site Mobile Source Construction-Related Fuel Usage</t>
  </si>
  <si>
    <t>per Day</t>
  </si>
  <si>
    <t>Fuel Efficiency</t>
  </si>
  <si>
    <t>Diesel Usage</t>
  </si>
  <si>
    <t>Gasoline Usage</t>
  </si>
  <si>
    <t>miles</t>
  </si>
  <si>
    <t xml:space="preserve"> trips/day</t>
  </si>
  <si>
    <t>Vehicle Type</t>
  </si>
  <si>
    <t>gal/day</t>
  </si>
  <si>
    <t>miles/gal*</t>
  </si>
  <si>
    <t xml:space="preserve">*Assumed that gasoline-fueled vehicles get 20 miles to the gallon.  Assumed that diesel-fueled vehicles get 10 miles to the gallon. </t>
  </si>
  <si>
    <t>Year</t>
  </si>
  <si>
    <t>Light Duty Automobiles</t>
  </si>
  <si>
    <t>Non-Cat*</t>
  </si>
  <si>
    <t>Cat</t>
  </si>
  <si>
    <t>Light Duty Trucks &lt; 6,000 lbs</t>
  </si>
  <si>
    <t>Non-Cat</t>
  </si>
  <si>
    <t>Medium Duty Trucks &gt; 6,001 &lt; 14,000 lbs**</t>
  </si>
  <si>
    <t>Heavy Duty Trucks</t>
  </si>
  <si>
    <t>Urban Diesel Buses</t>
  </si>
  <si>
    <t>Motorcycles</t>
  </si>
  <si>
    <t>All Vehicles</t>
  </si>
  <si>
    <t>*Cat = Catalytic Converter</t>
  </si>
  <si>
    <t>**Medium duty trucks includes light heavy duty trucks.</t>
  </si>
  <si>
    <t>-</t>
  </si>
  <si>
    <t>No. of Veh.</t>
  </si>
  <si>
    <t>VMTx1000</t>
  </si>
  <si>
    <t>VMT per Veh.</t>
  </si>
  <si>
    <t xml:space="preserve">Fuel Efficiency (miles/gallon) </t>
  </si>
  <si>
    <t>Estimated Fuel Efficiencies for Altenative Fueled Vehicles</t>
  </si>
  <si>
    <t>Alternative Fuel</t>
  </si>
  <si>
    <t>HDV***</t>
  </si>
  <si>
    <t>***Assumes that all HDV acquisitions will be vehicles that use alternative clean fuels.</t>
  </si>
  <si>
    <t xml:space="preserve">Fuel Efficiency Based on Gasoline (miles/gallon) </t>
  </si>
  <si>
    <t xml:space="preserve">Fuel Efficiency Based on Diesel (miles/gallon) </t>
  </si>
  <si>
    <t>MDV**</t>
  </si>
  <si>
    <t>CNG (gallons/yr)</t>
  </si>
  <si>
    <t>LNG (gallons/yr)</t>
  </si>
  <si>
    <t>LPG (gallons/yr)</t>
  </si>
  <si>
    <t>Electricity (kWh/yr)</t>
  </si>
  <si>
    <t>Methanol (gallons/yr)</t>
  </si>
  <si>
    <t>Electricitiy Total (kWh/yr)</t>
  </si>
  <si>
    <t>Methanol (M85)</t>
  </si>
  <si>
    <t>Methanol Total (gallons/yr)</t>
  </si>
  <si>
    <t>CNG Total (gallons/yr)</t>
  </si>
  <si>
    <t>LNG Total (gallons/yr)</t>
  </si>
  <si>
    <t>LPG Total (gallons/yr)</t>
  </si>
  <si>
    <t>Fuel Type</t>
  </si>
  <si>
    <t>CNG/LNG Total (TCF/yr)*</t>
  </si>
  <si>
    <t>Electricitiy Total (MW)**</t>
  </si>
  <si>
    <t>*Assumed that CNG and LNG have Net/Lower Heating Values of 92,800 BTU/gal and 72,900 BTU/gal, respectively.</t>
  </si>
  <si>
    <t>**Converted kWh to MW by dividing value by 1e6 to get gWh then dividing by factor of 13.</t>
  </si>
  <si>
    <t xml:space="preserve">Fuel Efficiency (miles/gallon)* </t>
  </si>
  <si>
    <t>Gasoline Equivalency Conversion Factor**</t>
  </si>
  <si>
    <t>Fuel Efficiency (miles/kWh)*</t>
  </si>
  <si>
    <t>**Conversion factors taken from CEC's 1999 Fuels Report (July 1999), Table 4-1.</t>
  </si>
  <si>
    <t>*Fuel Efficiencies taken from CEC's On-Road &amp; Rail Transportation Energy Demand Forecasts for California (April 1999), Table A-7.</t>
  </si>
  <si>
    <t>LDV</t>
  </si>
  <si>
    <t>MDV</t>
  </si>
  <si>
    <t>HDV</t>
  </si>
  <si>
    <t>Rounded Up Total</t>
  </si>
  <si>
    <t xml:space="preserve">**Assumes that 99% of LDV and MDV acquisitions will be vehicles that use gasoline and comply with CARB's LEV, ULEV, or cleaner standards.  </t>
  </si>
  <si>
    <t>*Does not account for AFVs already used by affected agencies/entities.</t>
  </si>
  <si>
    <t>CARB's Projected Number and VMT of Vehicles Operated In The SCAQMD’s Jurisdiction</t>
  </si>
  <si>
    <t>Growth Rate of MDTs, %</t>
  </si>
  <si>
    <t>Growth Rate of LDAs &amp; LDTs, %</t>
  </si>
  <si>
    <t>Growth Rate of HDTs &amp; Buses, %</t>
  </si>
  <si>
    <t>LDV*</t>
  </si>
  <si>
    <t>Methanol Fueling Station</t>
  </si>
  <si>
    <t>CNG Fueling Station</t>
  </si>
  <si>
    <t>LNG Fueling Station</t>
  </si>
  <si>
    <t>LPG Fueling Station</t>
  </si>
  <si>
    <t>EV Charging Station</t>
  </si>
  <si>
    <t>Alt. B</t>
  </si>
  <si>
    <t>Alt. D</t>
  </si>
  <si>
    <t>Alt. F</t>
  </si>
  <si>
    <t>Vehicle Population Growth Rate from CARB's Projected Number and VMT of Vehicles Operated In The SCAQMD’s Jurisdiction</t>
  </si>
  <si>
    <t>LDAs &amp; LDTs*, %</t>
  </si>
  <si>
    <t>MDTs**, %</t>
  </si>
  <si>
    <t>HDTs &amp; Buses***, %</t>
  </si>
  <si>
    <t>*LDAs = Light-duty automobiles, LDTs = Light-duty trucks</t>
  </si>
  <si>
    <t>**MDTs = Medium duty trucks, which includes light heavy duty trucks.</t>
  </si>
  <si>
    <t>***HDTs = Heavy-duty trucks</t>
  </si>
  <si>
    <t>LDV**</t>
  </si>
  <si>
    <t>Estimated Number of Fleet Vehicles Per Year That Would Switch To Alternative Clean Fuels Due Implementation of Alternatives*</t>
  </si>
  <si>
    <t>Incremental Increase in Fuel Demand Associated with Project Alternatives</t>
  </si>
  <si>
    <t xml:space="preserve">  Driveway Demolition</t>
  </si>
  <si>
    <t xml:space="preserve">  Excavation</t>
  </si>
  <si>
    <t xml:space="preserve">  Concrete Removal</t>
  </si>
  <si>
    <t xml:space="preserve">  All</t>
  </si>
  <si>
    <t xml:space="preserve">  Excavation for Gas Delivery Line</t>
  </si>
  <si>
    <t xml:space="preserve">  Backfill Delivery Line</t>
  </si>
  <si>
    <t xml:space="preserve">  Repave Delivery Line Run</t>
  </si>
  <si>
    <t xml:space="preserve">  Pour Pad for CNG System</t>
  </si>
  <si>
    <t xml:space="preserve">  Pour Pad for LPG System</t>
  </si>
  <si>
    <t xml:space="preserve">    Driveway Demolition</t>
  </si>
  <si>
    <t xml:space="preserve">    Excavation</t>
  </si>
  <si>
    <t xml:space="preserve">    Concrete Removal</t>
  </si>
  <si>
    <t xml:space="preserve">  Excavation for Electrical Lines</t>
  </si>
  <si>
    <t xml:space="preserve">  Pour Islands and Mount Chargers</t>
  </si>
  <si>
    <t>Methanol Refueling Station</t>
  </si>
  <si>
    <t>CNG Refueling Station</t>
  </si>
  <si>
    <t>LNG Refueling Station</t>
  </si>
  <si>
    <t>LPG Refueling Station</t>
  </si>
  <si>
    <r>
      <t xml:space="preserve">Source: </t>
    </r>
    <r>
      <rPr>
        <sz val="10"/>
        <rFont val="Times New Roman"/>
        <family val="1"/>
      </rPr>
      <t>MVEI7G Run for the South Coast Air Basin and Statewide (CARB, June 1998).  See Emission Tonnages South Coast Sir Basin and Statewide at http://www.arb.ca.gov/msei/msei.htm.</t>
    </r>
  </si>
  <si>
    <t>Alt B.</t>
  </si>
  <si>
    <t>Direct Operational Impacts</t>
  </si>
  <si>
    <t>Indirect Operational Impacts</t>
  </si>
  <si>
    <t>Gasoline Total (gallons /yr)</t>
  </si>
  <si>
    <t xml:space="preserve">  Assumed that natural gas has a Heating Value of 1,050 BTU/scf.</t>
  </si>
  <si>
    <t xml:space="preserve">     See CEC's 1998 Baseline Energy Outlook Tables A-7 and B-7</t>
  </si>
  <si>
    <t>Gasoline Total (gallons/yr)</t>
  </si>
  <si>
    <t>Significant (Yes/No)</t>
  </si>
  <si>
    <t>Private Sector Vehicle VMT per day</t>
  </si>
  <si>
    <t>Operating Days per year</t>
  </si>
  <si>
    <t>Fuel Efficiency, miles/gallon</t>
  </si>
  <si>
    <t xml:space="preserve">*Based on VMT 10,000 miles/yr for all Proposed Project LDVs. </t>
  </si>
  <si>
    <t xml:space="preserve">**Based on VMT 10,000 miles/yr for all Proposed Project MDVs. </t>
  </si>
  <si>
    <t xml:space="preserve">***Based on average VMT of 13,000 miles/yr and for all Proposed Project HDVs. </t>
  </si>
  <si>
    <t xml:space="preserve">*Based on additional VMT of 250 miles/yr [(10,000 miles/yr / 200 miles/refuel )* 5 miles/refuel] for all Proposed Project LDVs. </t>
  </si>
  <si>
    <t xml:space="preserve">**Based on additional VMT of 250 miles/yr [(10,000 miles/yr / 200 miles/refuel )* 5 miles/refuel] for all Proposed Project MDVs. </t>
  </si>
  <si>
    <t xml:space="preserve">***Based on additional VMT of 325 miles/yr [(13,000 miles/yr / 200 miles/refuel )* 5 miles/refuel] for all Proposed Project HDVs. </t>
  </si>
  <si>
    <t>Prop. Project</t>
  </si>
  <si>
    <t>Estimated Number of Fleet Vehicles Per Year That Would Switch To Alternative Clean Fuels Due To Proposed Project*</t>
  </si>
  <si>
    <t>Incremental Increase in Fuel Demand Associated with Proposed Project</t>
  </si>
  <si>
    <t>Threshold (Fuel Supply - MW)</t>
  </si>
  <si>
    <t>Threshold (Fuel Supply – gallons/yr)</t>
  </si>
  <si>
    <t>Threshold (Fuel Supply – gallons/yr)*</t>
  </si>
  <si>
    <t>*Assumed that 60% of state total consumed in the SCAQMD's Jurisdiction</t>
  </si>
  <si>
    <t>CNG/LNG Total (TCF/yr)**</t>
  </si>
  <si>
    <t>Threshold (Fuel Supply – TCF/yr)</t>
  </si>
  <si>
    <t>**Assumed that CNG and LNG have Net/Lower Heating Values of 92,800 BTU/gal and 72,900 BTU/gal, respectively.</t>
  </si>
  <si>
    <t>***Converted kWh to MW by dividing value by 1e6 to get gWh then dividing by factor of 13.</t>
  </si>
  <si>
    <t xml:space="preserve">    Assumed that natural gas has a Heating Value of 1,050 BTU/scf.</t>
  </si>
  <si>
    <t xml:space="preserve">       See CEC's 1998 Baseline Energy Outlook Tables A-7 and B-7</t>
  </si>
  <si>
    <t>Electricitiy Total (MW)***</t>
  </si>
  <si>
    <t>% Of Fuel Supply</t>
  </si>
  <si>
    <t>Refueling Stations</t>
  </si>
  <si>
    <t>Refinery Modifications</t>
  </si>
  <si>
    <t>General</t>
  </si>
  <si>
    <t>Crane -150 ton</t>
  </si>
  <si>
    <t>Crane -40 ton</t>
  </si>
  <si>
    <t>Crane -15 ton</t>
  </si>
  <si>
    <t>Front End Loader</t>
  </si>
  <si>
    <t>Manlift</t>
  </si>
  <si>
    <t>Concrete Saw</t>
  </si>
  <si>
    <t>Grader</t>
  </si>
  <si>
    <t>Bobcat</t>
  </si>
  <si>
    <t>Compactor</t>
  </si>
  <si>
    <t>Compactor-walk</t>
  </si>
  <si>
    <t>Paver</t>
  </si>
  <si>
    <t>Air Compressor</t>
  </si>
  <si>
    <t>Welding Machine</t>
  </si>
  <si>
    <t>Mobil RFG</t>
  </si>
  <si>
    <t>Prop. Proj.**</t>
  </si>
  <si>
    <t>Hours/Day</t>
  </si>
  <si>
    <t>**Assumed that each refinery affected by the proposed project would use 25% of the fuel on a peak daily basis as the Mobil RFG Project.  Assumed 6 refineries affected by the proposed project.</t>
  </si>
  <si>
    <t>Source:  Mobil Torrance Refinery Reformulated Fuels Project, Draft EIR, Volume IV.</t>
  </si>
  <si>
    <t xml:space="preserve">  Methanol</t>
  </si>
  <si>
    <t xml:space="preserve">  CNG</t>
  </si>
  <si>
    <t xml:space="preserve">  LNG</t>
  </si>
  <si>
    <t xml:space="preserve">  LPG</t>
  </si>
  <si>
    <t xml:space="preserve">  EV</t>
  </si>
  <si>
    <t>Refueling Station</t>
  </si>
  <si>
    <t>Source:  Mobil Torrance Refinery Reformulated Fuels Project, Final EIR, Volume 1B.</t>
  </si>
  <si>
    <t>Incremental Increase Due to Fueling Station Compressor Consumption</t>
  </si>
  <si>
    <t>Vehicle Fuel Usage</t>
  </si>
  <si>
    <t>Operational-Related Fuel Usage</t>
  </si>
  <si>
    <t>Fueling Station Compressor Consumption</t>
  </si>
  <si>
    <t>Construction-Related Fuel Usage</t>
  </si>
  <si>
    <t>Grand Total Contruction-Related</t>
  </si>
  <si>
    <t>Grand Total Operational-Related</t>
  </si>
  <si>
    <t>Centralization (for all years)</t>
  </si>
  <si>
    <t>Natural Gas-Fueled Compressor (mmscf/yr)</t>
  </si>
  <si>
    <t>Natural Gas-Fueled Compressor (TCF/yr)</t>
  </si>
  <si>
    <t>Electric-Powered Compressor (kWh/yr)</t>
  </si>
  <si>
    <t>Electric-Powered Compressor (MW***)</t>
  </si>
  <si>
    <t>Diesel-Fueled Compressor (gallons/yr)</t>
  </si>
  <si>
    <t>Loss of Transit Bus Service (for all years)</t>
  </si>
  <si>
    <t>Incremental Increase Due to Transit Bus Loss of Service (for all years)</t>
  </si>
  <si>
    <t>Incremental Increase due to Centralization (for all years)</t>
  </si>
  <si>
    <t>Incremental Increase Due to Fueling Station Compressor Consumption*</t>
  </si>
  <si>
    <t>Prop. Project*</t>
  </si>
  <si>
    <t>Natural Gas-Fueled Compressor (mmscf/yr)**</t>
  </si>
  <si>
    <t>Electric-Powered Compressor (kWh/yr)***</t>
  </si>
  <si>
    <t>Diesel-Fueled Compressor (gallons/yr)****</t>
  </si>
  <si>
    <t>**Assumed fuel usage rate for two 300-hp natural gas-fueled compressors of 0.72 mmscf/day.</t>
  </si>
  <si>
    <t>***Assumed fuel usage rate for two 300-hp electric-powered compressors of 960 KWh/day.</t>
  </si>
  <si>
    <t>****Assumed fuel usage rate for two 300-hp diesel-fueled compressors of 127 gallons/day.</t>
  </si>
  <si>
    <t>Alt. D^</t>
  </si>
  <si>
    <t>Alt. F#</t>
  </si>
  <si>
    <t>Alt. B~</t>
  </si>
  <si>
    <t>Incremental Vehicle Fuel Usage</t>
  </si>
  <si>
    <t>Incremental Increas Due to Transit Bus Loss of Service (for all years)</t>
  </si>
  <si>
    <t>Incremental Vehicle Usage</t>
  </si>
  <si>
    <t>Diesel Total (gallons/yr)</t>
  </si>
  <si>
    <t xml:space="preserve">  Also assumed annual operation of 250 days/yr.</t>
  </si>
  <si>
    <t>*Assumed that CNG/LNG stations would require compressors, which is 90 percent of all fueling stations (352*0.9 = 317).</t>
  </si>
  <si>
    <t xml:space="preserve">  As a result, assumed the following compressor distribution 1/3 natural gas-fueled (106), 1/3 electric-powered (105), and 1/3 diesel-fueled (106)</t>
  </si>
  <si>
    <t>*Assumed that CNG/LNG stations would require compressors, which is 90 percent of all fueling stations.  Also, assumed annual operation of 250 days/yr.</t>
  </si>
  <si>
    <t>~Assumed the following compressor distribution 1/3 natural gas-fueled (63), 1/3 electric-powered (62), and 1/3 diesel-fueled (63)</t>
  </si>
  <si>
    <t>^Assumed the following compressor distribution 1/3 natural gas-fueled (86), 1/3 electric-powered (85), and 1/3 diesel-fueled (85)</t>
  </si>
  <si>
    <t>#Assumed the following compressor distribution 1/3 natural gas-fueled (69), 1/3 electric-powered (68), and 1/3 diesel-fueled (69)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</si>
</sst>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0%"/>
    <numFmt numFmtId="171" formatCode="0.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3" fillId="0" borderId="0" xfId="57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3" fillId="0" borderId="0" xfId="42" applyNumberFormat="1" applyFont="1" applyAlignment="1">
      <alignment horizontal="right"/>
    </xf>
    <xf numFmtId="168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0" fontId="3" fillId="0" borderId="0" xfId="57" applyNumberFormat="1" applyFont="1" applyAlignment="1">
      <alignment horizontal="right"/>
    </xf>
    <xf numFmtId="170" fontId="3" fillId="0" borderId="0" xfId="57" applyNumberFormat="1" applyFont="1" applyAlignment="1">
      <alignment horizontal="right"/>
    </xf>
    <xf numFmtId="171" fontId="3" fillId="0" borderId="0" xfId="57" applyNumberFormat="1" applyFont="1" applyAlignment="1">
      <alignment horizontal="right"/>
    </xf>
    <xf numFmtId="170" fontId="3" fillId="0" borderId="0" xfId="57" applyNumberFormat="1" applyFont="1" applyAlignment="1">
      <alignment/>
    </xf>
    <xf numFmtId="2" fontId="3" fillId="0" borderId="0" xfId="0" applyNumberFormat="1" applyFont="1" applyAlignment="1">
      <alignment horizontal="right"/>
    </xf>
    <xf numFmtId="171" fontId="3" fillId="0" borderId="0" xfId="57" applyNumberFormat="1" applyFont="1" applyAlignment="1">
      <alignment/>
    </xf>
    <xf numFmtId="43" fontId="2" fillId="0" borderId="0" xfId="42" applyFont="1" applyAlignment="1">
      <alignment/>
    </xf>
    <xf numFmtId="9" fontId="3" fillId="0" borderId="0" xfId="57" applyFont="1" applyAlignment="1">
      <alignment/>
    </xf>
    <xf numFmtId="9" fontId="2" fillId="0" borderId="0" xfId="57" applyFont="1" applyAlignment="1">
      <alignment/>
    </xf>
    <xf numFmtId="0" fontId="6" fillId="0" borderId="0" xfId="0" applyFont="1" applyAlignment="1">
      <alignment/>
    </xf>
    <xf numFmtId="43" fontId="3" fillId="0" borderId="0" xfId="42" applyNumberFormat="1" applyFont="1" applyAlignment="1">
      <alignment/>
    </xf>
    <xf numFmtId="167" fontId="3" fillId="0" borderId="0" xfId="42" applyNumberFormat="1" applyFont="1" applyAlignment="1">
      <alignment/>
    </xf>
    <xf numFmtId="43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0/aqmd/finalEA/1190/3_Vehicle_Univer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Proj."/>
      <sheetName val="Alternative B"/>
      <sheetName val="Alternative D"/>
      <sheetName val="Alternative F"/>
      <sheetName val="Fueling_Stations"/>
      <sheetName val="CARB_Universe"/>
      <sheetName val="CEC_Universe"/>
    </sheetNames>
    <sheetDataSet>
      <sheetData sheetId="0">
        <row r="80">
          <cell r="B80">
            <v>55.57142857142857</v>
          </cell>
          <cell r="C80">
            <v>222.28571428571428</v>
          </cell>
          <cell r="D80">
            <v>111.14285714285714</v>
          </cell>
          <cell r="E80">
            <v>55.57142857142857</v>
          </cell>
          <cell r="F80">
            <v>55.57142857142857</v>
          </cell>
        </row>
        <row r="81">
          <cell r="B81">
            <v>8.857142857142858</v>
          </cell>
          <cell r="C81">
            <v>35.42857142857143</v>
          </cell>
          <cell r="D81">
            <v>17.714285714285715</v>
          </cell>
          <cell r="E81">
            <v>8.857142857142858</v>
          </cell>
          <cell r="F81">
            <v>8.857142857142858</v>
          </cell>
        </row>
        <row r="88">
          <cell r="B88">
            <v>26.483333333333334</v>
          </cell>
          <cell r="C88">
            <v>2383.5</v>
          </cell>
          <cell r="D88">
            <v>132.41666666666666</v>
          </cell>
          <cell r="E88">
            <v>79.44999999999999</v>
          </cell>
          <cell r="F88">
            <v>26.483333333333334</v>
          </cell>
        </row>
      </sheetData>
      <sheetData sheetId="1">
        <row r="98">
          <cell r="B98">
            <v>55.57142857142857</v>
          </cell>
          <cell r="C98">
            <v>222.28571428571428</v>
          </cell>
          <cell r="D98">
            <v>111.14285714285714</v>
          </cell>
          <cell r="E98">
            <v>55.57142857142857</v>
          </cell>
          <cell r="F98">
            <v>55.57142857142857</v>
          </cell>
        </row>
        <row r="99">
          <cell r="B99">
            <v>8.857142857142858</v>
          </cell>
          <cell r="C99">
            <v>35.42857142857143</v>
          </cell>
          <cell r="D99">
            <v>17.714285714285715</v>
          </cell>
          <cell r="E99">
            <v>8.857142857142858</v>
          </cell>
          <cell r="F99">
            <v>8.857142857142858</v>
          </cell>
        </row>
        <row r="106">
          <cell r="B106">
            <v>24.400000000000002</v>
          </cell>
          <cell r="C106">
            <v>2196</v>
          </cell>
          <cell r="D106">
            <v>122</v>
          </cell>
          <cell r="E106">
            <v>73.19999999999999</v>
          </cell>
          <cell r="F106">
            <v>24.400000000000002</v>
          </cell>
        </row>
      </sheetData>
      <sheetData sheetId="2">
        <row r="76">
          <cell r="B76">
            <v>52</v>
          </cell>
          <cell r="C76">
            <v>208</v>
          </cell>
          <cell r="D76">
            <v>104</v>
          </cell>
          <cell r="E76">
            <v>52</v>
          </cell>
          <cell r="F76">
            <v>52</v>
          </cell>
        </row>
        <row r="77">
          <cell r="B77">
            <v>8.285714285714286</v>
          </cell>
          <cell r="C77">
            <v>33.142857142857146</v>
          </cell>
          <cell r="D77">
            <v>16.571428571428573</v>
          </cell>
          <cell r="E77">
            <v>8.285714285714286</v>
          </cell>
          <cell r="F77">
            <v>8.285714285714286</v>
          </cell>
        </row>
        <row r="84">
          <cell r="B84">
            <v>24.65</v>
          </cell>
          <cell r="C84">
            <v>2218.5</v>
          </cell>
          <cell r="D84">
            <v>123.25</v>
          </cell>
          <cell r="E84">
            <v>73.94999999999999</v>
          </cell>
          <cell r="F84">
            <v>24.65</v>
          </cell>
        </row>
      </sheetData>
      <sheetData sheetId="3">
        <row r="77">
          <cell r="B77">
            <v>55.57142857142857</v>
          </cell>
          <cell r="C77">
            <v>222.28571428571428</v>
          </cell>
          <cell r="D77">
            <v>111.14285714285714</v>
          </cell>
          <cell r="E77">
            <v>55.57142857142857</v>
          </cell>
          <cell r="F77">
            <v>55.57142857142857</v>
          </cell>
        </row>
        <row r="78">
          <cell r="B78">
            <v>8.857142857142858</v>
          </cell>
          <cell r="C78">
            <v>35.42857142857143</v>
          </cell>
          <cell r="D78">
            <v>17.714285714285715</v>
          </cell>
          <cell r="E78">
            <v>8.857142857142858</v>
          </cell>
          <cell r="F78">
            <v>8.857142857142858</v>
          </cell>
        </row>
        <row r="83">
          <cell r="B83">
            <v>18.383333333333333</v>
          </cell>
          <cell r="C83">
            <v>1654.5</v>
          </cell>
          <cell r="D83">
            <v>91.91666666666667</v>
          </cell>
          <cell r="E83">
            <v>55.14999999999999</v>
          </cell>
          <cell r="F83">
            <v>18.383333333333333</v>
          </cell>
        </row>
      </sheetData>
      <sheetData sheetId="4">
        <row r="37">
          <cell r="B37">
            <v>0.8444899328859061</v>
          </cell>
          <cell r="C37">
            <v>0.9292373595505619</v>
          </cell>
          <cell r="D37">
            <v>0.7057477611940299</v>
          </cell>
          <cell r="E37">
            <v>0.8075273684210528</v>
          </cell>
        </row>
        <row r="38">
          <cell r="B38">
            <v>3.3779597315436245</v>
          </cell>
          <cell r="C38">
            <v>3.7169494382022474</v>
          </cell>
          <cell r="D38">
            <v>2.8229910447761197</v>
          </cell>
          <cell r="E38">
            <v>3.230109473684211</v>
          </cell>
        </row>
        <row r="39">
          <cell r="B39">
            <v>0.8444899328859061</v>
          </cell>
          <cell r="C39">
            <v>0.9292373595505619</v>
          </cell>
          <cell r="D39">
            <v>0.7057477611940299</v>
          </cell>
          <cell r="E39">
            <v>0.8075273684210528</v>
          </cell>
        </row>
        <row r="40">
          <cell r="B40">
            <v>0.8444899328859061</v>
          </cell>
          <cell r="C40">
            <v>0.9292373595505619</v>
          </cell>
          <cell r="D40">
            <v>0.7057477611940299</v>
          </cell>
          <cell r="E40">
            <v>0.8075273684210528</v>
          </cell>
        </row>
        <row r="41">
          <cell r="B41">
            <v>2.533469798657718</v>
          </cell>
          <cell r="C41">
            <v>2.787712078651685</v>
          </cell>
          <cell r="D41">
            <v>2.1172432835820896</v>
          </cell>
          <cell r="E41">
            <v>2.422582105263158</v>
          </cell>
        </row>
        <row r="43">
          <cell r="B43">
            <v>0.6200000000000001</v>
          </cell>
          <cell r="C43">
            <v>0.32600000000000007</v>
          </cell>
          <cell r="D43">
            <v>0.49800000000000005</v>
          </cell>
          <cell r="E43">
            <v>0.37800000000000006</v>
          </cell>
        </row>
        <row r="44">
          <cell r="B44">
            <v>55.800000000000004</v>
          </cell>
          <cell r="C44">
            <v>29.340000000000003</v>
          </cell>
          <cell r="D44">
            <v>44.82</v>
          </cell>
          <cell r="E44">
            <v>34.02</v>
          </cell>
        </row>
        <row r="45">
          <cell r="B45">
            <v>3.1</v>
          </cell>
          <cell r="C45">
            <v>1.6300000000000001</v>
          </cell>
          <cell r="D45">
            <v>2.49</v>
          </cell>
          <cell r="E45">
            <v>1.8900000000000003</v>
          </cell>
        </row>
        <row r="46">
          <cell r="B46">
            <v>1.8599999999999999</v>
          </cell>
          <cell r="C46">
            <v>0.978</v>
          </cell>
          <cell r="D46">
            <v>1.494</v>
          </cell>
          <cell r="E46">
            <v>1.1340000000000001</v>
          </cell>
        </row>
        <row r="47">
          <cell r="B47">
            <v>0.6200000000000001</v>
          </cell>
          <cell r="C47">
            <v>0.32600000000000007</v>
          </cell>
          <cell r="D47">
            <v>0.49800000000000005</v>
          </cell>
          <cell r="E47">
            <v>0.37800000000000006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3.00390625" style="2" bestFit="1" customWidth="1"/>
    <col min="2" max="13" width="12.00390625" style="2" customWidth="1"/>
    <col min="14" max="16384" width="9.140625" style="2" customWidth="1"/>
  </cols>
  <sheetData>
    <row r="1" ht="17.25">
      <c r="A1" s="37" t="s">
        <v>217</v>
      </c>
    </row>
    <row r="3" ht="15">
      <c r="A3" s="14" t="s">
        <v>44</v>
      </c>
    </row>
    <row r="4" ht="12.75">
      <c r="A4" s="1"/>
    </row>
    <row r="5" spans="2:11" ht="12.75">
      <c r="B5" s="1" t="s">
        <v>170</v>
      </c>
      <c r="C5" s="1"/>
      <c r="D5" s="1" t="s">
        <v>121</v>
      </c>
      <c r="E5" s="1"/>
      <c r="F5" s="1" t="s">
        <v>122</v>
      </c>
      <c r="G5" s="1"/>
      <c r="H5" s="1" t="s">
        <v>123</v>
      </c>
      <c r="K5" s="1"/>
    </row>
    <row r="6" spans="2:11" ht="12.75">
      <c r="B6" s="3" t="s">
        <v>35</v>
      </c>
      <c r="C6" s="3" t="s">
        <v>46</v>
      </c>
      <c r="D6" s="3" t="s">
        <v>35</v>
      </c>
      <c r="E6" s="3" t="s">
        <v>46</v>
      </c>
      <c r="F6" s="3" t="s">
        <v>35</v>
      </c>
      <c r="G6" s="3" t="s">
        <v>46</v>
      </c>
      <c r="H6" s="3" t="s">
        <v>35</v>
      </c>
      <c r="I6" s="3" t="s">
        <v>46</v>
      </c>
      <c r="J6" s="3"/>
      <c r="K6" s="3"/>
    </row>
    <row r="7" spans="1:11" ht="12.75">
      <c r="A7" s="1"/>
      <c r="B7" s="3" t="s">
        <v>36</v>
      </c>
      <c r="C7" s="3" t="s">
        <v>36</v>
      </c>
      <c r="D7" s="3" t="s">
        <v>36</v>
      </c>
      <c r="E7" s="3" t="s">
        <v>36</v>
      </c>
      <c r="F7" s="3" t="s">
        <v>36</v>
      </c>
      <c r="G7" s="3" t="s">
        <v>36</v>
      </c>
      <c r="H7" s="3" t="s">
        <v>36</v>
      </c>
      <c r="I7" s="3" t="s">
        <v>36</v>
      </c>
      <c r="J7" s="3"/>
      <c r="K7" s="3"/>
    </row>
    <row r="8" spans="1:11" ht="12.75">
      <c r="A8" s="1"/>
      <c r="B8" s="3" t="s">
        <v>45</v>
      </c>
      <c r="C8" s="3" t="s">
        <v>45</v>
      </c>
      <c r="D8" s="3" t="s">
        <v>45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45</v>
      </c>
      <c r="J8" s="3"/>
      <c r="K8" s="3"/>
    </row>
    <row r="9" ht="12.75">
      <c r="A9" s="1" t="s">
        <v>211</v>
      </c>
    </row>
    <row r="10" spans="1:11" ht="12.75">
      <c r="A10" s="2" t="s">
        <v>206</v>
      </c>
      <c r="B10" s="5">
        <f>+'On-Site'!$F$23*('[1]Fueling_Stations'!B$37+'[1]Fueling_Stations'!B$43)</f>
        <v>291.32219540939604</v>
      </c>
      <c r="C10" s="5">
        <f>+'On-Site'!$G$23*('[1]Fueling_Stations'!B$37+'[1]Fueling_Stations'!B$43)</f>
        <v>104.03736483221479</v>
      </c>
      <c r="D10" s="5">
        <f>+'On-Site'!$F$23*('[1]Fueling_Stations'!C$37+'[1]Fueling_Stations'!C$43)</f>
        <v>249.69683651123603</v>
      </c>
      <c r="E10" s="5">
        <f>+'On-Site'!$G$23*('[1]Fueling_Stations'!C$37+'[1]Fueling_Stations'!C$43)</f>
        <v>89.17206202247193</v>
      </c>
      <c r="F10" s="5">
        <f>+'On-Site'!$F$23*('[1]Fueling_Stations'!D$37+'[1]Fueling_Stations'!D$43)</f>
        <v>239.45431964776125</v>
      </c>
      <c r="G10" s="5">
        <f>+'On-Site'!$G$23*('[1]Fueling_Stations'!D$37+'[1]Fueling_Stations'!D$43)</f>
        <v>85.5142409552239</v>
      </c>
      <c r="H10" s="5">
        <f>+'On-Site'!$F$23*('[1]Fueling_Stations'!E$37+'[1]Fueling_Stations'!E$43)</f>
        <v>235.82984623578955</v>
      </c>
      <c r="I10" s="5">
        <f>+'On-Site'!$G$23*('[1]Fueling_Stations'!E$37+'[1]Fueling_Stations'!E$43)</f>
        <v>84.2198642526316</v>
      </c>
      <c r="J10" s="5"/>
      <c r="K10" s="5"/>
    </row>
    <row r="11" spans="1:11" ht="12.75">
      <c r="A11" s="2" t="s">
        <v>207</v>
      </c>
      <c r="B11" s="5">
        <f>+'On-Site'!$F$47*('[1]Fueling_Stations'!B$38+'[1]Fueling_Stations'!B$44)</f>
        <v>26152.870811919467</v>
      </c>
      <c r="C11" s="5">
        <f>+'On-Site'!$G$47*('[1]Fueling_Stations'!B$38+'[1]Fueling_Stations'!B$44)</f>
        <v>11778.781104966445</v>
      </c>
      <c r="D11" s="5">
        <f>+'On-Site'!$F$47*('[1]Fueling_Stations'!C$38+'[1]Fueling_Stations'!C$44)</f>
        <v>14609.056006921352</v>
      </c>
      <c r="E11" s="5">
        <f>+'On-Site'!$G$47*('[1]Fueling_Stations'!C$38+'[1]Fueling_Stations'!C$44)</f>
        <v>6579.655216179777</v>
      </c>
      <c r="F11" s="5">
        <f>+'On-Site'!$F$47*('[1]Fueling_Stations'!D$38+'[1]Fueling_Stations'!D$44)</f>
        <v>21055.15289036418</v>
      </c>
      <c r="G11" s="5">
        <f>+'On-Site'!$G$47*('[1]Fueling_Stations'!D$38+'[1]Fueling_Stations'!D$44)</f>
        <v>9482.86093755224</v>
      </c>
      <c r="H11" s="5">
        <f>+'On-Site'!$F$47*('[1]Fueling_Stations'!E$38+'[1]Fueling_Stations'!E$44)</f>
        <v>16462.16438036211</v>
      </c>
      <c r="I11" s="5">
        <f>+'On-Site'!$G$47*('[1]Fueling_Stations'!E$38+'[1]Fueling_Stations'!E$44)</f>
        <v>7414.261789642106</v>
      </c>
      <c r="J11" s="5"/>
      <c r="K11" s="5"/>
    </row>
    <row r="12" spans="1:11" ht="12.75">
      <c r="A12" s="2" t="s">
        <v>208</v>
      </c>
      <c r="B12" s="5">
        <f>+'On-Site'!$F$67*('[1]Fueling_Stations'!B$39+'[1]Fueling_Stations'!B$45)</f>
        <v>1078.833774604027</v>
      </c>
      <c r="C12" s="5">
        <f>+'On-Site'!$G$67*('[1]Fueling_Stations'!B$39+'[1]Fueling_Stations'!B$45)</f>
        <v>363.5241922147651</v>
      </c>
      <c r="D12" s="5">
        <f>+'On-Site'!$F$67*('[1]Fueling_Stations'!C$39+'[1]Fueling_Stations'!C$45)</f>
        <v>699.961654786517</v>
      </c>
      <c r="E12" s="5">
        <f>+'On-Site'!$G$67*('[1]Fueling_Stations'!C$39+'[1]Fueling_Stations'!C$45)</f>
        <v>235.8593150561798</v>
      </c>
      <c r="F12" s="5">
        <f>+'On-Site'!$F$67*('[1]Fueling_Stations'!D$39+'[1]Fueling_Stations'!D$45)</f>
        <v>874.0497956776121</v>
      </c>
      <c r="G12" s="5">
        <f>+'On-Site'!$G$67*('[1]Fueling_Stations'!D$39+'[1]Fueling_Stations'!D$45)</f>
        <v>294.5201136716418</v>
      </c>
      <c r="H12" s="5">
        <f>+'On-Site'!$F$67*('[1]Fueling_Stations'!E$39+'[1]Fueling_Stations'!E$45)</f>
        <v>737.7845253726318</v>
      </c>
      <c r="I12" s="5">
        <f>+'On-Site'!$G$67*('[1]Fueling_Stations'!E$39+'[1]Fueling_Stations'!E$45)</f>
        <v>248.60412227368425</v>
      </c>
      <c r="J12" s="5"/>
      <c r="K12" s="5"/>
    </row>
    <row r="13" spans="1:11" ht="12.75">
      <c r="A13" s="2" t="s">
        <v>209</v>
      </c>
      <c r="B13" s="5">
        <f>+'On-Site'!$F$87*('[1]Fueling_Stations'!B$40+'[1]Fueling_Stations'!B$46)</f>
        <v>739.6888146040269</v>
      </c>
      <c r="C13" s="5">
        <f>+'On-Site'!$G$87*('[1]Fueling_Stations'!B$40+'[1]Fueling_Stations'!B$46)</f>
        <v>249.2457922147651</v>
      </c>
      <c r="D13" s="5">
        <f>+'On-Site'!$F$87*('[1]Fueling_Stations'!C$40+'[1]Fueling_Stations'!C$46)</f>
        <v>521.6370467865169</v>
      </c>
      <c r="E13" s="5">
        <f>+'On-Site'!$G$87*('[1]Fueling_Stations'!C$40+'[1]Fueling_Stations'!C$46)</f>
        <v>175.77099505617977</v>
      </c>
      <c r="F13" s="5">
        <f>+'On-Site'!$F$87*('[1]Fueling_Stations'!D$40+'[1]Fueling_Stations'!D$46)</f>
        <v>601.639811677612</v>
      </c>
      <c r="G13" s="5">
        <f>+'On-Site'!$G$87*('[1]Fueling_Stations'!D$40+'[1]Fueling_Stations'!D$46)</f>
        <v>202.72875367164178</v>
      </c>
      <c r="H13" s="5">
        <f>+'On-Site'!$F$87*('[1]Fueling_Stations'!E$40+'[1]Fueling_Stations'!E$46)</f>
        <v>531.0155013726317</v>
      </c>
      <c r="I13" s="5">
        <f>+'On-Site'!$G$87*('[1]Fueling_Stations'!E$40+'[1]Fueling_Stations'!E$46)</f>
        <v>178.93116227368424</v>
      </c>
      <c r="J13" s="5"/>
      <c r="K13" s="5"/>
    </row>
    <row r="14" spans="1:11" ht="12.75">
      <c r="A14" s="2" t="s">
        <v>210</v>
      </c>
      <c r="B14" s="5">
        <f>+'On-Site'!$F$87*('[1]Fueling_Stations'!B$41+'[1]Fueling_Stations'!B$47)</f>
        <v>862.4866038120806</v>
      </c>
      <c r="C14" s="5">
        <f>+'On-Site'!$G$108*('[1]Fueling_Stations'!B$41+'[1]Fueling_Stations'!B$47)</f>
        <v>645.8306147651007</v>
      </c>
      <c r="D14" s="5">
        <f>+'On-Site'!$F$87*('[1]Fueling_Stations'!C$41+'[1]Fueling_Stations'!C$47)</f>
        <v>851.6127083595505</v>
      </c>
      <c r="E14" s="5">
        <f>+'On-Site'!$G$108*('[1]Fueling_Stations'!C$41+'[1]Fueling_Stations'!C$47)</f>
        <v>637.6882337078652</v>
      </c>
      <c r="F14" s="5">
        <f>+'On-Site'!$F$87*('[1]Fueling_Stations'!D$41+'[1]Fueling_Stations'!D$47)</f>
        <v>715.2794990328359</v>
      </c>
      <c r="G14" s="5">
        <f>+'On-Site'!$G$108*('[1]Fueling_Stations'!D$41+'[1]Fueling_Stations'!D$47)</f>
        <v>535.601824477612</v>
      </c>
      <c r="H14" s="5">
        <f>+'On-Site'!$F$87*('[1]Fueling_Stations'!E$41+'[1]Fueling_Stations'!E$47)</f>
        <v>765.9704081178949</v>
      </c>
      <c r="I14" s="5">
        <f>+'On-Site'!$G$108*('[1]Fueling_Stations'!E$41+'[1]Fueling_Stations'!E$47)</f>
        <v>573.5592151578948</v>
      </c>
      <c r="J14" s="5"/>
      <c r="K14" s="5"/>
    </row>
    <row r="15" spans="1:11" ht="12.75">
      <c r="A15" s="1" t="s">
        <v>186</v>
      </c>
      <c r="B15" s="5">
        <f>+'On-Site'!$G$132</f>
        <v>3054.3480000000004</v>
      </c>
      <c r="C15" s="5">
        <v>0</v>
      </c>
      <c r="D15" s="5">
        <f>+'On-Site'!$G$132</f>
        <v>3054.3480000000004</v>
      </c>
      <c r="E15" s="5">
        <v>0</v>
      </c>
      <c r="F15" s="5">
        <f>+'On-Site'!$G$132</f>
        <v>3054.3480000000004</v>
      </c>
      <c r="G15" s="5">
        <v>0</v>
      </c>
      <c r="H15" s="5">
        <f>+'On-Site'!$G$132</f>
        <v>3054.3480000000004</v>
      </c>
      <c r="I15" s="5">
        <v>0</v>
      </c>
      <c r="J15" s="5"/>
      <c r="K15" s="5"/>
    </row>
    <row r="16" spans="1:11" ht="12.75">
      <c r="A16" s="1" t="s">
        <v>3</v>
      </c>
      <c r="B16" s="5">
        <f>SUM(B10:B15)</f>
        <v>32179.550200349</v>
      </c>
      <c r="C16" s="5">
        <f aca="true" t="shared" si="0" ref="C16:I16">SUM(C10:C15)</f>
        <v>13141.419068993291</v>
      </c>
      <c r="D16" s="5">
        <f t="shared" si="0"/>
        <v>19986.312253365173</v>
      </c>
      <c r="E16" s="5">
        <f t="shared" si="0"/>
        <v>7718.145822022474</v>
      </c>
      <c r="F16" s="5">
        <f t="shared" si="0"/>
        <v>26539.924316400004</v>
      </c>
      <c r="G16" s="5">
        <f t="shared" si="0"/>
        <v>10601.225870328359</v>
      </c>
      <c r="H16" s="5">
        <f t="shared" si="0"/>
        <v>21787.11266146106</v>
      </c>
      <c r="I16" s="5">
        <f t="shared" si="0"/>
        <v>8499.5761536</v>
      </c>
      <c r="J16" s="5"/>
      <c r="K16" s="5"/>
    </row>
    <row r="18" ht="15">
      <c r="A18" s="14" t="s">
        <v>48</v>
      </c>
    </row>
    <row r="19" ht="12.75">
      <c r="A19" s="1"/>
    </row>
    <row r="20" spans="2:11" ht="12.75">
      <c r="B20" s="1" t="s">
        <v>170</v>
      </c>
      <c r="D20" s="1" t="s">
        <v>121</v>
      </c>
      <c r="E20" s="1"/>
      <c r="F20" s="1" t="s">
        <v>122</v>
      </c>
      <c r="G20" s="1"/>
      <c r="H20" s="1" t="s">
        <v>123</v>
      </c>
      <c r="K20" s="1"/>
    </row>
    <row r="21" spans="1:11" ht="12.75">
      <c r="A21" s="1"/>
      <c r="B21" s="3" t="s">
        <v>35</v>
      </c>
      <c r="C21" s="3" t="s">
        <v>46</v>
      </c>
      <c r="D21" s="3" t="s">
        <v>35</v>
      </c>
      <c r="E21" s="3" t="s">
        <v>46</v>
      </c>
      <c r="F21" s="3" t="s">
        <v>35</v>
      </c>
      <c r="G21" s="3" t="s">
        <v>46</v>
      </c>
      <c r="H21" s="3" t="s">
        <v>35</v>
      </c>
      <c r="I21" s="3" t="s">
        <v>46</v>
      </c>
      <c r="J21" s="3"/>
      <c r="K21" s="3"/>
    </row>
    <row r="22" spans="1:11" ht="12.75">
      <c r="A22" s="1"/>
      <c r="B22" s="3" t="s">
        <v>36</v>
      </c>
      <c r="C22" s="3" t="s">
        <v>36</v>
      </c>
      <c r="D22" s="3" t="s">
        <v>36</v>
      </c>
      <c r="E22" s="3" t="s">
        <v>36</v>
      </c>
      <c r="F22" s="3" t="s">
        <v>36</v>
      </c>
      <c r="G22" s="3" t="s">
        <v>36</v>
      </c>
      <c r="H22" s="3" t="s">
        <v>36</v>
      </c>
      <c r="I22" s="3" t="s">
        <v>36</v>
      </c>
      <c r="J22" s="3"/>
      <c r="K22" s="3"/>
    </row>
    <row r="23" spans="1:11" ht="12.75">
      <c r="A23" s="1"/>
      <c r="B23" s="3" t="s">
        <v>45</v>
      </c>
      <c r="C23" s="3" t="s">
        <v>45</v>
      </c>
      <c r="D23" s="3" t="s">
        <v>45</v>
      </c>
      <c r="E23" s="3" t="s">
        <v>45</v>
      </c>
      <c r="F23" s="3" t="s">
        <v>45</v>
      </c>
      <c r="G23" s="3" t="s">
        <v>45</v>
      </c>
      <c r="H23" s="3" t="s">
        <v>45</v>
      </c>
      <c r="I23" s="3" t="s">
        <v>45</v>
      </c>
      <c r="J23" s="3"/>
      <c r="K23" s="3"/>
    </row>
    <row r="24" ht="12.75">
      <c r="A24" s="1" t="s">
        <v>211</v>
      </c>
    </row>
    <row r="25" spans="1:9" ht="12.75">
      <c r="A25" s="2" t="s">
        <v>206</v>
      </c>
      <c r="B25" s="5">
        <f>+'Off-Site'!$H$19*('[1]Fueling_Stations'!B$37+'[1]Fueling_Stations'!B$43)</f>
        <v>29.289798657718123</v>
      </c>
      <c r="C25" s="5">
        <f>+'Off-Site'!$I$19*('[1]Fueling_Stations'!B$37+'[1]Fueling_Stations'!B$43)</f>
        <v>52.72163758389262</v>
      </c>
      <c r="D25" s="5">
        <f>+'Off-Site'!$H$19*('[1]Fueling_Stations'!C$37+'[1]Fueling_Stations'!C$43)</f>
        <v>25.10474719101124</v>
      </c>
      <c r="E25" s="5">
        <f>+'Off-Site'!$I$19*('[1]Fueling_Stations'!C$37+'[1]Fueling_Stations'!C$43)</f>
        <v>45.18854494382023</v>
      </c>
      <c r="F25" s="5">
        <f>+'Off-Site'!$H$19*('[1]Fueling_Stations'!D$37+'[1]Fueling_Stations'!D$43)</f>
        <v>24.0749552238806</v>
      </c>
      <c r="G25" s="5">
        <f>+'Off-Site'!$I$19*('[1]Fueling_Stations'!D$37+'[1]Fueling_Stations'!D$43)</f>
        <v>43.33491940298508</v>
      </c>
      <c r="H25" s="5">
        <f>+'Off-Site'!$H$19*('[1]Fueling_Stations'!E$37+'[1]Fueling_Stations'!E$43)</f>
        <v>23.710547368421054</v>
      </c>
      <c r="I25" s="5">
        <f>+'Off-Site'!$I$19*('[1]Fueling_Stations'!E$37+'[1]Fueling_Stations'!E$43)</f>
        <v>42.6789852631579</v>
      </c>
    </row>
    <row r="26" spans="1:9" ht="12.75">
      <c r="A26" s="2" t="s">
        <v>207</v>
      </c>
      <c r="B26" s="5">
        <f>+'Off-Site'!$H$39*('[1]Fueling_Stations'!B$38+'[1]Fueling_Stations'!B$44)</f>
        <v>5326.016375838927</v>
      </c>
      <c r="C26" s="5">
        <f>+'Off-Site'!$I$39*('[1]Fueling_Stations'!B$38+'[1]Fueling_Stations'!B$44)</f>
        <v>2130.4065503355705</v>
      </c>
      <c r="D26" s="5">
        <f>+'Off-Site'!$H$39*('[1]Fueling_Stations'!C$38+'[1]Fueling_Stations'!C$44)</f>
        <v>2975.125449438203</v>
      </c>
      <c r="E26" s="5">
        <f>+'Off-Site'!$I$39*('[1]Fueling_Stations'!C$38+'[1]Fueling_Stations'!C$44)</f>
        <v>1190.050179775281</v>
      </c>
      <c r="F26" s="5">
        <f>+'Off-Site'!$H$39*('[1]Fueling_Stations'!D$38+'[1]Fueling_Stations'!D$44)</f>
        <v>4287.86919402985</v>
      </c>
      <c r="G26" s="5">
        <f>+'Off-Site'!$I$39*('[1]Fueling_Stations'!D$38+'[1]Fueling_Stations'!D$44)</f>
        <v>1715.1476776119403</v>
      </c>
      <c r="H26" s="5">
        <f>+'Off-Site'!$H$39*('[1]Fueling_Stations'!E$38+'[1]Fueling_Stations'!E$44)</f>
        <v>3352.509852631579</v>
      </c>
      <c r="I26" s="5">
        <f>+'Off-Site'!$I$39*('[1]Fueling_Stations'!E$38+'[1]Fueling_Stations'!E$44)</f>
        <v>1341.0039410526317</v>
      </c>
    </row>
    <row r="27" spans="1:9" ht="12.75">
      <c r="A27" s="2" t="s">
        <v>208</v>
      </c>
      <c r="B27" s="5">
        <f>+'Off-Site'!$H$57*('[1]Fueling_Stations'!B$39+'[1]Fueling_Stations'!B$45)</f>
        <v>295.83674496644295</v>
      </c>
      <c r="C27" s="5">
        <f>+'Off-Site'!$I$57*('[1]Fueling_Stations'!B$39+'[1]Fueling_Stations'!B$45)</f>
        <v>142.00163758389263</v>
      </c>
      <c r="D27" s="5">
        <f>+'Off-Site'!$H$57*('[1]Fueling_Stations'!C$39+'[1]Fueling_Stations'!C$45)</f>
        <v>191.94280196629217</v>
      </c>
      <c r="E27" s="5">
        <f>+'Off-Site'!$I$57*('[1]Fueling_Stations'!C$39+'[1]Fueling_Stations'!C$45)</f>
        <v>92.13254494382024</v>
      </c>
      <c r="F27" s="5">
        <f>+'Off-Site'!$H$57*('[1]Fueling_Stations'!D$39+'[1]Fueling_Stations'!D$45)</f>
        <v>239.6810820895523</v>
      </c>
      <c r="G27" s="5">
        <f>+'Off-Site'!$I$57*('[1]Fueling_Stations'!D$39+'[1]Fueling_Stations'!D$45)</f>
        <v>115.0469194029851</v>
      </c>
      <c r="H27" s="5">
        <f>+'Off-Site'!$H$57*('[1]Fueling_Stations'!E$39+'[1]Fueling_Stations'!E$45)</f>
        <v>202.314552631579</v>
      </c>
      <c r="I27" s="5">
        <f>+'Off-Site'!$I$57*('[1]Fueling_Stations'!E$39+'[1]Fueling_Stations'!E$45)</f>
        <v>97.11098526315791</v>
      </c>
    </row>
    <row r="28" spans="1:9" ht="12.75">
      <c r="A28" s="2" t="s">
        <v>209</v>
      </c>
      <c r="B28" s="5">
        <f>+'Off-Site'!$H$75*('[1]Fueling_Stations'!B$40+'[1]Fueling_Stations'!B$46)</f>
        <v>202.83674496644295</v>
      </c>
      <c r="C28" s="5">
        <f>+'Off-Site'!$I$75*('[1]Fueling_Stations'!B$40+'[1]Fueling_Stations'!B$46)</f>
        <v>97.36163758389262</v>
      </c>
      <c r="D28" s="5">
        <f>+'Off-Site'!$H$75*('[1]Fueling_Stations'!C$40+'[1]Fueling_Stations'!C$46)</f>
        <v>143.04280196629213</v>
      </c>
      <c r="E28" s="5">
        <f>+'Off-Site'!$I$75*('[1]Fueling_Stations'!C$40+'[1]Fueling_Stations'!C$46)</f>
        <v>68.66054494382023</v>
      </c>
      <c r="F28" s="5">
        <f>+'Off-Site'!$H$75*('[1]Fueling_Stations'!D$40+'[1]Fueling_Stations'!D$46)</f>
        <v>164.98108208955225</v>
      </c>
      <c r="G28" s="5">
        <f>+'Off-Site'!$I$75*('[1]Fueling_Stations'!D$40+'[1]Fueling_Stations'!D$46)</f>
        <v>79.19091940298507</v>
      </c>
      <c r="H28" s="5">
        <f>+'Off-Site'!$H$75*('[1]Fueling_Stations'!E$40+'[1]Fueling_Stations'!E$46)</f>
        <v>145.614552631579</v>
      </c>
      <c r="I28" s="5">
        <f>+'Off-Site'!$I$75*('[1]Fueling_Stations'!E$40+'[1]Fueling_Stations'!E$46)</f>
        <v>69.8949852631579</v>
      </c>
    </row>
    <row r="29" spans="1:9" ht="12.75">
      <c r="A29" s="2" t="s">
        <v>210</v>
      </c>
      <c r="B29" s="5">
        <f>+'Off-Site'!$H$93*('[1]Fueling_Stations'!B$41+'[1]Fueling_Stations'!B$47)</f>
        <v>283.81228187919464</v>
      </c>
      <c r="C29" s="5">
        <f>+'Off-Site'!$I$93*('[1]Fueling_Stations'!B$41+'[1]Fueling_Stations'!B$47)</f>
        <v>119.83185234899328</v>
      </c>
      <c r="D29" s="5">
        <f>+'Off-Site'!$H$93*('[1]Fueling_Stations'!C$41+'[1]Fueling_Stations'!C$47)</f>
        <v>280.23408707865167</v>
      </c>
      <c r="E29" s="5">
        <f>+'Off-Site'!$I$93*('[1]Fueling_Stations'!C$41+'[1]Fueling_Stations'!C$47)</f>
        <v>118.32105898876404</v>
      </c>
      <c r="F29" s="5">
        <f>+'Off-Site'!$H$93*('[1]Fueling_Stations'!D$41+'[1]Fueling_Stations'!D$47)</f>
        <v>235.3718955223881</v>
      </c>
      <c r="G29" s="5">
        <f>+'Off-Site'!$I$93*('[1]Fueling_Stations'!D$41+'[1]Fueling_Stations'!D$47)</f>
        <v>99.3792447761194</v>
      </c>
      <c r="H29" s="5">
        <f>+'Off-Site'!$H$93*('[1]Fueling_Stations'!E$41+'[1]Fueling_Stations'!E$47)</f>
        <v>252.05238947368423</v>
      </c>
      <c r="I29" s="5">
        <f>+'Off-Site'!$I$93*('[1]Fueling_Stations'!E$41+'[1]Fueling_Stations'!E$47)</f>
        <v>106.42212</v>
      </c>
    </row>
    <row r="30" spans="1:9" ht="12.75">
      <c r="A30" s="1" t="s">
        <v>186</v>
      </c>
      <c r="B30" s="5">
        <f>+'Off-Site'!$H$103</f>
        <v>345</v>
      </c>
      <c r="C30" s="5">
        <f>+'Off-Site'!$I$103</f>
        <v>808</v>
      </c>
      <c r="D30" s="5">
        <f>+'Off-Site'!$H$103</f>
        <v>345</v>
      </c>
      <c r="E30" s="5">
        <f>+'Off-Site'!$I$103</f>
        <v>808</v>
      </c>
      <c r="F30" s="5">
        <f>+'Off-Site'!$H$103</f>
        <v>345</v>
      </c>
      <c r="G30" s="5">
        <f>+'Off-Site'!$I$103</f>
        <v>808</v>
      </c>
      <c r="H30" s="5">
        <f>+'Off-Site'!$H$103</f>
        <v>345</v>
      </c>
      <c r="I30" s="5">
        <f>+'Off-Site'!$I$103</f>
        <v>808</v>
      </c>
    </row>
    <row r="31" spans="1:9" ht="12.75">
      <c r="A31" s="1" t="s">
        <v>3</v>
      </c>
      <c r="B31" s="5">
        <f>SUM(B25:B30)</f>
        <v>6482.7919463087255</v>
      </c>
      <c r="C31" s="5">
        <f aca="true" t="shared" si="1" ref="C31:I31">SUM(C25:C30)</f>
        <v>3350.3233154362415</v>
      </c>
      <c r="D31" s="5">
        <f t="shared" si="1"/>
        <v>3960.44988764045</v>
      </c>
      <c r="E31" s="5">
        <f t="shared" si="1"/>
        <v>2322.352873595506</v>
      </c>
      <c r="F31" s="5">
        <f t="shared" si="1"/>
        <v>5296.978208955224</v>
      </c>
      <c r="G31" s="5">
        <f t="shared" si="1"/>
        <v>2860.0996805970153</v>
      </c>
      <c r="H31" s="5">
        <f t="shared" si="1"/>
        <v>4321.201894736842</v>
      </c>
      <c r="I31" s="5">
        <f t="shared" si="1"/>
        <v>2465.1110168421055</v>
      </c>
    </row>
    <row r="32" spans="2:9" ht="12.75">
      <c r="B32" s="13"/>
      <c r="C32" s="13"/>
      <c r="D32" s="13"/>
      <c r="E32" s="13"/>
      <c r="F32" s="13"/>
      <c r="G32" s="13"/>
      <c r="H32" s="13"/>
      <c r="I32" s="13"/>
    </row>
    <row r="33" spans="1:9" ht="15">
      <c r="A33" s="14" t="s">
        <v>218</v>
      </c>
      <c r="B33" s="12">
        <f>+B16+B31</f>
        <v>38662.34214665773</v>
      </c>
      <c r="C33" s="12">
        <f>+C16+C31</f>
        <v>16491.742384429534</v>
      </c>
      <c r="D33" s="12">
        <f aca="true" t="shared" si="2" ref="D33:I33">+D16+D31</f>
        <v>23946.762141005624</v>
      </c>
      <c r="E33" s="12">
        <f t="shared" si="2"/>
        <v>10040.49869561798</v>
      </c>
      <c r="F33" s="12">
        <f t="shared" si="2"/>
        <v>31836.902525355228</v>
      </c>
      <c r="G33" s="12">
        <f t="shared" si="2"/>
        <v>13461.325550925374</v>
      </c>
      <c r="H33" s="12">
        <f t="shared" si="2"/>
        <v>26108.3145561979</v>
      </c>
      <c r="I33" s="12">
        <f t="shared" si="2"/>
        <v>10964.687170442106</v>
      </c>
    </row>
    <row r="34" spans="1:9" ht="12.75">
      <c r="A34" s="2" t="s">
        <v>174</v>
      </c>
      <c r="B34" s="5">
        <v>1086000000</v>
      </c>
      <c r="C34" s="5">
        <v>6469000000</v>
      </c>
      <c r="D34" s="5">
        <v>1086000000</v>
      </c>
      <c r="E34" s="5">
        <v>6469000000</v>
      </c>
      <c r="F34" s="5">
        <v>1086000000</v>
      </c>
      <c r="G34" s="5">
        <v>6469000000</v>
      </c>
      <c r="H34" s="5">
        <v>1086000000</v>
      </c>
      <c r="I34" s="5">
        <v>6469000000</v>
      </c>
    </row>
    <row r="35" spans="1:9" ht="12.75">
      <c r="A35" s="2" t="s">
        <v>184</v>
      </c>
      <c r="B35" s="31">
        <f>+B33/B34</f>
        <v>3.560068337629625E-05</v>
      </c>
      <c r="C35" s="33">
        <f aca="true" t="shared" si="3" ref="C35:I35">+C33/C34</f>
        <v>2.5493495724887208E-06</v>
      </c>
      <c r="D35" s="31">
        <f t="shared" si="3"/>
        <v>2.2050425544204072E-05</v>
      </c>
      <c r="E35" s="33">
        <f t="shared" si="3"/>
        <v>1.5520944034036142E-06</v>
      </c>
      <c r="F35" s="31">
        <f t="shared" si="3"/>
        <v>2.931574818172673E-05</v>
      </c>
      <c r="G35" s="33">
        <f t="shared" si="3"/>
        <v>2.080897441787815E-06</v>
      </c>
      <c r="H35" s="31">
        <f t="shared" si="3"/>
        <v>2.404080530036639E-05</v>
      </c>
      <c r="I35" s="33">
        <f t="shared" si="3"/>
        <v>1.6949585979969249E-06</v>
      </c>
    </row>
    <row r="36" spans="1:9" ht="12.75">
      <c r="A36" s="2" t="s">
        <v>160</v>
      </c>
      <c r="B36" s="8" t="str">
        <f aca="true" t="shared" si="4" ref="B36:I36">IF(B35&gt;0.01,"Yes","No")</f>
        <v>No</v>
      </c>
      <c r="C36" s="8" t="str">
        <f t="shared" si="4"/>
        <v>No</v>
      </c>
      <c r="D36" s="8" t="str">
        <f t="shared" si="4"/>
        <v>No</v>
      </c>
      <c r="E36" s="8" t="str">
        <f t="shared" si="4"/>
        <v>No</v>
      </c>
      <c r="F36" s="8" t="str">
        <f t="shared" si="4"/>
        <v>No</v>
      </c>
      <c r="G36" s="8" t="str">
        <f t="shared" si="4"/>
        <v>No</v>
      </c>
      <c r="H36" s="8" t="str">
        <f t="shared" si="4"/>
        <v>No</v>
      </c>
      <c r="I36" s="8" t="str">
        <f t="shared" si="4"/>
        <v>No</v>
      </c>
    </row>
    <row r="38" ht="17.25">
      <c r="A38" s="37" t="s">
        <v>215</v>
      </c>
    </row>
    <row r="39" ht="15">
      <c r="A39" s="14"/>
    </row>
    <row r="40" ht="15">
      <c r="A40" s="14" t="s">
        <v>154</v>
      </c>
    </row>
    <row r="41" ht="12.75">
      <c r="A41" s="1"/>
    </row>
    <row r="42" spans="1:12" ht="12.75">
      <c r="A42" s="1" t="s">
        <v>214</v>
      </c>
      <c r="C42" s="3" t="s">
        <v>170</v>
      </c>
      <c r="F42" s="3" t="s">
        <v>121</v>
      </c>
      <c r="G42" s="3"/>
      <c r="H42" s="3"/>
      <c r="I42" s="3" t="s">
        <v>122</v>
      </c>
      <c r="J42" s="3"/>
      <c r="K42" s="3"/>
      <c r="L42" s="3" t="s">
        <v>123</v>
      </c>
    </row>
    <row r="43" spans="3:12" ht="12.75">
      <c r="C43" s="3" t="s">
        <v>59</v>
      </c>
      <c r="F43" s="3" t="s">
        <v>59</v>
      </c>
      <c r="I43" s="3" t="s">
        <v>59</v>
      </c>
      <c r="L43" s="3" t="s">
        <v>59</v>
      </c>
    </row>
    <row r="44" spans="1:13" ht="12.75">
      <c r="A44" s="1" t="s">
        <v>95</v>
      </c>
      <c r="B44" s="3">
        <v>2000</v>
      </c>
      <c r="C44" s="3">
        <v>2005</v>
      </c>
      <c r="D44" s="3">
        <v>2010</v>
      </c>
      <c r="E44" s="3">
        <v>2000</v>
      </c>
      <c r="F44" s="3">
        <v>2005</v>
      </c>
      <c r="G44" s="3">
        <v>2010</v>
      </c>
      <c r="H44" s="3">
        <v>2000</v>
      </c>
      <c r="I44" s="3">
        <v>2005</v>
      </c>
      <c r="J44" s="3">
        <v>2010</v>
      </c>
      <c r="K44" s="3">
        <v>2000</v>
      </c>
      <c r="L44" s="3">
        <v>2005</v>
      </c>
      <c r="M44" s="3">
        <v>2010</v>
      </c>
    </row>
    <row r="45" ht="12.75">
      <c r="A45" s="1"/>
    </row>
    <row r="46" spans="1:13" ht="12.75">
      <c r="A46" s="2" t="s">
        <v>91</v>
      </c>
      <c r="B46" s="22">
        <f>+'OP_Proj.'!B109</f>
        <v>203289.7817460318</v>
      </c>
      <c r="C46" s="22">
        <f>+'OP_Proj.'!C109</f>
        <v>216470.06031747596</v>
      </c>
      <c r="D46" s="22">
        <f>+'OP_Proj.'!D109</f>
        <v>220127.67990276462</v>
      </c>
      <c r="E46" s="22">
        <f>+'Op_Alts.'!B103</f>
        <v>191521.4285714286</v>
      </c>
      <c r="F46" s="22">
        <f>+'Op_Alts.'!C103</f>
        <v>203941.68916588798</v>
      </c>
      <c r="G46" s="22">
        <f>+'Op_Alts.'!D103</f>
        <v>207191.36230980637</v>
      </c>
      <c r="H46" s="22">
        <f>+'Op_Alts.'!E103</f>
        <v>189481.25</v>
      </c>
      <c r="I46" s="22">
        <f>+'Op_Alts.'!F103</f>
        <v>201766.2480856064</v>
      </c>
      <c r="J46" s="22">
        <f>+'Op_Alts.'!G103</f>
        <v>205163.19908049217</v>
      </c>
      <c r="K46" s="22">
        <f>+'Op_Alts.'!H103</f>
        <v>157534.42460317462</v>
      </c>
      <c r="L46" s="22">
        <f>+'Op_Alts.'!I103</f>
        <v>167759.75328010184</v>
      </c>
      <c r="M46" s="22">
        <f>+'Op_Alts.'!J103</f>
        <v>169831.27710134303</v>
      </c>
    </row>
    <row r="47" spans="2:5" ht="12.75">
      <c r="B47" s="22"/>
      <c r="C47" s="22"/>
      <c r="D47" s="22"/>
      <c r="E47" s="22"/>
    </row>
    <row r="48" spans="1:13" ht="12.75">
      <c r="A48" s="2" t="s">
        <v>92</v>
      </c>
      <c r="B48" s="22">
        <f>+'OP_Proj.'!B110</f>
        <v>17835046.08666383</v>
      </c>
      <c r="C48" s="22">
        <f>+'OP_Proj.'!C110</f>
        <v>18999606.52494996</v>
      </c>
      <c r="D48" s="22">
        <f>+'OP_Proj.'!D110</f>
        <v>19580347.390886698</v>
      </c>
      <c r="E48" s="22">
        <f>+'Op_Alts.'!B104</f>
        <v>16444909.36791383</v>
      </c>
      <c r="F48" s="22">
        <f>+'Op_Alts.'!C104</f>
        <v>17519692.682668626</v>
      </c>
      <c r="G48" s="22">
        <f>+'Op_Alts.'!D104</f>
        <v>18052244.875218507</v>
      </c>
      <c r="H48" s="22">
        <f>+'Op_Alts.'!E104</f>
        <v>16601204.232213717</v>
      </c>
      <c r="I48" s="22">
        <f>+'Op_Alts.'!F104</f>
        <v>17673481.338047996</v>
      </c>
      <c r="J48" s="22">
        <f>+'Op_Alts.'!G104</f>
        <v>18242511.066172633</v>
      </c>
      <c r="K48" s="22">
        <f>+'Op_Alts.'!H104</f>
        <v>12430194.524163831</v>
      </c>
      <c r="L48" s="22">
        <f>+'Op_Alts.'!I104</f>
        <v>13233112.220445862</v>
      </c>
      <c r="M48" s="22">
        <f>+'Op_Alts.'!J104</f>
        <v>13653671.716461295</v>
      </c>
    </row>
    <row r="49" spans="1:13" ht="12.75">
      <c r="A49" s="2" t="s">
        <v>93</v>
      </c>
      <c r="B49" s="22">
        <f>+'OP_Proj.'!B111</f>
        <v>909803.4324482479</v>
      </c>
      <c r="C49" s="22">
        <f>+'OP_Proj.'!C111</f>
        <v>968654.9720962361</v>
      </c>
      <c r="D49" s="22">
        <f>+'OP_Proj.'!D111</f>
        <v>993938.8598944484</v>
      </c>
      <c r="E49" s="22">
        <f>+'Op_Alts.'!B105</f>
        <v>846026.5507278179</v>
      </c>
      <c r="F49" s="22">
        <f>+'Op_Alts.'!C105</f>
        <v>900759.2832747271</v>
      </c>
      <c r="G49" s="22">
        <f>+'Op_Alts.'!D105</f>
        <v>923832.3645519654</v>
      </c>
      <c r="H49" s="22">
        <f>+'Op_Alts.'!E105</f>
        <v>847309.3116816619</v>
      </c>
      <c r="I49" s="22">
        <f>+'Op_Alts.'!F105</f>
        <v>902118.4198516037</v>
      </c>
      <c r="J49" s="22">
        <f>+'Op_Alts.'!G105</f>
        <v>927587.2623529118</v>
      </c>
      <c r="K49" s="22">
        <f>+'Op_Alts.'!H105</f>
        <v>661838.9163192159</v>
      </c>
      <c r="L49" s="22">
        <f>+'Op_Alts.'!I105</f>
        <v>704676.5339582089</v>
      </c>
      <c r="M49" s="22">
        <f>+'Op_Alts.'!J105</f>
        <v>721364.8060028739</v>
      </c>
    </row>
    <row r="50" spans="1:13" ht="12.75">
      <c r="A50" s="2" t="s">
        <v>177</v>
      </c>
      <c r="B50" s="23">
        <f aca="true" t="shared" si="5" ref="B50:M50">+((92800*B48)/(1050*1000000000000))+((72900*B49)/(1050*1000000000000))</f>
        <v>0.0016394447114932197</v>
      </c>
      <c r="C50" s="23">
        <f t="shared" si="5"/>
        <v>0.0017464556504582591</v>
      </c>
      <c r="D50" s="23">
        <f t="shared" si="5"/>
        <v>0.0017995375054862771</v>
      </c>
      <c r="E50" s="23">
        <f t="shared" si="5"/>
        <v>0.001512155166562344</v>
      </c>
      <c r="F50" s="23">
        <f t="shared" si="5"/>
        <v>0.0016109455549546438</v>
      </c>
      <c r="G50" s="23">
        <f t="shared" si="5"/>
        <v>0.0016596149559963006</v>
      </c>
      <c r="H50" s="23">
        <f t="shared" si="5"/>
        <v>0.0015260577157819295</v>
      </c>
      <c r="I50" s="23">
        <f t="shared" si="5"/>
        <v>0.0016246319056933676</v>
      </c>
      <c r="J50" s="23">
        <f t="shared" si="5"/>
        <v>0.0016766915603489024</v>
      </c>
      <c r="K50" s="23">
        <f t="shared" si="5"/>
        <v>0.0011445429608019754</v>
      </c>
      <c r="L50" s="23">
        <f t="shared" si="5"/>
        <v>0.0012184797460789805</v>
      </c>
      <c r="M50" s="23">
        <f t="shared" si="5"/>
        <v>0.00125680783775735</v>
      </c>
    </row>
    <row r="51" spans="2:5" ht="12.75">
      <c r="B51" s="22"/>
      <c r="C51" s="22"/>
      <c r="D51" s="22"/>
      <c r="E51" s="24"/>
    </row>
    <row r="52" spans="1:13" ht="12.75">
      <c r="A52" s="2" t="s">
        <v>94</v>
      </c>
      <c r="B52" s="22">
        <f>+'OP_Proj.'!B112</f>
        <v>597861.1452914499</v>
      </c>
      <c r="C52" s="22">
        <f>+'OP_Proj.'!C112</f>
        <v>636513.6239479624</v>
      </c>
      <c r="D52" s="22">
        <f>+'OP_Proj.'!D112</f>
        <v>654494.5341394987</v>
      </c>
      <c r="E52" s="22">
        <f>+'Op_Alts.'!B106</f>
        <v>554249.0129385086</v>
      </c>
      <c r="F52" s="22">
        <f>+'Op_Alts.'!C106</f>
        <v>590084.954386195</v>
      </c>
      <c r="G52" s="22">
        <f>+'Op_Alts.'!D106</f>
        <v>606554.0630597123</v>
      </c>
      <c r="H52" s="22">
        <f>+'Op_Alts.'!E106</f>
        <v>556687.6842403627</v>
      </c>
      <c r="I52" s="22">
        <f>+'Op_Alts.'!F106</f>
        <v>592678.2816138915</v>
      </c>
      <c r="J52" s="22">
        <f>+'Op_Alts.'!G106</f>
        <v>610263.4618374782</v>
      </c>
      <c r="K52" s="22">
        <f>+'Op_Alts.'!H106</f>
        <v>428297.17470321455</v>
      </c>
      <c r="L52" s="22">
        <f>+'Op_Alts.'!I106</f>
        <v>455998.9566918112</v>
      </c>
      <c r="M52" s="22">
        <f>+'Op_Alts.'!J106</f>
        <v>468101.9825812894</v>
      </c>
    </row>
    <row r="53" spans="2:5" ht="12.75">
      <c r="B53" s="22"/>
      <c r="C53" s="22"/>
      <c r="D53" s="22"/>
      <c r="E53" s="22"/>
    </row>
    <row r="54" spans="1:13" ht="12.75">
      <c r="A54" s="2" t="s">
        <v>89</v>
      </c>
      <c r="B54" s="22">
        <f>+'OP_Proj.'!B113</f>
        <v>291613.28838319983</v>
      </c>
      <c r="C54" s="22">
        <f>+'OP_Proj.'!C113</f>
        <v>322461.7109810646</v>
      </c>
      <c r="D54" s="22">
        <f>+'OP_Proj.'!D113</f>
        <v>328883.12622758123</v>
      </c>
      <c r="E54" s="22">
        <f>+'Op_Alts.'!B107</f>
        <v>283624.1045090602</v>
      </c>
      <c r="F54" s="22">
        <f>+'Op_Alts.'!C107</f>
        <v>313713.74124006496</v>
      </c>
      <c r="G54" s="22">
        <f>+'Op_Alts.'!D107</f>
        <v>319759.8208871693</v>
      </c>
      <c r="H54" s="22">
        <f>+'Op_Alts.'!E107</f>
        <v>272361.98904340493</v>
      </c>
      <c r="I54" s="22">
        <f>+'Op_Alts.'!F107</f>
        <v>301178.6315484156</v>
      </c>
      <c r="J54" s="22">
        <f>+'Op_Alts.'!G107</f>
        <v>305709.34485786094</v>
      </c>
      <c r="K54" s="22">
        <f>+'Op_Alts.'!H107</f>
        <v>260551.341480545</v>
      </c>
      <c r="L54" s="22">
        <f>+'Op_Alts.'!I107</f>
        <v>288449.60462805803</v>
      </c>
      <c r="M54" s="22">
        <f>+'Op_Alts.'!J107</f>
        <v>291609.58447419136</v>
      </c>
    </row>
    <row r="55" spans="1:13" ht="12.75">
      <c r="A55" s="2" t="s">
        <v>183</v>
      </c>
      <c r="B55" s="25">
        <f aca="true" t="shared" si="6" ref="B55:M55">+B54/(13*1000000)</f>
        <v>0.022431791414092295</v>
      </c>
      <c r="C55" s="25">
        <f t="shared" si="6"/>
        <v>0.02480474699854343</v>
      </c>
      <c r="D55" s="25">
        <f t="shared" si="6"/>
        <v>0.02529870201750625</v>
      </c>
      <c r="E55" s="25">
        <f t="shared" si="6"/>
        <v>0.021817238808389247</v>
      </c>
      <c r="F55" s="25">
        <f t="shared" si="6"/>
        <v>0.024131826249235766</v>
      </c>
      <c r="G55" s="25">
        <f t="shared" si="6"/>
        <v>0.024596909299013023</v>
      </c>
      <c r="H55" s="25">
        <f t="shared" si="6"/>
        <v>0.02095092223410807</v>
      </c>
      <c r="I55" s="25">
        <f t="shared" si="6"/>
        <v>0.023167587042185814</v>
      </c>
      <c r="J55" s="25">
        <f t="shared" si="6"/>
        <v>0.02351610345060469</v>
      </c>
      <c r="K55" s="25">
        <f t="shared" si="6"/>
        <v>0.020042410883118845</v>
      </c>
      <c r="L55" s="25">
        <f t="shared" si="6"/>
        <v>0.022188431125235233</v>
      </c>
      <c r="M55" s="25">
        <f t="shared" si="6"/>
        <v>0.02243150649801472</v>
      </c>
    </row>
    <row r="57" ht="12.75">
      <c r="A57" s="1" t="s">
        <v>216</v>
      </c>
    </row>
    <row r="58" spans="1:12" ht="12.75">
      <c r="A58" s="1"/>
      <c r="C58" s="3" t="s">
        <v>170</v>
      </c>
      <c r="F58" s="3" t="s">
        <v>121</v>
      </c>
      <c r="G58" s="3"/>
      <c r="H58" s="3"/>
      <c r="I58" s="3" t="s">
        <v>122</v>
      </c>
      <c r="J58" s="3"/>
      <c r="K58" s="3"/>
      <c r="L58" s="3" t="s">
        <v>123</v>
      </c>
    </row>
    <row r="59" spans="1:12" ht="12.75">
      <c r="A59" s="1"/>
      <c r="C59" s="3" t="s">
        <v>59</v>
      </c>
      <c r="F59" s="3" t="s">
        <v>59</v>
      </c>
      <c r="I59" s="3" t="s">
        <v>59</v>
      </c>
      <c r="L59" s="3" t="s">
        <v>59</v>
      </c>
    </row>
    <row r="60" spans="2:13" ht="12.75">
      <c r="B60" s="3">
        <v>2000</v>
      </c>
      <c r="C60" s="3">
        <v>2005</v>
      </c>
      <c r="D60" s="3">
        <v>2010</v>
      </c>
      <c r="E60" s="3">
        <v>2000</v>
      </c>
      <c r="F60" s="3">
        <v>2005</v>
      </c>
      <c r="G60" s="3">
        <v>2010</v>
      </c>
      <c r="H60" s="3">
        <v>2000</v>
      </c>
      <c r="I60" s="3">
        <v>2005</v>
      </c>
      <c r="J60" s="3">
        <v>2010</v>
      </c>
      <c r="K60" s="3">
        <v>2000</v>
      </c>
      <c r="L60" s="3">
        <v>2005</v>
      </c>
      <c r="M60" s="3">
        <v>2010</v>
      </c>
    </row>
    <row r="61" spans="1:13" ht="12.75">
      <c r="A61" s="16" t="s">
        <v>221</v>
      </c>
      <c r="B61" s="5">
        <f>+'OP_Proj.'!B123</f>
        <v>3709.9999999999995</v>
      </c>
      <c r="C61" s="5">
        <f>+'OP_Proj.'!C123</f>
        <v>18549.999999999996</v>
      </c>
      <c r="D61" s="5">
        <f>+'OP_Proj.'!D123</f>
        <v>18549.999999999996</v>
      </c>
      <c r="E61" s="5">
        <f>+'Op_Alts.'!B117</f>
        <v>2204.9999999999995</v>
      </c>
      <c r="F61" s="5">
        <f>+'Op_Alts.'!C117</f>
        <v>11024.999999999998</v>
      </c>
      <c r="G61" s="5">
        <f>+'Op_Alts.'!D117</f>
        <v>11024.999999999998</v>
      </c>
      <c r="H61" s="5">
        <f>+'Op_Alts.'!E117</f>
        <v>2379.9999999999995</v>
      </c>
      <c r="I61" s="5">
        <f>+'Op_Alts.'!F117</f>
        <v>11899.999999999998</v>
      </c>
      <c r="J61" s="5">
        <f>+'Op_Alts.'!G117</f>
        <v>11899.999999999998</v>
      </c>
      <c r="K61" s="5">
        <f>+'Op_Alts.'!H117</f>
        <v>2415</v>
      </c>
      <c r="L61" s="5">
        <f>+'Op_Alts.'!I117</f>
        <v>12075</v>
      </c>
      <c r="M61" s="5">
        <f>+'Op_Alts.'!J117</f>
        <v>12075</v>
      </c>
    </row>
    <row r="62" spans="1:13" ht="12.75">
      <c r="A62" s="2" t="s">
        <v>222</v>
      </c>
      <c r="B62" s="39">
        <f aca="true" t="shared" si="7" ref="B62:M62">+B61/1000000</f>
        <v>0.0037099999999999998</v>
      </c>
      <c r="C62" s="39">
        <f t="shared" si="7"/>
        <v>0.018549999999999997</v>
      </c>
      <c r="D62" s="39">
        <f t="shared" si="7"/>
        <v>0.018549999999999997</v>
      </c>
      <c r="E62" s="39">
        <f t="shared" si="7"/>
        <v>0.0022049999999999995</v>
      </c>
      <c r="F62" s="39">
        <f t="shared" si="7"/>
        <v>0.011024999999999998</v>
      </c>
      <c r="G62" s="39">
        <f t="shared" si="7"/>
        <v>0.011024999999999998</v>
      </c>
      <c r="H62" s="39">
        <f t="shared" si="7"/>
        <v>0.0023799999999999997</v>
      </c>
      <c r="I62" s="39">
        <f t="shared" si="7"/>
        <v>0.011899999999999997</v>
      </c>
      <c r="J62" s="39">
        <f t="shared" si="7"/>
        <v>0.011899999999999997</v>
      </c>
      <c r="K62" s="39">
        <f t="shared" si="7"/>
        <v>0.002415</v>
      </c>
      <c r="L62" s="39">
        <f t="shared" si="7"/>
        <v>0.012075</v>
      </c>
      <c r="M62" s="39">
        <f t="shared" si="7"/>
        <v>0.012075</v>
      </c>
    </row>
    <row r="63" spans="2:4" ht="12.75">
      <c r="B63" s="5"/>
      <c r="C63" s="5"/>
      <c r="D63" s="5"/>
    </row>
    <row r="64" spans="1:13" ht="12.75">
      <c r="A64" s="2" t="s">
        <v>223</v>
      </c>
      <c r="B64" s="5">
        <f>+'OP_Proj.'!B124</f>
        <v>5040000</v>
      </c>
      <c r="C64" s="5">
        <f>+'OP_Proj.'!C124</f>
        <v>25200000</v>
      </c>
      <c r="D64" s="5">
        <f>+'OP_Proj.'!D124</f>
        <v>25200000</v>
      </c>
      <c r="E64" s="5">
        <f>+'Op_Alts.'!B118</f>
        <v>2976000</v>
      </c>
      <c r="F64" s="5">
        <f>+'Op_Alts.'!C118</f>
        <v>14880000</v>
      </c>
      <c r="G64" s="5">
        <f>+'Op_Alts.'!D118</f>
        <v>14880000</v>
      </c>
      <c r="H64" s="5">
        <f>+'Op_Alts.'!E118</f>
        <v>4080000</v>
      </c>
      <c r="I64" s="5">
        <f>+'Op_Alts.'!F118</f>
        <v>20400000</v>
      </c>
      <c r="J64" s="5">
        <f>+'Op_Alts.'!G118</f>
        <v>20400000</v>
      </c>
      <c r="K64" s="5">
        <f>+'Op_Alts.'!H118</f>
        <v>3264000</v>
      </c>
      <c r="L64" s="5">
        <f>+'Op_Alts.'!I118</f>
        <v>16320000</v>
      </c>
      <c r="M64" s="5">
        <f>+'Op_Alts.'!J118</f>
        <v>16320000</v>
      </c>
    </row>
    <row r="65" spans="1:13" ht="12.75">
      <c r="A65" s="2" t="s">
        <v>224</v>
      </c>
      <c r="B65" s="38">
        <f aca="true" t="shared" si="8" ref="B65:M65">+B64/(13*1000000)</f>
        <v>0.38769230769230767</v>
      </c>
      <c r="C65" s="38">
        <f t="shared" si="8"/>
        <v>1.9384615384615385</v>
      </c>
      <c r="D65" s="38">
        <f t="shared" si="8"/>
        <v>1.9384615384615385</v>
      </c>
      <c r="E65" s="38">
        <f t="shared" si="8"/>
        <v>0.22892307692307692</v>
      </c>
      <c r="F65" s="38">
        <f t="shared" si="8"/>
        <v>1.1446153846153846</v>
      </c>
      <c r="G65" s="38">
        <f t="shared" si="8"/>
        <v>1.1446153846153846</v>
      </c>
      <c r="H65" s="38">
        <f t="shared" si="8"/>
        <v>0.31384615384615383</v>
      </c>
      <c r="I65" s="38">
        <f t="shared" si="8"/>
        <v>1.5692307692307692</v>
      </c>
      <c r="J65" s="38">
        <f t="shared" si="8"/>
        <v>1.5692307692307692</v>
      </c>
      <c r="K65" s="38">
        <f t="shared" si="8"/>
        <v>0.2510769230769231</v>
      </c>
      <c r="L65" s="38">
        <f t="shared" si="8"/>
        <v>1.2553846153846153</v>
      </c>
      <c r="M65" s="38">
        <f t="shared" si="8"/>
        <v>1.2553846153846153</v>
      </c>
    </row>
    <row r="66" spans="2:4" ht="12.75">
      <c r="B66" s="5"/>
      <c r="C66" s="5"/>
      <c r="D66" s="5"/>
    </row>
    <row r="67" spans="1:13" ht="12.75">
      <c r="A67" s="2" t="s">
        <v>225</v>
      </c>
      <c r="B67" s="5">
        <f>+'OP_Proj.'!B125</f>
        <v>673100</v>
      </c>
      <c r="C67" s="5">
        <f>+'OP_Proj.'!C125</f>
        <v>3365500</v>
      </c>
      <c r="D67" s="5">
        <f>+'OP_Proj.'!D125</f>
        <v>3365500</v>
      </c>
      <c r="E67" s="5">
        <f>+'Op_Alts.'!B119</f>
        <v>400050</v>
      </c>
      <c r="F67" s="5">
        <f>+'Op_Alts.'!C119</f>
        <v>2000250</v>
      </c>
      <c r="G67" s="5">
        <f>+'Op_Alts.'!D119</f>
        <v>2000250</v>
      </c>
      <c r="H67" s="5">
        <f>+'Op_Alts.'!E119</f>
        <v>539750</v>
      </c>
      <c r="I67" s="5">
        <f>+'Op_Alts.'!F119</f>
        <v>2698750</v>
      </c>
      <c r="J67" s="5">
        <f>+'Op_Alts.'!G119</f>
        <v>2698750</v>
      </c>
      <c r="K67" s="5">
        <f>+'Op_Alts.'!H119</f>
        <v>438150</v>
      </c>
      <c r="L67" s="5">
        <f>+'Op_Alts.'!I119</f>
        <v>2190750</v>
      </c>
      <c r="M67" s="5">
        <f>+'Op_Alts.'!J119</f>
        <v>2190750</v>
      </c>
    </row>
    <row r="68" spans="2:4" ht="12.75">
      <c r="B68" s="5"/>
      <c r="C68" s="5"/>
      <c r="D68" s="5"/>
    </row>
    <row r="69" ht="12.75">
      <c r="A69" s="2" t="s">
        <v>176</v>
      </c>
    </row>
    <row r="70" ht="12.75">
      <c r="A70" s="2" t="s">
        <v>179</v>
      </c>
    </row>
    <row r="71" ht="12.75">
      <c r="A71" s="2" t="s">
        <v>181</v>
      </c>
    </row>
    <row r="72" ht="12.75">
      <c r="A72" s="2" t="s">
        <v>180</v>
      </c>
    </row>
    <row r="73" ht="12.75">
      <c r="A73" s="2" t="s">
        <v>182</v>
      </c>
    </row>
    <row r="75" ht="15">
      <c r="A75" s="14" t="s">
        <v>155</v>
      </c>
    </row>
    <row r="76" ht="12.75">
      <c r="A76" s="1"/>
    </row>
    <row r="77" ht="12.75">
      <c r="A77" s="1" t="s">
        <v>220</v>
      </c>
    </row>
    <row r="78" spans="2:5" ht="12.75">
      <c r="B78" s="3" t="s">
        <v>170</v>
      </c>
      <c r="C78" s="3" t="s">
        <v>121</v>
      </c>
      <c r="D78" s="3" t="s">
        <v>122</v>
      </c>
      <c r="E78" s="3" t="s">
        <v>123</v>
      </c>
    </row>
    <row r="79" ht="12.75">
      <c r="A79" s="1" t="s">
        <v>95</v>
      </c>
    </row>
    <row r="80" ht="12.75">
      <c r="A80" s="1"/>
    </row>
    <row r="81" spans="1:5" ht="12.75">
      <c r="A81" s="2" t="s">
        <v>91</v>
      </c>
      <c r="B81" s="22">
        <f>+'OP_Proj.'!B157</f>
        <v>5082.244543650794</v>
      </c>
      <c r="C81" s="13">
        <f>+'Op_Alts.'!B152</f>
        <v>4788.035714285715</v>
      </c>
      <c r="D81" s="13">
        <f>+'Op_Alts.'!C152</f>
        <v>4737.03125</v>
      </c>
      <c r="E81" s="13">
        <f>+'Op_Alts.'!D152</f>
        <v>3938.3606150793657</v>
      </c>
    </row>
    <row r="82" spans="1:5" ht="12.75">
      <c r="A82" s="1"/>
      <c r="B82" s="22"/>
      <c r="C82" s="13"/>
      <c r="D82" s="13"/>
      <c r="E82" s="13"/>
    </row>
    <row r="83" spans="1:5" ht="12.75">
      <c r="A83" s="2" t="s">
        <v>92</v>
      </c>
      <c r="B83" s="22">
        <f>+'OP_Proj.'!B158</f>
        <v>445876.15216659574</v>
      </c>
      <c r="C83" s="13">
        <f>+'Op_Alts.'!B153</f>
        <v>411122.7341978458</v>
      </c>
      <c r="D83" s="13">
        <f>+'Op_Alts.'!C153</f>
        <v>415030.1058053429</v>
      </c>
      <c r="E83" s="13">
        <f>+'Op_Alts.'!D153</f>
        <v>310754.8631040958</v>
      </c>
    </row>
    <row r="84" spans="1:5" ht="12.75">
      <c r="A84" s="2" t="s">
        <v>93</v>
      </c>
      <c r="B84" s="22">
        <f>+'OP_Proj.'!B159</f>
        <v>22745.085811206198</v>
      </c>
      <c r="C84" s="13">
        <f>+'Op_Alts.'!B154</f>
        <v>21150.66376819545</v>
      </c>
      <c r="D84" s="13">
        <f>+'Op_Alts.'!C154</f>
        <v>21182.732792041545</v>
      </c>
      <c r="E84" s="13">
        <f>+'Op_Alts.'!D154</f>
        <v>16545.9729079804</v>
      </c>
    </row>
    <row r="85" spans="1:5" ht="12.75">
      <c r="A85" s="2" t="s">
        <v>96</v>
      </c>
      <c r="B85" s="26">
        <f>+((92800*B83)/(1050*1000000000000))+((72900*B84)/(1050*1000000000000))</f>
        <v>4.0986117787330484E-05</v>
      </c>
      <c r="C85" s="26">
        <f>+((92800*C83)/(1050*1000000000000))+((72900*C84)/(1050*1000000000000))</f>
        <v>3.780387916405861E-05</v>
      </c>
      <c r="D85" s="26">
        <f>+((92800*D83)/(1050*1000000000000))+((72900*D84)/(1050*1000000000000))</f>
        <v>3.815144289454824E-05</v>
      </c>
      <c r="E85" s="26">
        <f>+((92800*E83)/(1050*1000000000000))+((72900*E84)/(1050*1000000000000))</f>
        <v>2.861357402004939E-05</v>
      </c>
    </row>
    <row r="86" spans="1:2" ht="12.75">
      <c r="A86" s="1"/>
      <c r="B86" s="22"/>
    </row>
    <row r="87" spans="1:5" ht="12.75">
      <c r="A87" s="2" t="s">
        <v>94</v>
      </c>
      <c r="B87" s="22">
        <f>+'OP_Proj.'!B160</f>
        <v>14946.528632286245</v>
      </c>
      <c r="C87" s="5">
        <f>+'Op_Alts.'!B155</f>
        <v>13856.225323462715</v>
      </c>
      <c r="D87" s="5">
        <f>+'Op_Alts.'!C155</f>
        <v>13917.192106009066</v>
      </c>
      <c r="E87" s="5">
        <f>+'Op_Alts.'!D155</f>
        <v>10707.429367580364</v>
      </c>
    </row>
    <row r="88" spans="2:5" ht="12.75">
      <c r="B88" s="8"/>
      <c r="C88" s="8"/>
      <c r="D88" s="8"/>
      <c r="E88" s="8"/>
    </row>
    <row r="89" spans="1:5" ht="12.75">
      <c r="A89" s="2" t="s">
        <v>89</v>
      </c>
      <c r="B89" s="22">
        <f>+'OP_Proj.'!B161</f>
        <v>7290.332209579998</v>
      </c>
      <c r="C89" s="5">
        <f>+'Op_Alts.'!B156</f>
        <v>7090.602612726507</v>
      </c>
      <c r="D89" s="5">
        <f>+'Op_Alts.'!C156</f>
        <v>6809.049726085124</v>
      </c>
      <c r="E89" s="5">
        <f>+'Op_Alts.'!D156</f>
        <v>6513.783537013625</v>
      </c>
    </row>
    <row r="90" spans="1:5" ht="12.75">
      <c r="A90" s="2" t="s">
        <v>97</v>
      </c>
      <c r="B90" s="27">
        <f>+B89/(13*1000000)</f>
        <v>0.0005607947853523075</v>
      </c>
      <c r="C90" s="27">
        <f>+C89/(13*1000000)</f>
        <v>0.0005454309702097313</v>
      </c>
      <c r="D90" s="27">
        <f>+D89/(13*1000000)</f>
        <v>0.0005237730558527019</v>
      </c>
      <c r="E90" s="27">
        <f>+E89/(13*1000000)</f>
        <v>0.0005010602720779712</v>
      </c>
    </row>
    <row r="92" ht="12.75">
      <c r="A92" s="1" t="s">
        <v>226</v>
      </c>
    </row>
    <row r="94" spans="1:5" ht="12.75">
      <c r="A94" s="2" t="s">
        <v>159</v>
      </c>
      <c r="B94" s="5">
        <f>+'OP_Proj.'!B173</f>
        <v>33023.80952380953</v>
      </c>
      <c r="C94" s="5">
        <f>+'Op_Alts.'!B169</f>
        <v>33023.80952380953</v>
      </c>
      <c r="D94" s="5">
        <f>+'Op_Alts.'!C169</f>
        <v>33023.80952380953</v>
      </c>
      <c r="E94" s="5">
        <f>+'Op_Alts.'!D169</f>
        <v>33023.80952380953</v>
      </c>
    </row>
    <row r="96" ht="12.75">
      <c r="A96" s="2" t="s">
        <v>98</v>
      </c>
    </row>
    <row r="97" ht="12.75">
      <c r="A97" s="2" t="s">
        <v>157</v>
      </c>
    </row>
    <row r="98" ht="12.75">
      <c r="A98" s="2" t="s">
        <v>99</v>
      </c>
    </row>
    <row r="99" ht="12.75">
      <c r="A99" s="2" t="s">
        <v>158</v>
      </c>
    </row>
    <row r="101" ht="15">
      <c r="A101" s="14" t="s">
        <v>219</v>
      </c>
    </row>
    <row r="103" spans="1:12" ht="12.75">
      <c r="A103" s="1"/>
      <c r="C103" s="3" t="s">
        <v>170</v>
      </c>
      <c r="F103" s="3" t="s">
        <v>121</v>
      </c>
      <c r="G103" s="3"/>
      <c r="H103" s="3"/>
      <c r="I103" s="3" t="s">
        <v>122</v>
      </c>
      <c r="J103" s="3"/>
      <c r="K103" s="3"/>
      <c r="L103" s="3" t="s">
        <v>123</v>
      </c>
    </row>
    <row r="104" spans="3:12" ht="12.75">
      <c r="C104" s="3" t="s">
        <v>59</v>
      </c>
      <c r="F104" s="3" t="s">
        <v>59</v>
      </c>
      <c r="I104" s="3" t="s">
        <v>59</v>
      </c>
      <c r="L104" s="3" t="s">
        <v>59</v>
      </c>
    </row>
    <row r="105" spans="1:13" ht="12.75">
      <c r="A105" s="1" t="s">
        <v>95</v>
      </c>
      <c r="B105" s="3">
        <v>2000</v>
      </c>
      <c r="C105" s="3">
        <v>2005</v>
      </c>
      <c r="D105" s="3">
        <v>2010</v>
      </c>
      <c r="E105" s="3">
        <v>2000</v>
      </c>
      <c r="F105" s="3">
        <v>2005</v>
      </c>
      <c r="G105" s="3">
        <v>2010</v>
      </c>
      <c r="H105" s="3">
        <v>2000</v>
      </c>
      <c r="I105" s="3">
        <v>2005</v>
      </c>
      <c r="J105" s="3">
        <v>2010</v>
      </c>
      <c r="K105" s="3">
        <v>2000</v>
      </c>
      <c r="L105" s="3">
        <v>2005</v>
      </c>
      <c r="M105" s="3">
        <v>2010</v>
      </c>
    </row>
    <row r="106" ht="12.75">
      <c r="A106" s="1"/>
    </row>
    <row r="107" spans="1:13" ht="12.75">
      <c r="A107" s="1" t="s">
        <v>91</v>
      </c>
      <c r="B107" s="22">
        <f>+B46+$B$81</f>
        <v>208372.0262896826</v>
      </c>
      <c r="C107" s="22">
        <f aca="true" t="shared" si="9" ref="C107:M107">+C46+$B$81</f>
        <v>221552.30486112676</v>
      </c>
      <c r="D107" s="22">
        <f t="shared" si="9"/>
        <v>225209.92444641542</v>
      </c>
      <c r="E107" s="22">
        <f t="shared" si="9"/>
        <v>196603.6731150794</v>
      </c>
      <c r="F107" s="22">
        <f t="shared" si="9"/>
        <v>209023.93370953877</v>
      </c>
      <c r="G107" s="22">
        <f t="shared" si="9"/>
        <v>212273.60685345717</v>
      </c>
      <c r="H107" s="22">
        <f t="shared" si="9"/>
        <v>194563.4945436508</v>
      </c>
      <c r="I107" s="22">
        <f t="shared" si="9"/>
        <v>206848.4926292572</v>
      </c>
      <c r="J107" s="22">
        <f t="shared" si="9"/>
        <v>210245.44362414296</v>
      </c>
      <c r="K107" s="22">
        <f t="shared" si="9"/>
        <v>162616.6691468254</v>
      </c>
      <c r="L107" s="22">
        <f t="shared" si="9"/>
        <v>172841.99782375264</v>
      </c>
      <c r="M107" s="22">
        <f t="shared" si="9"/>
        <v>174913.52164499383</v>
      </c>
    </row>
    <row r="108" spans="1:13" ht="12.75">
      <c r="A108" s="2" t="s">
        <v>175</v>
      </c>
      <c r="B108" s="22">
        <f>20000000*0.6</f>
        <v>12000000</v>
      </c>
      <c r="C108" s="22">
        <f aca="true" t="shared" si="10" ref="C108:M108">20000000*0.6</f>
        <v>12000000</v>
      </c>
      <c r="D108" s="22">
        <f t="shared" si="10"/>
        <v>12000000</v>
      </c>
      <c r="E108" s="22">
        <f t="shared" si="10"/>
        <v>12000000</v>
      </c>
      <c r="F108" s="22">
        <f t="shared" si="10"/>
        <v>12000000</v>
      </c>
      <c r="G108" s="22">
        <f t="shared" si="10"/>
        <v>12000000</v>
      </c>
      <c r="H108" s="22">
        <f t="shared" si="10"/>
        <v>12000000</v>
      </c>
      <c r="I108" s="22">
        <f t="shared" si="10"/>
        <v>12000000</v>
      </c>
      <c r="J108" s="22">
        <f t="shared" si="10"/>
        <v>12000000</v>
      </c>
      <c r="K108" s="22">
        <f t="shared" si="10"/>
        <v>12000000</v>
      </c>
      <c r="L108" s="22">
        <f t="shared" si="10"/>
        <v>12000000</v>
      </c>
      <c r="M108" s="22">
        <f t="shared" si="10"/>
        <v>12000000</v>
      </c>
    </row>
    <row r="109" spans="1:13" ht="12.75">
      <c r="A109" s="2" t="s">
        <v>184</v>
      </c>
      <c r="B109" s="28">
        <f>+B107/B108</f>
        <v>0.017364335524140215</v>
      </c>
      <c r="C109" s="28">
        <f aca="true" t="shared" si="11" ref="C109:M109">+C107/C108</f>
        <v>0.018462692071760562</v>
      </c>
      <c r="D109" s="28">
        <f t="shared" si="11"/>
        <v>0.018767493703867953</v>
      </c>
      <c r="E109" s="28">
        <f t="shared" si="11"/>
        <v>0.01638363942625662</v>
      </c>
      <c r="F109" s="28">
        <f t="shared" si="11"/>
        <v>0.017418661142461565</v>
      </c>
      <c r="G109" s="28">
        <f t="shared" si="11"/>
        <v>0.0176894672377881</v>
      </c>
      <c r="H109" s="28">
        <f t="shared" si="11"/>
        <v>0.01621362454530423</v>
      </c>
      <c r="I109" s="28">
        <f t="shared" si="11"/>
        <v>0.017237374385771435</v>
      </c>
      <c r="J109" s="28">
        <f t="shared" si="11"/>
        <v>0.017520453635345247</v>
      </c>
      <c r="K109" s="28">
        <f t="shared" si="11"/>
        <v>0.013551389095568784</v>
      </c>
      <c r="L109" s="28">
        <f t="shared" si="11"/>
        <v>0.014403499818646054</v>
      </c>
      <c r="M109" s="28">
        <f t="shared" si="11"/>
        <v>0.014576126803749485</v>
      </c>
    </row>
    <row r="110" spans="1:13" ht="12.75">
      <c r="A110" s="2" t="s">
        <v>160</v>
      </c>
      <c r="B110" s="8" t="str">
        <f>IF(B109&gt;0.03,"Yes","No")</f>
        <v>No</v>
      </c>
      <c r="C110" s="8" t="str">
        <f aca="true" t="shared" si="12" ref="C110:M110">IF(C109&gt;0.03,"Yes","No")</f>
        <v>No</v>
      </c>
      <c r="D110" s="8" t="str">
        <f t="shared" si="12"/>
        <v>No</v>
      </c>
      <c r="E110" s="8" t="str">
        <f t="shared" si="12"/>
        <v>No</v>
      </c>
      <c r="F110" s="8" t="str">
        <f t="shared" si="12"/>
        <v>No</v>
      </c>
      <c r="G110" s="8" t="str">
        <f t="shared" si="12"/>
        <v>No</v>
      </c>
      <c r="H110" s="8" t="str">
        <f t="shared" si="12"/>
        <v>No</v>
      </c>
      <c r="I110" s="8" t="str">
        <f t="shared" si="12"/>
        <v>No</v>
      </c>
      <c r="J110" s="8" t="str">
        <f t="shared" si="12"/>
        <v>No</v>
      </c>
      <c r="K110" s="8" t="str">
        <f t="shared" si="12"/>
        <v>No</v>
      </c>
      <c r="L110" s="8" t="str">
        <f t="shared" si="12"/>
        <v>No</v>
      </c>
      <c r="M110" s="8" t="str">
        <f t="shared" si="12"/>
        <v>No</v>
      </c>
    </row>
    <row r="112" spans="1:13" ht="12.75">
      <c r="A112" s="1" t="s">
        <v>177</v>
      </c>
      <c r="B112" s="23">
        <f>+B50+B62+$B$85</f>
        <v>0.00539043082928055</v>
      </c>
      <c r="C112" s="23">
        <f aca="true" t="shared" si="13" ref="C112:M112">+C50+C62+$B$85</f>
        <v>0.020337441768245586</v>
      </c>
      <c r="D112" s="23">
        <f t="shared" si="13"/>
        <v>0.020390523623273607</v>
      </c>
      <c r="E112" s="23">
        <f t="shared" si="13"/>
        <v>0.003758141284349674</v>
      </c>
      <c r="F112" s="23">
        <f t="shared" si="13"/>
        <v>0.012676931672741972</v>
      </c>
      <c r="G112" s="23">
        <f t="shared" si="13"/>
        <v>0.01272560107378363</v>
      </c>
      <c r="H112" s="23">
        <f t="shared" si="13"/>
        <v>0.00394704383356926</v>
      </c>
      <c r="I112" s="23">
        <f t="shared" si="13"/>
        <v>0.013565618023480695</v>
      </c>
      <c r="J112" s="23">
        <f t="shared" si="13"/>
        <v>0.01361767767813623</v>
      </c>
      <c r="K112" s="23">
        <f t="shared" si="13"/>
        <v>0.003600529078589306</v>
      </c>
      <c r="L112" s="23">
        <f t="shared" si="13"/>
        <v>0.01333446586386631</v>
      </c>
      <c r="M112" s="23">
        <f t="shared" si="13"/>
        <v>0.01337279395554468</v>
      </c>
    </row>
    <row r="113" spans="1:13" ht="12.75">
      <c r="A113" s="2" t="s">
        <v>178</v>
      </c>
      <c r="B113" s="23">
        <v>0.72</v>
      </c>
      <c r="C113" s="23">
        <v>0.74</v>
      </c>
      <c r="D113" s="23">
        <v>0.78</v>
      </c>
      <c r="E113" s="23">
        <v>0.72</v>
      </c>
      <c r="F113" s="23">
        <v>0.74</v>
      </c>
      <c r="G113" s="23">
        <v>0.78</v>
      </c>
      <c r="H113" s="23">
        <v>0.72</v>
      </c>
      <c r="I113" s="23">
        <v>0.74</v>
      </c>
      <c r="J113" s="23">
        <v>0.78</v>
      </c>
      <c r="K113" s="23">
        <v>0.72</v>
      </c>
      <c r="L113" s="23">
        <v>0.74</v>
      </c>
      <c r="M113" s="23">
        <v>0.78</v>
      </c>
    </row>
    <row r="114" spans="1:13" ht="12.75">
      <c r="A114" s="2" t="s">
        <v>184</v>
      </c>
      <c r="B114" s="28">
        <f aca="true" t="shared" si="14" ref="B114:M114">+B112/B113</f>
        <v>0.007486709485111875</v>
      </c>
      <c r="C114" s="28">
        <f t="shared" si="14"/>
        <v>0.02748302941654809</v>
      </c>
      <c r="D114" s="28">
        <f t="shared" si="14"/>
        <v>0.02614169695291488</v>
      </c>
      <c r="E114" s="28">
        <f t="shared" si="14"/>
        <v>0.005219640672707881</v>
      </c>
      <c r="F114" s="28">
        <f t="shared" si="14"/>
        <v>0.01713098874694861</v>
      </c>
      <c r="G114" s="28">
        <f t="shared" si="14"/>
        <v>0.016314873171517474</v>
      </c>
      <c r="H114" s="28">
        <f t="shared" si="14"/>
        <v>0.005482005324401751</v>
      </c>
      <c r="I114" s="28">
        <f t="shared" si="14"/>
        <v>0.018331916247946885</v>
      </c>
      <c r="J114" s="28">
        <f t="shared" si="14"/>
        <v>0.017458561125815678</v>
      </c>
      <c r="K114" s="28">
        <f t="shared" si="14"/>
        <v>0.005000734831374036</v>
      </c>
      <c r="L114" s="28">
        <f t="shared" si="14"/>
        <v>0.018019548464684204</v>
      </c>
      <c r="M114" s="28">
        <f t="shared" si="14"/>
        <v>0.017144607635313693</v>
      </c>
    </row>
    <row r="115" spans="1:13" ht="12.75">
      <c r="A115" s="2" t="s">
        <v>160</v>
      </c>
      <c r="B115" s="8" t="str">
        <f aca="true" t="shared" si="15" ref="B115:M115">IF(B114&gt;0.03,"Yes","No")</f>
        <v>No</v>
      </c>
      <c r="C115" s="8" t="str">
        <f t="shared" si="15"/>
        <v>No</v>
      </c>
      <c r="D115" s="8" t="str">
        <f t="shared" si="15"/>
        <v>No</v>
      </c>
      <c r="E115" s="8" t="str">
        <f t="shared" si="15"/>
        <v>No</v>
      </c>
      <c r="F115" s="8" t="str">
        <f t="shared" si="15"/>
        <v>No</v>
      </c>
      <c r="G115" s="8" t="str">
        <f t="shared" si="15"/>
        <v>No</v>
      </c>
      <c r="H115" s="8" t="str">
        <f t="shared" si="15"/>
        <v>No</v>
      </c>
      <c r="I115" s="8" t="str">
        <f t="shared" si="15"/>
        <v>No</v>
      </c>
      <c r="J115" s="8" t="str">
        <f t="shared" si="15"/>
        <v>No</v>
      </c>
      <c r="K115" s="8" t="str">
        <f t="shared" si="15"/>
        <v>No</v>
      </c>
      <c r="L115" s="8" t="str">
        <f t="shared" si="15"/>
        <v>No</v>
      </c>
      <c r="M115" s="8" t="str">
        <f t="shared" si="15"/>
        <v>No</v>
      </c>
    </row>
    <row r="117" spans="1:13" ht="12.75">
      <c r="A117" s="1" t="s">
        <v>94</v>
      </c>
      <c r="B117" s="13">
        <f>+B52+$B$87</f>
        <v>612807.6739237361</v>
      </c>
      <c r="C117" s="13">
        <f aca="true" t="shared" si="16" ref="C117:M117">+C52+$B$87</f>
        <v>651460.1525802487</v>
      </c>
      <c r="D117" s="13">
        <f t="shared" si="16"/>
        <v>669441.062771785</v>
      </c>
      <c r="E117" s="13">
        <f t="shared" si="16"/>
        <v>569195.5415707949</v>
      </c>
      <c r="F117" s="13">
        <f t="shared" si="16"/>
        <v>605031.4830184813</v>
      </c>
      <c r="G117" s="13">
        <f t="shared" si="16"/>
        <v>621500.5916919985</v>
      </c>
      <c r="H117" s="13">
        <f t="shared" si="16"/>
        <v>571634.212872649</v>
      </c>
      <c r="I117" s="13">
        <f t="shared" si="16"/>
        <v>607624.8102461777</v>
      </c>
      <c r="J117" s="13">
        <f t="shared" si="16"/>
        <v>625209.9904697645</v>
      </c>
      <c r="K117" s="13">
        <f t="shared" si="16"/>
        <v>443243.7033355008</v>
      </c>
      <c r="L117" s="13">
        <f t="shared" si="16"/>
        <v>470945.48532409745</v>
      </c>
      <c r="M117" s="13">
        <f t="shared" si="16"/>
        <v>483048.51121357566</v>
      </c>
    </row>
    <row r="118" spans="1:13" ht="12.75">
      <c r="A118" s="2" t="s">
        <v>175</v>
      </c>
      <c r="B118" s="22">
        <f>65000000*0.6</f>
        <v>39000000</v>
      </c>
      <c r="C118" s="22">
        <f aca="true" t="shared" si="17" ref="C118:M118">65000000*0.6</f>
        <v>39000000</v>
      </c>
      <c r="D118" s="22">
        <f t="shared" si="17"/>
        <v>39000000</v>
      </c>
      <c r="E118" s="22">
        <f t="shared" si="17"/>
        <v>39000000</v>
      </c>
      <c r="F118" s="22">
        <f t="shared" si="17"/>
        <v>39000000</v>
      </c>
      <c r="G118" s="22">
        <f t="shared" si="17"/>
        <v>39000000</v>
      </c>
      <c r="H118" s="22">
        <f t="shared" si="17"/>
        <v>39000000</v>
      </c>
      <c r="I118" s="22">
        <f t="shared" si="17"/>
        <v>39000000</v>
      </c>
      <c r="J118" s="22">
        <f t="shared" si="17"/>
        <v>39000000</v>
      </c>
      <c r="K118" s="22">
        <f t="shared" si="17"/>
        <v>39000000</v>
      </c>
      <c r="L118" s="22">
        <f t="shared" si="17"/>
        <v>39000000</v>
      </c>
      <c r="M118" s="22">
        <f t="shared" si="17"/>
        <v>39000000</v>
      </c>
    </row>
    <row r="119" spans="1:13" ht="12.75">
      <c r="A119" s="2" t="s">
        <v>184</v>
      </c>
      <c r="B119" s="28">
        <f aca="true" t="shared" si="18" ref="B119:M119">+B117/B118</f>
        <v>0.015713017280095797</v>
      </c>
      <c r="C119" s="28">
        <f t="shared" si="18"/>
        <v>0.01670410647641663</v>
      </c>
      <c r="D119" s="28">
        <f t="shared" si="18"/>
        <v>0.017165155455686795</v>
      </c>
      <c r="E119" s="28">
        <f t="shared" si="18"/>
        <v>0.014594757476174228</v>
      </c>
      <c r="F119" s="28">
        <f t="shared" si="18"/>
        <v>0.01551362776970465</v>
      </c>
      <c r="G119" s="28">
        <f t="shared" si="18"/>
        <v>0.01593591260748714</v>
      </c>
      <c r="H119" s="28">
        <f t="shared" si="18"/>
        <v>0.014657287509555101</v>
      </c>
      <c r="I119" s="28">
        <f t="shared" si="18"/>
        <v>0.015580123339645582</v>
      </c>
      <c r="J119" s="28">
        <f t="shared" si="18"/>
        <v>0.016031025396660625</v>
      </c>
      <c r="K119" s="28">
        <f t="shared" si="18"/>
        <v>0.011365223162448737</v>
      </c>
      <c r="L119" s="28">
        <f t="shared" si="18"/>
        <v>0.012075525264720447</v>
      </c>
      <c r="M119" s="28">
        <f t="shared" si="18"/>
        <v>0.012385859261886555</v>
      </c>
    </row>
    <row r="120" spans="1:13" ht="12.75">
      <c r="A120" s="2" t="s">
        <v>160</v>
      </c>
      <c r="B120" s="8" t="str">
        <f aca="true" t="shared" si="19" ref="B120:M120">IF(B119&gt;0.03,"Yes","No")</f>
        <v>No</v>
      </c>
      <c r="C120" s="8" t="str">
        <f t="shared" si="19"/>
        <v>No</v>
      </c>
      <c r="D120" s="8" t="str">
        <f t="shared" si="19"/>
        <v>No</v>
      </c>
      <c r="E120" s="8" t="str">
        <f t="shared" si="19"/>
        <v>No</v>
      </c>
      <c r="F120" s="8" t="str">
        <f t="shared" si="19"/>
        <v>No</v>
      </c>
      <c r="G120" s="8" t="str">
        <f t="shared" si="19"/>
        <v>No</v>
      </c>
      <c r="H120" s="8" t="str">
        <f t="shared" si="19"/>
        <v>No</v>
      </c>
      <c r="I120" s="8" t="str">
        <f t="shared" si="19"/>
        <v>No</v>
      </c>
      <c r="J120" s="8" t="str">
        <f t="shared" si="19"/>
        <v>No</v>
      </c>
      <c r="K120" s="8" t="str">
        <f t="shared" si="19"/>
        <v>No</v>
      </c>
      <c r="L120" s="8" t="str">
        <f t="shared" si="19"/>
        <v>No</v>
      </c>
      <c r="M120" s="8" t="str">
        <f t="shared" si="19"/>
        <v>No</v>
      </c>
    </row>
    <row r="122" spans="1:13" ht="12.75">
      <c r="A122" s="1" t="s">
        <v>183</v>
      </c>
      <c r="B122" s="40">
        <f>+B55+B65+$B$90</f>
        <v>0.4106848938917523</v>
      </c>
      <c r="C122" s="40">
        <f aca="true" t="shared" si="20" ref="C122:M122">+C55+C65+$B$90</f>
        <v>1.9638270802454343</v>
      </c>
      <c r="D122" s="40">
        <f t="shared" si="20"/>
        <v>1.964321035264397</v>
      </c>
      <c r="E122" s="40">
        <f t="shared" si="20"/>
        <v>0.25130111051681847</v>
      </c>
      <c r="F122" s="40">
        <f t="shared" si="20"/>
        <v>1.1693080056499727</v>
      </c>
      <c r="G122" s="40">
        <f t="shared" si="20"/>
        <v>1.16977308869975</v>
      </c>
      <c r="H122" s="40">
        <f t="shared" si="20"/>
        <v>0.3353578708656142</v>
      </c>
      <c r="I122" s="40">
        <f t="shared" si="20"/>
        <v>1.5929591510583074</v>
      </c>
      <c r="J122" s="40">
        <f t="shared" si="20"/>
        <v>1.5933076674667261</v>
      </c>
      <c r="K122" s="40">
        <f t="shared" si="20"/>
        <v>0.27168012874539427</v>
      </c>
      <c r="L122" s="40">
        <f t="shared" si="20"/>
        <v>1.2781338412952028</v>
      </c>
      <c r="M122" s="40">
        <f t="shared" si="20"/>
        <v>1.2783769166679824</v>
      </c>
    </row>
    <row r="123" spans="1:13" ht="12.75">
      <c r="A123" s="2" t="s">
        <v>173</v>
      </c>
      <c r="B123" s="22">
        <v>8115</v>
      </c>
      <c r="C123" s="22">
        <v>6694</v>
      </c>
      <c r="D123" s="22">
        <v>4664</v>
      </c>
      <c r="E123" s="22">
        <v>8115</v>
      </c>
      <c r="F123" s="22">
        <v>6694</v>
      </c>
      <c r="G123" s="22">
        <v>4664</v>
      </c>
      <c r="H123" s="22">
        <v>8115</v>
      </c>
      <c r="I123" s="22">
        <v>6694</v>
      </c>
      <c r="J123" s="22">
        <v>4664</v>
      </c>
      <c r="K123" s="22">
        <v>8115</v>
      </c>
      <c r="L123" s="22">
        <v>6694</v>
      </c>
      <c r="M123" s="22">
        <v>4664</v>
      </c>
    </row>
    <row r="124" spans="1:13" ht="12.75">
      <c r="A124" s="2" t="s">
        <v>184</v>
      </c>
      <c r="B124" s="30">
        <f>+B122/B123</f>
        <v>5.06081200113065E-05</v>
      </c>
      <c r="C124" s="30">
        <f aca="true" t="shared" si="21" ref="C124:M124">+C122/C123</f>
        <v>0.00029337123995300783</v>
      </c>
      <c r="D124" s="30">
        <f t="shared" si="21"/>
        <v>0.0004211666027582326</v>
      </c>
      <c r="E124" s="30">
        <f t="shared" si="21"/>
        <v>3.096748127132699E-05</v>
      </c>
      <c r="F124" s="30">
        <f t="shared" si="21"/>
        <v>0.00017468001279503627</v>
      </c>
      <c r="G124" s="30">
        <f t="shared" si="21"/>
        <v>0.00025080898128210764</v>
      </c>
      <c r="H124" s="30">
        <f t="shared" si="21"/>
        <v>4.1325677247765154E-05</v>
      </c>
      <c r="I124" s="30">
        <f t="shared" si="21"/>
        <v>0.00023796820302633814</v>
      </c>
      <c r="J124" s="30">
        <f t="shared" si="21"/>
        <v>0.0003416182820468967</v>
      </c>
      <c r="K124" s="30">
        <f t="shared" si="21"/>
        <v>3.3478758933505145E-05</v>
      </c>
      <c r="L124" s="30">
        <f t="shared" si="21"/>
        <v>0.00019093723353677961</v>
      </c>
      <c r="M124" s="30">
        <f t="shared" si="21"/>
        <v>0.0002740945361638041</v>
      </c>
    </row>
    <row r="125" spans="1:13" ht="12.75">
      <c r="A125" s="2" t="s">
        <v>160</v>
      </c>
      <c r="B125" s="8" t="str">
        <f aca="true" t="shared" si="22" ref="B125:M125">IF(B124&gt;0.03,"Yes","No")</f>
        <v>No</v>
      </c>
      <c r="C125" s="8" t="str">
        <f t="shared" si="22"/>
        <v>No</v>
      </c>
      <c r="D125" s="8" t="str">
        <f t="shared" si="22"/>
        <v>No</v>
      </c>
      <c r="E125" s="8" t="str">
        <f t="shared" si="22"/>
        <v>No</v>
      </c>
      <c r="F125" s="8" t="str">
        <f t="shared" si="22"/>
        <v>No</v>
      </c>
      <c r="G125" s="8" t="str">
        <f t="shared" si="22"/>
        <v>No</v>
      </c>
      <c r="H125" s="8" t="str">
        <f t="shared" si="22"/>
        <v>No</v>
      </c>
      <c r="I125" s="8" t="str">
        <f t="shared" si="22"/>
        <v>No</v>
      </c>
      <c r="J125" s="8" t="str">
        <f t="shared" si="22"/>
        <v>No</v>
      </c>
      <c r="K125" s="8" t="str">
        <f t="shared" si="22"/>
        <v>No</v>
      </c>
      <c r="L125" s="8" t="str">
        <f t="shared" si="22"/>
        <v>No</v>
      </c>
      <c r="M125" s="8" t="str">
        <f t="shared" si="22"/>
        <v>No</v>
      </c>
    </row>
    <row r="127" spans="1:13" ht="12.75">
      <c r="A127" s="1" t="s">
        <v>159</v>
      </c>
      <c r="B127" s="5">
        <f>+$B$94</f>
        <v>33023.80952380953</v>
      </c>
      <c r="C127" s="5">
        <f>+$B$94</f>
        <v>33023.80952380953</v>
      </c>
      <c r="D127" s="5">
        <f>+$B$94</f>
        <v>33023.80952380953</v>
      </c>
      <c r="E127" s="5">
        <f>+$C$94</f>
        <v>33023.80952380953</v>
      </c>
      <c r="F127" s="5">
        <f>+$C$94</f>
        <v>33023.80952380953</v>
      </c>
      <c r="G127" s="5">
        <f>+$C$94</f>
        <v>33023.80952380953</v>
      </c>
      <c r="H127" s="5">
        <f>+$D$94</f>
        <v>33023.80952380953</v>
      </c>
      <c r="I127" s="5">
        <f>+$D$94</f>
        <v>33023.80952380953</v>
      </c>
      <c r="J127" s="5">
        <f>+$D$94</f>
        <v>33023.80952380953</v>
      </c>
      <c r="K127" s="5">
        <f>+$E$94</f>
        <v>33023.80952380953</v>
      </c>
      <c r="L127" s="5">
        <f>+$E$94</f>
        <v>33023.80952380953</v>
      </c>
      <c r="M127" s="5">
        <f>+$E$94</f>
        <v>33023.80952380953</v>
      </c>
    </row>
    <row r="128" spans="1:13" ht="12.75">
      <c r="A128" s="2" t="s">
        <v>174</v>
      </c>
      <c r="B128" s="5">
        <v>6469000000</v>
      </c>
      <c r="C128" s="5">
        <v>6469000000</v>
      </c>
      <c r="D128" s="5">
        <v>6469000000</v>
      </c>
      <c r="E128" s="5">
        <v>6469000000</v>
      </c>
      <c r="F128" s="5">
        <v>6469000000</v>
      </c>
      <c r="G128" s="5">
        <v>6469000000</v>
      </c>
      <c r="H128" s="5">
        <v>6469000000</v>
      </c>
      <c r="I128" s="5">
        <v>6469000000</v>
      </c>
      <c r="J128" s="5">
        <v>6469000000</v>
      </c>
      <c r="K128" s="5">
        <v>6469000000</v>
      </c>
      <c r="L128" s="5">
        <v>6469000000</v>
      </c>
      <c r="M128" s="5">
        <v>6469000000</v>
      </c>
    </row>
    <row r="129" spans="1:13" ht="12.75">
      <c r="A129" s="2" t="s">
        <v>184</v>
      </c>
      <c r="B129" s="29">
        <f>+B127/B128</f>
        <v>5.10493268261084E-06</v>
      </c>
      <c r="C129" s="29">
        <f aca="true" t="shared" si="23" ref="C129:M129">+C127/C128</f>
        <v>5.10493268261084E-06</v>
      </c>
      <c r="D129" s="29">
        <f t="shared" si="23"/>
        <v>5.10493268261084E-06</v>
      </c>
      <c r="E129" s="29">
        <f t="shared" si="23"/>
        <v>5.10493268261084E-06</v>
      </c>
      <c r="F129" s="29">
        <f t="shared" si="23"/>
        <v>5.10493268261084E-06</v>
      </c>
      <c r="G129" s="29">
        <f t="shared" si="23"/>
        <v>5.10493268261084E-06</v>
      </c>
      <c r="H129" s="29">
        <f t="shared" si="23"/>
        <v>5.10493268261084E-06</v>
      </c>
      <c r="I129" s="29">
        <f t="shared" si="23"/>
        <v>5.10493268261084E-06</v>
      </c>
      <c r="J129" s="29">
        <f t="shared" si="23"/>
        <v>5.10493268261084E-06</v>
      </c>
      <c r="K129" s="29">
        <f t="shared" si="23"/>
        <v>5.10493268261084E-06</v>
      </c>
      <c r="L129" s="29">
        <f t="shared" si="23"/>
        <v>5.10493268261084E-06</v>
      </c>
      <c r="M129" s="29">
        <f t="shared" si="23"/>
        <v>5.10493268261084E-06</v>
      </c>
    </row>
    <row r="130" spans="1:13" ht="12.75">
      <c r="A130" s="2" t="s">
        <v>160</v>
      </c>
      <c r="B130" s="8" t="str">
        <f aca="true" t="shared" si="24" ref="B130:M130">IF(B129&gt;0.03,"Yes","No")</f>
        <v>No</v>
      </c>
      <c r="C130" s="8" t="str">
        <f t="shared" si="24"/>
        <v>No</v>
      </c>
      <c r="D130" s="8" t="str">
        <f t="shared" si="24"/>
        <v>No</v>
      </c>
      <c r="E130" s="8" t="str">
        <f t="shared" si="24"/>
        <v>No</v>
      </c>
      <c r="F130" s="8" t="str">
        <f t="shared" si="24"/>
        <v>No</v>
      </c>
      <c r="G130" s="8" t="str">
        <f t="shared" si="24"/>
        <v>No</v>
      </c>
      <c r="H130" s="8" t="str">
        <f t="shared" si="24"/>
        <v>No</v>
      </c>
      <c r="I130" s="8" t="str">
        <f t="shared" si="24"/>
        <v>No</v>
      </c>
      <c r="J130" s="8" t="str">
        <f t="shared" si="24"/>
        <v>No</v>
      </c>
      <c r="K130" s="8" t="str">
        <f t="shared" si="24"/>
        <v>No</v>
      </c>
      <c r="L130" s="8" t="str">
        <f t="shared" si="24"/>
        <v>No</v>
      </c>
      <c r="M130" s="8" t="str">
        <f t="shared" si="24"/>
        <v>No</v>
      </c>
    </row>
    <row r="132" spans="1:13" ht="12.75">
      <c r="A132" s="1" t="s">
        <v>243</v>
      </c>
      <c r="B132" s="13">
        <f>+B67</f>
        <v>673100</v>
      </c>
      <c r="C132" s="13">
        <f aca="true" t="shared" si="25" ref="C132:M132">+C67</f>
        <v>3365500</v>
      </c>
      <c r="D132" s="13">
        <f t="shared" si="25"/>
        <v>3365500</v>
      </c>
      <c r="E132" s="13">
        <f t="shared" si="25"/>
        <v>400050</v>
      </c>
      <c r="F132" s="13">
        <f t="shared" si="25"/>
        <v>2000250</v>
      </c>
      <c r="G132" s="13">
        <f t="shared" si="25"/>
        <v>2000250</v>
      </c>
      <c r="H132" s="13">
        <f t="shared" si="25"/>
        <v>539750</v>
      </c>
      <c r="I132" s="13">
        <f t="shared" si="25"/>
        <v>2698750</v>
      </c>
      <c r="J132" s="13">
        <f t="shared" si="25"/>
        <v>2698750</v>
      </c>
      <c r="K132" s="13">
        <f t="shared" si="25"/>
        <v>438150</v>
      </c>
      <c r="L132" s="13">
        <f t="shared" si="25"/>
        <v>2190750</v>
      </c>
      <c r="M132" s="13">
        <f t="shared" si="25"/>
        <v>2190750</v>
      </c>
    </row>
    <row r="133" spans="1:13" ht="12.75">
      <c r="A133" s="2" t="s">
        <v>174</v>
      </c>
      <c r="B133" s="5">
        <v>1086000000</v>
      </c>
      <c r="C133" s="5">
        <v>1086000000</v>
      </c>
      <c r="D133" s="5">
        <v>1086000000</v>
      </c>
      <c r="E133" s="5">
        <v>1086000000</v>
      </c>
      <c r="F133" s="5">
        <v>1086000000</v>
      </c>
      <c r="G133" s="5">
        <v>1086000000</v>
      </c>
      <c r="H133" s="5">
        <v>1086000000</v>
      </c>
      <c r="I133" s="5">
        <v>1086000000</v>
      </c>
      <c r="J133" s="5">
        <v>1086000000</v>
      </c>
      <c r="K133" s="5">
        <v>1086000000</v>
      </c>
      <c r="L133" s="5">
        <v>1086000000</v>
      </c>
      <c r="M133" s="5">
        <v>1086000000</v>
      </c>
    </row>
    <row r="134" spans="1:13" ht="12.75">
      <c r="A134" s="2" t="s">
        <v>184</v>
      </c>
      <c r="B134" s="31">
        <f>+B132/B133</f>
        <v>0.0006197974217311234</v>
      </c>
      <c r="C134" s="31">
        <f aca="true" t="shared" si="26" ref="C134:M134">+C132/C133</f>
        <v>0.003098987108655617</v>
      </c>
      <c r="D134" s="31">
        <f t="shared" si="26"/>
        <v>0.003098987108655617</v>
      </c>
      <c r="E134" s="31">
        <f t="shared" si="26"/>
        <v>0.00036837016574585636</v>
      </c>
      <c r="F134" s="31">
        <f t="shared" si="26"/>
        <v>0.0018418508287292817</v>
      </c>
      <c r="G134" s="31">
        <f t="shared" si="26"/>
        <v>0.0018418508287292817</v>
      </c>
      <c r="H134" s="31">
        <f t="shared" si="26"/>
        <v>0.0004970073664825047</v>
      </c>
      <c r="I134" s="31">
        <f t="shared" si="26"/>
        <v>0.002485036832412523</v>
      </c>
      <c r="J134" s="31">
        <f t="shared" si="26"/>
        <v>0.002485036832412523</v>
      </c>
      <c r="K134" s="31">
        <f t="shared" si="26"/>
        <v>0.0004034530386740332</v>
      </c>
      <c r="L134" s="31">
        <f t="shared" si="26"/>
        <v>0.0020172651933701657</v>
      </c>
      <c r="M134" s="31">
        <f t="shared" si="26"/>
        <v>0.0020172651933701657</v>
      </c>
    </row>
    <row r="135" spans="1:13" ht="12.75">
      <c r="A135" s="2" t="s">
        <v>160</v>
      </c>
      <c r="B135" s="8" t="str">
        <f aca="true" t="shared" si="27" ref="B135:M135">IF(B134&gt;0.03,"Yes","No")</f>
        <v>No</v>
      </c>
      <c r="C135" s="8" t="str">
        <f t="shared" si="27"/>
        <v>No</v>
      </c>
      <c r="D135" s="8" t="str">
        <f t="shared" si="27"/>
        <v>No</v>
      </c>
      <c r="E135" s="8" t="str">
        <f t="shared" si="27"/>
        <v>No</v>
      </c>
      <c r="F135" s="8" t="str">
        <f t="shared" si="27"/>
        <v>No</v>
      </c>
      <c r="G135" s="8" t="str">
        <f t="shared" si="27"/>
        <v>No</v>
      </c>
      <c r="H135" s="8" t="str">
        <f t="shared" si="27"/>
        <v>No</v>
      </c>
      <c r="I135" s="8" t="str">
        <f t="shared" si="27"/>
        <v>No</v>
      </c>
      <c r="J135" s="8" t="str">
        <f t="shared" si="27"/>
        <v>No</v>
      </c>
      <c r="K135" s="8" t="str">
        <f t="shared" si="27"/>
        <v>No</v>
      </c>
      <c r="L135" s="8" t="str">
        <f t="shared" si="27"/>
        <v>No</v>
      </c>
      <c r="M135" s="8" t="str">
        <f t="shared" si="27"/>
        <v>No</v>
      </c>
    </row>
  </sheetData>
  <sheetProtection/>
  <printOptions/>
  <pageMargins left="0.25" right="0.25" top="1" bottom="0.75" header="0.5" footer="0.5"/>
  <pageSetup horizontalDpi="600" verticalDpi="600" orientation="landscape" scale="75" r:id="rId1"/>
  <headerFooter alignWithMargins="0">
    <oddHeader>&amp;C&amp;"Times New Roman,Bold"&amp;12Summary of Energy Impacts Asscoiated with the Proposed Project and Project Alternatives</oddHeader>
    <oddFooter>&amp;L&amp;"Times New Roman,Regular"&amp;F&amp;C&amp;"Times New Roman,Regular"Page &amp;P of &amp;N&amp;R&amp;"Times New Roman,Regular"&amp;D</oddFooter>
  </headerFooter>
  <rowBreaks count="2" manualBreakCount="2">
    <brk id="3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2" bestFit="1" customWidth="1"/>
    <col min="2" max="2" width="20.00390625" style="16" customWidth="1"/>
    <col min="3" max="3" width="12.140625" style="8" customWidth="1"/>
    <col min="4" max="4" width="11.140625" style="2" customWidth="1"/>
    <col min="5" max="5" width="11.421875" style="2" bestFit="1" customWidth="1"/>
    <col min="6" max="7" width="10.7109375" style="2" bestFit="1" customWidth="1"/>
    <col min="8" max="16384" width="9.140625" style="2" customWidth="1"/>
  </cols>
  <sheetData>
    <row r="1" ht="15">
      <c r="A1" s="14" t="s">
        <v>27</v>
      </c>
    </row>
    <row r="2" ht="15">
      <c r="A2" s="14"/>
    </row>
    <row r="3" ht="15">
      <c r="A3" s="14" t="s">
        <v>185</v>
      </c>
    </row>
    <row r="4" ht="15">
      <c r="A4" s="14"/>
    </row>
    <row r="5" spans="1:7" ht="12.75">
      <c r="A5" s="3" t="s">
        <v>0</v>
      </c>
      <c r="B5" s="3" t="s">
        <v>1</v>
      </c>
      <c r="C5" s="3" t="s">
        <v>38</v>
      </c>
      <c r="D5" s="3" t="s">
        <v>2</v>
      </c>
      <c r="E5" s="3" t="s">
        <v>203</v>
      </c>
      <c r="F5" s="3" t="s">
        <v>35</v>
      </c>
      <c r="G5" s="3" t="s">
        <v>46</v>
      </c>
    </row>
    <row r="6" spans="2:7" ht="12.75">
      <c r="B6" s="3" t="s">
        <v>4</v>
      </c>
      <c r="C6" s="3" t="s">
        <v>39</v>
      </c>
      <c r="D6" s="3" t="s">
        <v>5</v>
      </c>
      <c r="E6" s="3" t="s">
        <v>6</v>
      </c>
      <c r="F6" s="3" t="s">
        <v>40</v>
      </c>
      <c r="G6" s="3" t="s">
        <v>41</v>
      </c>
    </row>
    <row r="7" spans="1:7" ht="12.75">
      <c r="A7" s="1" t="s">
        <v>116</v>
      </c>
      <c r="B7" s="19"/>
      <c r="C7" s="3"/>
      <c r="D7" s="3"/>
      <c r="E7" s="3"/>
      <c r="F7" s="3" t="s">
        <v>37</v>
      </c>
      <c r="G7" s="3" t="s">
        <v>37</v>
      </c>
    </row>
    <row r="8" spans="1:5" ht="12.75">
      <c r="A8" s="1" t="s">
        <v>7</v>
      </c>
      <c r="D8" s="3"/>
      <c r="E8" s="3"/>
    </row>
    <row r="9" spans="1:6" ht="12.75">
      <c r="A9" s="2" t="s">
        <v>134</v>
      </c>
      <c r="B9" s="16" t="s">
        <v>8</v>
      </c>
      <c r="C9" s="8">
        <v>79</v>
      </c>
      <c r="D9" s="8">
        <v>1</v>
      </c>
      <c r="E9" s="18">
        <v>8</v>
      </c>
      <c r="F9" s="6">
        <f>+C9*D9*E9*0.066</f>
        <v>41.712</v>
      </c>
    </row>
    <row r="10" spans="1:6" ht="12.75">
      <c r="A10" s="2" t="s">
        <v>135</v>
      </c>
      <c r="B10" s="16" t="s">
        <v>8</v>
      </c>
      <c r="C10" s="8">
        <v>79</v>
      </c>
      <c r="D10" s="8">
        <v>1</v>
      </c>
      <c r="E10" s="18">
        <v>2</v>
      </c>
      <c r="F10" s="6">
        <f>+C10*D10*E10*0.066</f>
        <v>10.428</v>
      </c>
    </row>
    <row r="11" spans="1:6" ht="12.75">
      <c r="A11" s="2" t="s">
        <v>136</v>
      </c>
      <c r="B11" s="16" t="s">
        <v>8</v>
      </c>
      <c r="C11" s="8">
        <v>79</v>
      </c>
      <c r="D11" s="8">
        <v>1</v>
      </c>
      <c r="E11" s="18">
        <v>2</v>
      </c>
      <c r="F11" s="6">
        <f>+C11*D11*E11*0.066</f>
        <v>10.428</v>
      </c>
    </row>
    <row r="12" spans="1:5" ht="12.75">
      <c r="A12" s="1" t="s">
        <v>9</v>
      </c>
      <c r="D12" s="8"/>
      <c r="E12" s="8"/>
    </row>
    <row r="13" spans="1:7" ht="12.75">
      <c r="A13" s="2" t="s">
        <v>137</v>
      </c>
      <c r="B13" s="16" t="s">
        <v>10</v>
      </c>
      <c r="C13" s="8">
        <v>200</v>
      </c>
      <c r="D13" s="8">
        <v>1</v>
      </c>
      <c r="E13" s="18">
        <v>2</v>
      </c>
      <c r="G13" s="6">
        <f>+C13*D13*E13*0.16</f>
        <v>64</v>
      </c>
    </row>
    <row r="14" spans="1:5" ht="12.75">
      <c r="A14" s="1" t="s">
        <v>11</v>
      </c>
      <c r="D14" s="8"/>
      <c r="E14" s="8"/>
    </row>
    <row r="15" spans="1:6" ht="12.75">
      <c r="A15" s="2" t="s">
        <v>137</v>
      </c>
      <c r="B15" s="16" t="s">
        <v>8</v>
      </c>
      <c r="C15" s="8">
        <v>79</v>
      </c>
      <c r="D15" s="8">
        <v>1</v>
      </c>
      <c r="E15" s="18">
        <v>8</v>
      </c>
      <c r="F15" s="6">
        <f>+C15*D15*E15*0.066</f>
        <v>41.712</v>
      </c>
    </row>
    <row r="16" spans="1:5" ht="12.75">
      <c r="A16" s="1" t="s">
        <v>12</v>
      </c>
      <c r="D16" s="8"/>
      <c r="E16" s="8"/>
    </row>
    <row r="17" spans="1:6" ht="12.75">
      <c r="A17" s="2" t="s">
        <v>137</v>
      </c>
      <c r="B17" s="16" t="s">
        <v>8</v>
      </c>
      <c r="C17" s="8">
        <v>79</v>
      </c>
      <c r="D17" s="8">
        <v>1</v>
      </c>
      <c r="E17" s="18">
        <v>2</v>
      </c>
      <c r="F17" s="6">
        <f>+C17*D17*E17*0.066</f>
        <v>10.428</v>
      </c>
    </row>
    <row r="18" spans="1:7" ht="12.75">
      <c r="A18" s="2" t="s">
        <v>137</v>
      </c>
      <c r="B18" s="16" t="s">
        <v>13</v>
      </c>
      <c r="C18" s="8">
        <v>22</v>
      </c>
      <c r="D18" s="8">
        <v>1</v>
      </c>
      <c r="E18" s="18">
        <f>E17</f>
        <v>2</v>
      </c>
      <c r="G18" s="6">
        <f>+C18*D18*E18*0.16</f>
        <v>7.04</v>
      </c>
    </row>
    <row r="19" spans="1:5" ht="12.75">
      <c r="A19" s="1" t="s">
        <v>14</v>
      </c>
      <c r="D19" s="8"/>
      <c r="E19" s="8"/>
    </row>
    <row r="20" spans="1:6" ht="12.75">
      <c r="A20" s="2" t="s">
        <v>137</v>
      </c>
      <c r="B20" s="16" t="s">
        <v>8</v>
      </c>
      <c r="C20" s="8">
        <v>79</v>
      </c>
      <c r="D20" s="8">
        <v>1</v>
      </c>
      <c r="E20" s="18">
        <v>8</v>
      </c>
      <c r="F20" s="6">
        <f>+C20*D20*E20*0.066</f>
        <v>41.712</v>
      </c>
    </row>
    <row r="21" spans="1:5" ht="12.75">
      <c r="A21" s="1" t="s">
        <v>15</v>
      </c>
      <c r="D21" s="8"/>
      <c r="E21" s="8"/>
    </row>
    <row r="22" spans="1:6" ht="12.75">
      <c r="A22" s="2" t="s">
        <v>137</v>
      </c>
      <c r="B22" s="16" t="s">
        <v>16</v>
      </c>
      <c r="C22" s="8">
        <v>161</v>
      </c>
      <c r="D22" s="8">
        <v>1</v>
      </c>
      <c r="E22" s="18">
        <v>4</v>
      </c>
      <c r="F22" s="6">
        <f>+C22*D22*E22*0.066</f>
        <v>42.504000000000005</v>
      </c>
    </row>
    <row r="23" spans="4:7" ht="12.75">
      <c r="D23" s="8"/>
      <c r="E23" s="20" t="s">
        <v>3</v>
      </c>
      <c r="F23" s="7">
        <f>SUM(F9:F22)</f>
        <v>198.92400000000004</v>
      </c>
      <c r="G23" s="7">
        <f>SUM(G9:G22)</f>
        <v>71.04</v>
      </c>
    </row>
    <row r="25" spans="1:7" ht="12.75">
      <c r="A25" s="19" t="s">
        <v>0</v>
      </c>
      <c r="B25" s="3" t="s">
        <v>1</v>
      </c>
      <c r="C25" s="3" t="s">
        <v>38</v>
      </c>
      <c r="D25" s="3" t="s">
        <v>2</v>
      </c>
      <c r="E25" s="3" t="s">
        <v>3</v>
      </c>
      <c r="F25" s="3" t="s">
        <v>35</v>
      </c>
      <c r="G25" s="3" t="s">
        <v>46</v>
      </c>
    </row>
    <row r="26" spans="2:7" ht="12.75">
      <c r="B26" s="3" t="s">
        <v>4</v>
      </c>
      <c r="C26" s="3" t="s">
        <v>39</v>
      </c>
      <c r="D26" s="3" t="s">
        <v>5</v>
      </c>
      <c r="E26" s="3" t="s">
        <v>6</v>
      </c>
      <c r="F26" s="3" t="s">
        <v>40</v>
      </c>
      <c r="G26" s="3" t="s">
        <v>41</v>
      </c>
    </row>
    <row r="27" ht="12.75">
      <c r="A27" s="1" t="s">
        <v>117</v>
      </c>
    </row>
    <row r="28" spans="1:5" ht="12.75">
      <c r="A28" s="1" t="s">
        <v>7</v>
      </c>
      <c r="D28" s="3"/>
      <c r="E28" s="3"/>
    </row>
    <row r="29" spans="1:6" ht="12.75">
      <c r="A29" s="2" t="s">
        <v>134</v>
      </c>
      <c r="B29" s="16" t="s">
        <v>8</v>
      </c>
      <c r="C29" s="8">
        <v>79</v>
      </c>
      <c r="D29" s="8">
        <v>1</v>
      </c>
      <c r="E29" s="18">
        <v>8</v>
      </c>
      <c r="F29" s="6">
        <f>+C29*D29*E29*0.066</f>
        <v>41.712</v>
      </c>
    </row>
    <row r="30" spans="1:6" ht="12.75">
      <c r="A30" s="2" t="s">
        <v>135</v>
      </c>
      <c r="B30" s="16" t="s">
        <v>8</v>
      </c>
      <c r="C30" s="8">
        <v>79</v>
      </c>
      <c r="D30" s="8">
        <v>1</v>
      </c>
      <c r="E30" s="18">
        <v>2</v>
      </c>
      <c r="F30" s="6">
        <f>+C30*D30*E30*0.066</f>
        <v>10.428</v>
      </c>
    </row>
    <row r="31" spans="1:6" ht="12.75">
      <c r="A31" s="2" t="s">
        <v>136</v>
      </c>
      <c r="B31" s="16" t="s">
        <v>8</v>
      </c>
      <c r="C31" s="8">
        <v>79</v>
      </c>
      <c r="D31" s="8">
        <v>1</v>
      </c>
      <c r="E31" s="18">
        <v>2</v>
      </c>
      <c r="F31" s="6">
        <f>+C31*D31*E31*0.066</f>
        <v>10.428</v>
      </c>
    </row>
    <row r="32" spans="1:5" ht="12.75">
      <c r="A32" s="1" t="s">
        <v>9</v>
      </c>
      <c r="D32" s="8"/>
      <c r="E32" s="8"/>
    </row>
    <row r="33" spans="1:7" ht="12.75">
      <c r="A33" s="2" t="s">
        <v>137</v>
      </c>
      <c r="B33" s="16" t="s">
        <v>10</v>
      </c>
      <c r="C33" s="8">
        <v>200</v>
      </c>
      <c r="D33" s="8">
        <v>1</v>
      </c>
      <c r="E33" s="18">
        <v>2</v>
      </c>
      <c r="G33" s="6">
        <f>+C33*D33*E33*0.16</f>
        <v>64</v>
      </c>
    </row>
    <row r="34" spans="1:5" ht="12.75">
      <c r="A34" s="1" t="s">
        <v>11</v>
      </c>
      <c r="D34" s="8"/>
      <c r="E34" s="8"/>
    </row>
    <row r="35" spans="1:6" ht="12.75">
      <c r="A35" s="2" t="s">
        <v>137</v>
      </c>
      <c r="B35" s="16" t="s">
        <v>8</v>
      </c>
      <c r="C35" s="8">
        <v>79</v>
      </c>
      <c r="D35" s="8">
        <v>1</v>
      </c>
      <c r="E35" s="18">
        <v>8</v>
      </c>
      <c r="F35" s="6">
        <f>+C35*D35*E35*0.066</f>
        <v>41.712</v>
      </c>
    </row>
    <row r="36" spans="1:5" ht="12.75">
      <c r="A36" s="1" t="s">
        <v>14</v>
      </c>
      <c r="D36" s="8"/>
      <c r="E36" s="8"/>
    </row>
    <row r="37" spans="1:6" ht="12.75">
      <c r="A37" s="2" t="s">
        <v>137</v>
      </c>
      <c r="B37" s="16" t="s">
        <v>8</v>
      </c>
      <c r="C37" s="8">
        <v>79</v>
      </c>
      <c r="D37" s="8">
        <v>1</v>
      </c>
      <c r="E37" s="18">
        <v>8</v>
      </c>
      <c r="F37" s="6">
        <f>+C37*D37*E37*0.066</f>
        <v>41.712</v>
      </c>
    </row>
    <row r="38" spans="1:5" ht="12.75">
      <c r="A38" s="1" t="s">
        <v>15</v>
      </c>
      <c r="D38" s="8"/>
      <c r="E38" s="8"/>
    </row>
    <row r="39" spans="1:6" ht="12.75">
      <c r="A39" s="2" t="s">
        <v>137</v>
      </c>
      <c r="B39" s="16" t="s">
        <v>16</v>
      </c>
      <c r="C39" s="8">
        <v>161</v>
      </c>
      <c r="D39" s="8">
        <v>1</v>
      </c>
      <c r="E39" s="18">
        <v>4</v>
      </c>
      <c r="F39" s="6">
        <f>+C39*D39*E39*0.066</f>
        <v>42.504000000000005</v>
      </c>
    </row>
    <row r="40" spans="1:5" ht="12.75">
      <c r="A40" s="1" t="s">
        <v>17</v>
      </c>
      <c r="D40" s="8"/>
      <c r="E40" s="8"/>
    </row>
    <row r="41" spans="1:6" ht="12.75">
      <c r="A41" s="2" t="s">
        <v>138</v>
      </c>
      <c r="B41" s="16" t="s">
        <v>8</v>
      </c>
      <c r="C41" s="8">
        <v>79</v>
      </c>
      <c r="D41" s="8">
        <v>1</v>
      </c>
      <c r="E41" s="18">
        <v>8</v>
      </c>
      <c r="F41" s="6">
        <f>+C41*D41*E41*0.066</f>
        <v>41.712</v>
      </c>
    </row>
    <row r="42" spans="1:6" ht="12.75">
      <c r="A42" s="2" t="s">
        <v>139</v>
      </c>
      <c r="B42" s="16" t="s">
        <v>8</v>
      </c>
      <c r="C42" s="8">
        <v>79</v>
      </c>
      <c r="D42" s="8">
        <v>1</v>
      </c>
      <c r="E42" s="18">
        <v>8</v>
      </c>
      <c r="F42" s="6">
        <f>+C42*D42*E42*0.066</f>
        <v>41.712</v>
      </c>
    </row>
    <row r="43" spans="1:6" ht="12.75">
      <c r="A43" s="2" t="s">
        <v>140</v>
      </c>
      <c r="B43" s="16" t="s">
        <v>16</v>
      </c>
      <c r="C43" s="8">
        <v>161</v>
      </c>
      <c r="D43" s="8">
        <v>1</v>
      </c>
      <c r="E43" s="18">
        <v>8</v>
      </c>
      <c r="F43" s="6">
        <f>+C43*D43*E43*0.066</f>
        <v>85.00800000000001</v>
      </c>
    </row>
    <row r="44" spans="1:6" ht="12.75">
      <c r="A44" s="2" t="s">
        <v>141</v>
      </c>
      <c r="B44" s="16" t="s">
        <v>16</v>
      </c>
      <c r="C44" s="8">
        <v>161</v>
      </c>
      <c r="D44" s="8">
        <v>1</v>
      </c>
      <c r="E44" s="18">
        <v>8</v>
      </c>
      <c r="F44" s="6">
        <f>+C44*D44*E44*0.066</f>
        <v>85.00800000000001</v>
      </c>
    </row>
    <row r="45" spans="1:7" ht="12.75">
      <c r="A45" s="2" t="s">
        <v>137</v>
      </c>
      <c r="B45" s="16" t="s">
        <v>18</v>
      </c>
      <c r="C45" s="8">
        <v>35</v>
      </c>
      <c r="D45" s="8">
        <v>1</v>
      </c>
      <c r="E45" s="18">
        <v>4</v>
      </c>
      <c r="G45" s="6">
        <f>+C45*D45*E45*0.16</f>
        <v>22.400000000000002</v>
      </c>
    </row>
    <row r="46" spans="1:7" ht="12.75">
      <c r="A46" s="2" t="s">
        <v>137</v>
      </c>
      <c r="B46" s="16" t="s">
        <v>13</v>
      </c>
      <c r="C46" s="8">
        <v>22</v>
      </c>
      <c r="D46" s="8">
        <v>1</v>
      </c>
      <c r="E46" s="18">
        <f>E41+E42+E43+E44</f>
        <v>32</v>
      </c>
      <c r="G46" s="6">
        <f>+C46*D46*E46*0.16</f>
        <v>112.64</v>
      </c>
    </row>
    <row r="47" spans="4:7" ht="12.75">
      <c r="D47" s="8"/>
      <c r="E47" s="20" t="s">
        <v>3</v>
      </c>
      <c r="F47" s="7">
        <f>SUM(F29:F46)</f>
        <v>441.93600000000004</v>
      </c>
      <c r="G47" s="7">
        <f>SUM(G29:G46)</f>
        <v>199.04000000000002</v>
      </c>
    </row>
    <row r="49" spans="1:7" ht="12.75">
      <c r="A49" s="19" t="s">
        <v>0</v>
      </c>
      <c r="B49" s="3" t="s">
        <v>1</v>
      </c>
      <c r="C49" s="3" t="s">
        <v>38</v>
      </c>
      <c r="D49" s="3" t="s">
        <v>2</v>
      </c>
      <c r="E49" s="3" t="s">
        <v>3</v>
      </c>
      <c r="F49" s="3" t="s">
        <v>35</v>
      </c>
      <c r="G49" s="3" t="s">
        <v>46</v>
      </c>
    </row>
    <row r="50" spans="2:7" ht="12.75">
      <c r="B50" s="3" t="s">
        <v>4</v>
      </c>
      <c r="C50" s="3" t="s">
        <v>39</v>
      </c>
      <c r="D50" s="3" t="s">
        <v>5</v>
      </c>
      <c r="E50" s="3" t="s">
        <v>6</v>
      </c>
      <c r="F50" s="3" t="s">
        <v>40</v>
      </c>
      <c r="G50" s="3" t="s">
        <v>41</v>
      </c>
    </row>
    <row r="51" ht="12.75">
      <c r="A51" s="1" t="s">
        <v>118</v>
      </c>
    </row>
    <row r="52" spans="1:5" ht="12.75">
      <c r="A52" s="1" t="s">
        <v>7</v>
      </c>
      <c r="D52" s="3"/>
      <c r="E52" s="3"/>
    </row>
    <row r="53" spans="1:6" ht="12.75">
      <c r="A53" s="2" t="s">
        <v>143</v>
      </c>
      <c r="B53" s="16" t="s">
        <v>8</v>
      </c>
      <c r="C53" s="8">
        <v>79</v>
      </c>
      <c r="D53" s="8">
        <v>1</v>
      </c>
      <c r="E53" s="18">
        <v>8</v>
      </c>
      <c r="F53" s="6">
        <f>+C53*D53*E53*0.066</f>
        <v>41.712</v>
      </c>
    </row>
    <row r="54" spans="1:6" ht="12.75">
      <c r="A54" s="2" t="s">
        <v>144</v>
      </c>
      <c r="B54" s="16" t="s">
        <v>8</v>
      </c>
      <c r="C54" s="8">
        <v>79</v>
      </c>
      <c r="D54" s="8">
        <v>1</v>
      </c>
      <c r="E54" s="18">
        <v>2</v>
      </c>
      <c r="F54" s="6">
        <f>+C54*D54*E54*0.066</f>
        <v>10.428</v>
      </c>
    </row>
    <row r="55" spans="1:6" ht="12.75">
      <c r="A55" s="2" t="s">
        <v>145</v>
      </c>
      <c r="B55" s="16" t="s">
        <v>8</v>
      </c>
      <c r="C55" s="8">
        <v>79</v>
      </c>
      <c r="D55" s="8">
        <v>1</v>
      </c>
      <c r="E55" s="18">
        <v>2</v>
      </c>
      <c r="F55" s="6">
        <f>+C55*D55*E55*0.066</f>
        <v>10.428</v>
      </c>
    </row>
    <row r="56" spans="1:5" ht="12.75">
      <c r="A56" s="1" t="s">
        <v>9</v>
      </c>
      <c r="D56" s="8"/>
      <c r="E56" s="8"/>
    </row>
    <row r="57" spans="1:7" ht="12.75">
      <c r="A57" s="2" t="s">
        <v>137</v>
      </c>
      <c r="B57" s="16" t="s">
        <v>10</v>
      </c>
      <c r="C57" s="8">
        <v>200</v>
      </c>
      <c r="D57" s="8">
        <v>1</v>
      </c>
      <c r="E57" s="18">
        <v>2</v>
      </c>
      <c r="G57" s="6">
        <f>+C57*D57*E57*0.16</f>
        <v>64</v>
      </c>
    </row>
    <row r="58" spans="1:5" ht="12.75">
      <c r="A58" s="1" t="s">
        <v>11</v>
      </c>
      <c r="D58" s="8"/>
      <c r="E58" s="8"/>
    </row>
    <row r="59" spans="1:6" ht="12.75">
      <c r="A59" s="2" t="s">
        <v>137</v>
      </c>
      <c r="B59" s="16" t="s">
        <v>8</v>
      </c>
      <c r="C59" s="8">
        <v>79</v>
      </c>
      <c r="D59" s="8">
        <v>1</v>
      </c>
      <c r="E59" s="18">
        <v>8</v>
      </c>
      <c r="F59" s="6">
        <f>+C59*D59*E59*0.066</f>
        <v>41.712</v>
      </c>
    </row>
    <row r="60" spans="1:5" ht="12.75">
      <c r="A60" s="1" t="s">
        <v>14</v>
      </c>
      <c r="D60" s="8"/>
      <c r="E60" s="8"/>
    </row>
    <row r="61" spans="1:6" ht="12.75">
      <c r="A61" s="2" t="s">
        <v>137</v>
      </c>
      <c r="B61" s="16" t="s">
        <v>8</v>
      </c>
      <c r="C61" s="8">
        <v>79</v>
      </c>
      <c r="D61" s="8">
        <v>1</v>
      </c>
      <c r="E61" s="18">
        <v>8</v>
      </c>
      <c r="F61" s="6">
        <f>+C61*D61*E61*0.066</f>
        <v>41.712</v>
      </c>
    </row>
    <row r="62" spans="1:5" ht="12.75">
      <c r="A62" s="1" t="s">
        <v>15</v>
      </c>
      <c r="D62" s="8"/>
      <c r="E62" s="8"/>
    </row>
    <row r="63" spans="1:6" ht="12.75">
      <c r="A63" s="2" t="s">
        <v>137</v>
      </c>
      <c r="B63" s="16" t="s">
        <v>16</v>
      </c>
      <c r="C63" s="8">
        <v>161</v>
      </c>
      <c r="D63" s="8">
        <v>1</v>
      </c>
      <c r="E63" s="18">
        <v>4</v>
      </c>
      <c r="F63" s="6">
        <f>+C63*D63*E63*0.066</f>
        <v>42.504000000000005</v>
      </c>
    </row>
    <row r="64" spans="1:5" ht="12.75">
      <c r="A64" s="1" t="s">
        <v>24</v>
      </c>
      <c r="D64" s="8"/>
      <c r="E64" s="8"/>
    </row>
    <row r="65" spans="1:6" ht="12.75">
      <c r="A65" s="2" t="s">
        <v>142</v>
      </c>
      <c r="B65" s="16" t="s">
        <v>16</v>
      </c>
      <c r="C65" s="8">
        <v>161</v>
      </c>
      <c r="D65" s="8">
        <v>1</v>
      </c>
      <c r="E65" s="18">
        <v>8</v>
      </c>
      <c r="F65" s="6">
        <f>+C65*D65*E65*0.066</f>
        <v>85.00800000000001</v>
      </c>
    </row>
    <row r="66" spans="1:7" ht="12.75">
      <c r="A66" s="2" t="s">
        <v>137</v>
      </c>
      <c r="B66" s="16" t="s">
        <v>13</v>
      </c>
      <c r="C66" s="8">
        <v>22</v>
      </c>
      <c r="D66" s="8">
        <v>1</v>
      </c>
      <c r="E66" s="18">
        <f>E65</f>
        <v>8</v>
      </c>
      <c r="G66" s="6">
        <f>+C66*D66*E66*0.16</f>
        <v>28.16</v>
      </c>
    </row>
    <row r="67" spans="4:7" ht="12.75">
      <c r="D67" s="8"/>
      <c r="E67" s="20" t="s">
        <v>3</v>
      </c>
      <c r="F67" s="7">
        <f>SUM(F53:F66)</f>
        <v>273.504</v>
      </c>
      <c r="G67" s="7">
        <f>SUM(G53:G66)</f>
        <v>92.16</v>
      </c>
    </row>
    <row r="69" spans="1:7" ht="12.75">
      <c r="A69" s="19" t="s">
        <v>0</v>
      </c>
      <c r="B69" s="3" t="s">
        <v>1</v>
      </c>
      <c r="C69" s="3" t="s">
        <v>38</v>
      </c>
      <c r="D69" s="3" t="s">
        <v>2</v>
      </c>
      <c r="E69" s="3" t="s">
        <v>3</v>
      </c>
      <c r="F69" s="3" t="s">
        <v>35</v>
      </c>
      <c r="G69" s="3" t="s">
        <v>46</v>
      </c>
    </row>
    <row r="70" spans="2:7" ht="12.75">
      <c r="B70" s="3" t="s">
        <v>4</v>
      </c>
      <c r="C70" s="3" t="s">
        <v>39</v>
      </c>
      <c r="D70" s="3" t="s">
        <v>5</v>
      </c>
      <c r="E70" s="3" t="s">
        <v>6</v>
      </c>
      <c r="F70" s="3" t="s">
        <v>40</v>
      </c>
      <c r="G70" s="3" t="s">
        <v>41</v>
      </c>
    </row>
    <row r="71" ht="12.75">
      <c r="A71" s="1" t="s">
        <v>119</v>
      </c>
    </row>
    <row r="72" spans="1:5" ht="12.75">
      <c r="A72" s="1" t="s">
        <v>7</v>
      </c>
      <c r="D72" s="3"/>
      <c r="E72" s="3"/>
    </row>
    <row r="73" spans="1:6" ht="12.75">
      <c r="A73" s="2" t="s">
        <v>134</v>
      </c>
      <c r="B73" s="16" t="s">
        <v>8</v>
      </c>
      <c r="C73" s="8">
        <v>79</v>
      </c>
      <c r="D73" s="8">
        <v>1</v>
      </c>
      <c r="E73" s="18">
        <v>8</v>
      </c>
      <c r="F73" s="6">
        <f>+C73*D73*E73*0.066</f>
        <v>41.712</v>
      </c>
    </row>
    <row r="74" spans="1:6" ht="12.75">
      <c r="A74" s="2" t="s">
        <v>135</v>
      </c>
      <c r="B74" s="16" t="s">
        <v>8</v>
      </c>
      <c r="C74" s="8">
        <v>79</v>
      </c>
      <c r="D74" s="8">
        <v>1</v>
      </c>
      <c r="E74" s="18">
        <v>2</v>
      </c>
      <c r="F74" s="6">
        <f>+C74*D74*E74*0.066</f>
        <v>10.428</v>
      </c>
    </row>
    <row r="75" spans="1:6" ht="12.75">
      <c r="A75" s="2" t="s">
        <v>136</v>
      </c>
      <c r="B75" s="16" t="s">
        <v>8</v>
      </c>
      <c r="C75" s="8">
        <v>79</v>
      </c>
      <c r="D75" s="8">
        <v>1</v>
      </c>
      <c r="E75" s="18">
        <v>2</v>
      </c>
      <c r="F75" s="6">
        <f>+C75*D75*E75*0.066</f>
        <v>10.428</v>
      </c>
    </row>
    <row r="76" spans="1:5" ht="12.75">
      <c r="A76" s="1" t="s">
        <v>9</v>
      </c>
      <c r="D76" s="8"/>
      <c r="E76" s="8"/>
    </row>
    <row r="77" spans="1:7" ht="12.75">
      <c r="A77" s="2" t="s">
        <v>137</v>
      </c>
      <c r="B77" s="16" t="s">
        <v>10</v>
      </c>
      <c r="C77" s="8">
        <v>200</v>
      </c>
      <c r="D77" s="8">
        <v>1</v>
      </c>
      <c r="E77" s="18">
        <v>2</v>
      </c>
      <c r="G77" s="6">
        <f>+C77*D77*E77*0.16</f>
        <v>64</v>
      </c>
    </row>
    <row r="78" spans="1:5" ht="12.75">
      <c r="A78" s="1" t="s">
        <v>11</v>
      </c>
      <c r="D78" s="8"/>
      <c r="E78" s="8"/>
    </row>
    <row r="79" spans="1:6" ht="12.75">
      <c r="A79" s="2" t="s">
        <v>137</v>
      </c>
      <c r="B79" s="16" t="s">
        <v>8</v>
      </c>
      <c r="C79" s="8">
        <v>79</v>
      </c>
      <c r="D79" s="8">
        <v>1</v>
      </c>
      <c r="E79" s="18">
        <v>8</v>
      </c>
      <c r="F79" s="6">
        <f>+C79*D79*E79*0.066</f>
        <v>41.712</v>
      </c>
    </row>
    <row r="80" spans="1:5" ht="12.75">
      <c r="A80" s="1" t="s">
        <v>14</v>
      </c>
      <c r="D80" s="8"/>
      <c r="E80" s="8"/>
    </row>
    <row r="81" spans="1:6" ht="12.75">
      <c r="A81" s="2" t="s">
        <v>137</v>
      </c>
      <c r="B81" s="16" t="s">
        <v>8</v>
      </c>
      <c r="C81" s="8">
        <v>79</v>
      </c>
      <c r="D81" s="8">
        <v>1</v>
      </c>
      <c r="E81" s="18">
        <v>8</v>
      </c>
      <c r="F81" s="6">
        <f>+C81*D81*E81*0.066</f>
        <v>41.712</v>
      </c>
    </row>
    <row r="82" spans="1:5" ht="12.75">
      <c r="A82" s="1" t="s">
        <v>15</v>
      </c>
      <c r="D82" s="8"/>
      <c r="E82" s="8"/>
    </row>
    <row r="83" spans="1:6" ht="12.75">
      <c r="A83" s="2" t="s">
        <v>137</v>
      </c>
      <c r="B83" s="16" t="s">
        <v>16</v>
      </c>
      <c r="C83" s="8">
        <v>161</v>
      </c>
      <c r="D83" s="8">
        <v>1</v>
      </c>
      <c r="E83" s="18">
        <v>4</v>
      </c>
      <c r="F83" s="6">
        <f>+C83*D83*E83*0.066</f>
        <v>42.504000000000005</v>
      </c>
    </row>
    <row r="84" spans="1:5" ht="12.75">
      <c r="A84" s="1" t="s">
        <v>19</v>
      </c>
      <c r="D84" s="8"/>
      <c r="E84" s="8"/>
    </row>
    <row r="85" spans="1:6" ht="12.75">
      <c r="A85" s="2" t="s">
        <v>142</v>
      </c>
      <c r="B85" s="16" t="s">
        <v>16</v>
      </c>
      <c r="C85" s="8">
        <v>161</v>
      </c>
      <c r="D85" s="8">
        <v>1</v>
      </c>
      <c r="E85" s="18">
        <v>8</v>
      </c>
      <c r="F85" s="6">
        <f>+C85*D85*E85*0.066</f>
        <v>85.00800000000001</v>
      </c>
    </row>
    <row r="86" spans="1:7" ht="12.75">
      <c r="A86" s="2" t="s">
        <v>137</v>
      </c>
      <c r="B86" s="16" t="s">
        <v>13</v>
      </c>
      <c r="C86" s="8">
        <v>22</v>
      </c>
      <c r="D86" s="8">
        <v>1</v>
      </c>
      <c r="E86" s="18">
        <f>E85</f>
        <v>8</v>
      </c>
      <c r="G86" s="6">
        <f>+C86*D86*E86*0.16</f>
        <v>28.16</v>
      </c>
    </row>
    <row r="87" spans="5:7" ht="12.75">
      <c r="E87" s="20" t="s">
        <v>3</v>
      </c>
      <c r="F87" s="7">
        <f>SUM(F73:F86)</f>
        <v>273.504</v>
      </c>
      <c r="G87" s="7">
        <f>SUM(G73:G86)</f>
        <v>92.16</v>
      </c>
    </row>
    <row r="88" spans="5:7" ht="12.75">
      <c r="E88" s="20"/>
      <c r="F88" s="6"/>
      <c r="G88" s="6"/>
    </row>
    <row r="89" spans="1:7" ht="12.75">
      <c r="A89" s="19" t="s">
        <v>0</v>
      </c>
      <c r="B89" s="3" t="s">
        <v>1</v>
      </c>
      <c r="C89" s="3" t="s">
        <v>38</v>
      </c>
      <c r="D89" s="3" t="s">
        <v>2</v>
      </c>
      <c r="E89" s="3" t="s">
        <v>3</v>
      </c>
      <c r="F89" s="3" t="s">
        <v>35</v>
      </c>
      <c r="G89" s="3" t="s">
        <v>46</v>
      </c>
    </row>
    <row r="90" spans="2:7" ht="12.75">
      <c r="B90" s="3" t="s">
        <v>4</v>
      </c>
      <c r="C90" s="3" t="s">
        <v>39</v>
      </c>
      <c r="D90" s="3" t="s">
        <v>5</v>
      </c>
      <c r="E90" s="3" t="s">
        <v>6</v>
      </c>
      <c r="F90" s="3" t="s">
        <v>40</v>
      </c>
      <c r="G90" s="3" t="s">
        <v>41</v>
      </c>
    </row>
    <row r="91" ht="12.75">
      <c r="A91" s="1" t="s">
        <v>120</v>
      </c>
    </row>
    <row r="92" spans="1:5" ht="12.75">
      <c r="A92" s="1" t="s">
        <v>7</v>
      </c>
      <c r="D92" s="3"/>
      <c r="E92" s="3"/>
    </row>
    <row r="93" spans="1:6" ht="12.75">
      <c r="A93" s="2" t="s">
        <v>134</v>
      </c>
      <c r="B93" s="16" t="s">
        <v>8</v>
      </c>
      <c r="C93" s="8">
        <v>79</v>
      </c>
      <c r="D93" s="8">
        <v>1</v>
      </c>
      <c r="E93" s="18">
        <v>8</v>
      </c>
      <c r="F93" s="6">
        <f>+C93*D93*E93*0.066</f>
        <v>41.712</v>
      </c>
    </row>
    <row r="94" spans="1:6" ht="12.75">
      <c r="A94" s="2" t="s">
        <v>135</v>
      </c>
      <c r="B94" s="16" t="s">
        <v>8</v>
      </c>
      <c r="C94" s="8">
        <v>79</v>
      </c>
      <c r="D94" s="8">
        <v>1</v>
      </c>
      <c r="E94" s="18">
        <v>2</v>
      </c>
      <c r="F94" s="6">
        <f>+C94*D94*E94*0.066</f>
        <v>10.428</v>
      </c>
    </row>
    <row r="95" spans="1:6" ht="12.75">
      <c r="A95" s="2" t="s">
        <v>136</v>
      </c>
      <c r="B95" s="16" t="s">
        <v>8</v>
      </c>
      <c r="C95" s="8">
        <v>79</v>
      </c>
      <c r="D95" s="8">
        <v>1</v>
      </c>
      <c r="E95" s="18">
        <v>2</v>
      </c>
      <c r="F95" s="6">
        <f>+C95*D95*E95*0.066</f>
        <v>10.428</v>
      </c>
    </row>
    <row r="96" spans="1:5" ht="12.75">
      <c r="A96" s="1" t="s">
        <v>9</v>
      </c>
      <c r="D96" s="8"/>
      <c r="E96" s="8"/>
    </row>
    <row r="97" spans="1:7" ht="12.75">
      <c r="A97" s="2" t="s">
        <v>137</v>
      </c>
      <c r="B97" s="16" t="s">
        <v>10</v>
      </c>
      <c r="C97" s="8">
        <v>200</v>
      </c>
      <c r="D97" s="8">
        <v>1</v>
      </c>
      <c r="E97" s="18">
        <v>2</v>
      </c>
      <c r="G97" s="6">
        <f>+C97*D97*E97*0.16</f>
        <v>64</v>
      </c>
    </row>
    <row r="98" spans="1:5" ht="12.75">
      <c r="A98" s="1" t="s">
        <v>11</v>
      </c>
      <c r="D98" s="8"/>
      <c r="E98" s="8"/>
    </row>
    <row r="99" spans="1:6" ht="12.75">
      <c r="A99" s="2" t="s">
        <v>137</v>
      </c>
      <c r="B99" s="16" t="s">
        <v>8</v>
      </c>
      <c r="C99" s="8">
        <v>79</v>
      </c>
      <c r="D99" s="8">
        <v>1</v>
      </c>
      <c r="E99" s="18">
        <v>8</v>
      </c>
      <c r="F99" s="6">
        <f>+C99*D99*E99*0.066</f>
        <v>41.712</v>
      </c>
    </row>
    <row r="100" spans="1:5" ht="12.75">
      <c r="A100" s="1" t="s">
        <v>14</v>
      </c>
      <c r="D100" s="8"/>
      <c r="E100" s="8"/>
    </row>
    <row r="101" spans="1:7" s="1" customFormat="1" ht="12.75">
      <c r="A101" s="2" t="s">
        <v>137</v>
      </c>
      <c r="B101" s="16" t="s">
        <v>8</v>
      </c>
      <c r="C101" s="8">
        <v>79</v>
      </c>
      <c r="D101" s="8">
        <v>1</v>
      </c>
      <c r="E101" s="18">
        <v>8</v>
      </c>
      <c r="F101" s="6">
        <f>+C101*D101*E101*0.066</f>
        <v>41.712</v>
      </c>
      <c r="G101" s="2"/>
    </row>
    <row r="102" spans="1:5" ht="12.75">
      <c r="A102" s="1" t="s">
        <v>20</v>
      </c>
      <c r="D102" s="8"/>
      <c r="E102" s="8"/>
    </row>
    <row r="103" spans="1:6" ht="12.75">
      <c r="A103" s="2" t="s">
        <v>146</v>
      </c>
      <c r="B103" s="16" t="s">
        <v>8</v>
      </c>
      <c r="C103" s="8">
        <v>79</v>
      </c>
      <c r="D103" s="8">
        <v>1</v>
      </c>
      <c r="E103" s="18">
        <v>24</v>
      </c>
      <c r="F103" s="6">
        <f>+C103*D103*E103*0.066</f>
        <v>125.13600000000001</v>
      </c>
    </row>
    <row r="104" spans="1:6" ht="12.75">
      <c r="A104" s="2" t="s">
        <v>147</v>
      </c>
      <c r="B104" s="16" t="s">
        <v>16</v>
      </c>
      <c r="C104" s="8">
        <v>161</v>
      </c>
      <c r="D104" s="8">
        <v>1</v>
      </c>
      <c r="E104" s="18">
        <v>16</v>
      </c>
      <c r="F104" s="6">
        <f>+C104*D104*E104*0.066</f>
        <v>170.01600000000002</v>
      </c>
    </row>
    <row r="105" spans="1:7" ht="12.75">
      <c r="A105" s="2" t="s">
        <v>137</v>
      </c>
      <c r="B105" s="16" t="s">
        <v>13</v>
      </c>
      <c r="C105" s="8">
        <v>22</v>
      </c>
      <c r="D105" s="8">
        <v>1</v>
      </c>
      <c r="E105" s="18">
        <f>E103+E104</f>
        <v>40</v>
      </c>
      <c r="G105" s="6">
        <f>+C105*D105*E105*0.16</f>
        <v>140.8</v>
      </c>
    </row>
    <row r="106" spans="1:5" ht="12.75">
      <c r="A106" s="1" t="s">
        <v>15</v>
      </c>
      <c r="D106" s="8"/>
      <c r="E106" s="8"/>
    </row>
    <row r="107" spans="1:6" ht="12.75">
      <c r="A107" s="2" t="s">
        <v>137</v>
      </c>
      <c r="B107" s="16" t="s">
        <v>16</v>
      </c>
      <c r="C107" s="8">
        <v>161</v>
      </c>
      <c r="D107" s="8">
        <v>1</v>
      </c>
      <c r="E107" s="18">
        <v>4</v>
      </c>
      <c r="F107" s="6">
        <f>+C107*D107*E107*0.066</f>
        <v>42.504000000000005</v>
      </c>
    </row>
    <row r="108" spans="4:7" ht="12.75">
      <c r="D108" s="8"/>
      <c r="E108" s="20" t="s">
        <v>3</v>
      </c>
      <c r="F108" s="7">
        <f>SUM(F93:F107)</f>
        <v>483.6480000000001</v>
      </c>
      <c r="G108" s="7">
        <f>SUM(G93:G107)</f>
        <v>204.8</v>
      </c>
    </row>
    <row r="110" ht="12.75">
      <c r="A110" s="21" t="s">
        <v>42</v>
      </c>
    </row>
    <row r="111" ht="12.75">
      <c r="A111" s="21" t="s">
        <v>43</v>
      </c>
    </row>
    <row r="112" spans="1:7" ht="12.75">
      <c r="A112" s="1"/>
      <c r="B112" s="1"/>
      <c r="C112" s="3"/>
      <c r="D112" s="1"/>
      <c r="E112" s="1"/>
      <c r="F112" s="1"/>
      <c r="G112" s="1"/>
    </row>
    <row r="114" spans="1:7" ht="15">
      <c r="A114" s="14" t="s">
        <v>186</v>
      </c>
      <c r="F114" s="3" t="s">
        <v>201</v>
      </c>
      <c r="G114" s="3" t="s">
        <v>202</v>
      </c>
    </row>
    <row r="115" spans="1:7" ht="15">
      <c r="A115" s="14"/>
      <c r="F115" s="3"/>
      <c r="G115" s="3"/>
    </row>
    <row r="116" spans="1:7" ht="12.75">
      <c r="A116" s="3" t="s">
        <v>0</v>
      </c>
      <c r="B116" s="3" t="s">
        <v>1</v>
      </c>
      <c r="C116" s="3" t="s">
        <v>38</v>
      </c>
      <c r="D116" s="3" t="s">
        <v>2</v>
      </c>
      <c r="E116" s="3" t="s">
        <v>3</v>
      </c>
      <c r="F116" s="3" t="s">
        <v>35</v>
      </c>
      <c r="G116" s="3" t="s">
        <v>35</v>
      </c>
    </row>
    <row r="117" spans="2:7" ht="12.75">
      <c r="B117" s="3" t="s">
        <v>4</v>
      </c>
      <c r="C117" s="3" t="s">
        <v>39</v>
      </c>
      <c r="D117" s="3" t="s">
        <v>5</v>
      </c>
      <c r="E117" s="3" t="s">
        <v>203</v>
      </c>
      <c r="F117" s="3" t="s">
        <v>40</v>
      </c>
      <c r="G117" s="3" t="s">
        <v>40</v>
      </c>
    </row>
    <row r="118" spans="1:7" ht="12.75">
      <c r="A118" s="1" t="s">
        <v>187</v>
      </c>
      <c r="B118" s="16" t="s">
        <v>8</v>
      </c>
      <c r="C118" s="8">
        <v>79</v>
      </c>
      <c r="D118" s="8">
        <v>3</v>
      </c>
      <c r="E118" s="18">
        <v>9</v>
      </c>
      <c r="F118" s="6">
        <f>+C118*D118*E118*0.066</f>
        <v>140.77800000000002</v>
      </c>
      <c r="G118" s="2">
        <f>+(0.25*F118)*6</f>
        <v>211.16700000000003</v>
      </c>
    </row>
    <row r="119" spans="2:7" ht="12.75">
      <c r="B119" s="16" t="s">
        <v>188</v>
      </c>
      <c r="C119" s="8">
        <v>210</v>
      </c>
      <c r="D119" s="8">
        <v>1</v>
      </c>
      <c r="E119" s="18">
        <v>9</v>
      </c>
      <c r="F119" s="6">
        <f>+C119*D119*E119*0.066</f>
        <v>124.74000000000001</v>
      </c>
      <c r="G119" s="2">
        <f aca="true" t="shared" si="0" ref="G119:G131">+(0.25*F119)*6</f>
        <v>187.11</v>
      </c>
    </row>
    <row r="120" spans="2:7" ht="12.75">
      <c r="B120" s="16" t="s">
        <v>189</v>
      </c>
      <c r="C120" s="8">
        <v>194</v>
      </c>
      <c r="D120" s="8">
        <v>3</v>
      </c>
      <c r="E120" s="18">
        <v>9</v>
      </c>
      <c r="F120" s="6">
        <f>+C120*D120*E120*0.066</f>
        <v>345.708</v>
      </c>
      <c r="G120" s="2">
        <f t="shared" si="0"/>
        <v>518.562</v>
      </c>
    </row>
    <row r="121" spans="1:7" ht="12.75">
      <c r="A121" s="1"/>
      <c r="B121" s="16" t="s">
        <v>190</v>
      </c>
      <c r="C121" s="8">
        <v>194</v>
      </c>
      <c r="D121" s="8">
        <v>5</v>
      </c>
      <c r="E121" s="18">
        <v>9</v>
      </c>
      <c r="F121" s="6">
        <f aca="true" t="shared" si="1" ref="F121:F131">+C121*D121*E121*0.066</f>
        <v>576.1800000000001</v>
      </c>
      <c r="G121" s="2">
        <f t="shared" si="0"/>
        <v>864.2700000000001</v>
      </c>
    </row>
    <row r="122" spans="2:7" ht="12.75">
      <c r="B122" s="16" t="s">
        <v>191</v>
      </c>
      <c r="C122" s="8">
        <v>85</v>
      </c>
      <c r="D122" s="8">
        <v>1</v>
      </c>
      <c r="E122" s="18">
        <v>9</v>
      </c>
      <c r="F122" s="6">
        <f t="shared" si="1"/>
        <v>50.49</v>
      </c>
      <c r="G122" s="2">
        <f t="shared" si="0"/>
        <v>75.735</v>
      </c>
    </row>
    <row r="123" spans="2:7" ht="12.75">
      <c r="B123" s="16" t="s">
        <v>192</v>
      </c>
      <c r="C123" s="8">
        <v>43</v>
      </c>
      <c r="D123" s="8">
        <v>10</v>
      </c>
      <c r="E123" s="18">
        <v>9</v>
      </c>
      <c r="F123" s="6">
        <f t="shared" si="1"/>
        <v>255.42000000000002</v>
      </c>
      <c r="G123" s="2">
        <f t="shared" si="0"/>
        <v>383.13</v>
      </c>
    </row>
    <row r="124" spans="2:7" ht="12.75">
      <c r="B124" s="16" t="s">
        <v>193</v>
      </c>
      <c r="C124" s="8">
        <v>56</v>
      </c>
      <c r="D124" s="8">
        <v>1</v>
      </c>
      <c r="E124" s="18">
        <v>9</v>
      </c>
      <c r="F124" s="6">
        <f t="shared" si="1"/>
        <v>33.264</v>
      </c>
      <c r="G124" s="2">
        <f t="shared" si="0"/>
        <v>49.896</v>
      </c>
    </row>
    <row r="125" spans="2:7" ht="12.75">
      <c r="B125" s="16" t="s">
        <v>194</v>
      </c>
      <c r="C125" s="8">
        <v>157</v>
      </c>
      <c r="D125" s="8">
        <v>1</v>
      </c>
      <c r="E125" s="18">
        <v>9</v>
      </c>
      <c r="F125" s="6">
        <f t="shared" si="1"/>
        <v>93.25800000000001</v>
      </c>
      <c r="G125" s="2">
        <f t="shared" si="0"/>
        <v>139.887</v>
      </c>
    </row>
    <row r="126" spans="2:7" ht="12.75">
      <c r="B126" s="16" t="s">
        <v>195</v>
      </c>
      <c r="C126" s="8">
        <v>7</v>
      </c>
      <c r="D126" s="8">
        <v>2</v>
      </c>
      <c r="E126" s="18">
        <v>9</v>
      </c>
      <c r="F126" s="6">
        <f t="shared" si="1"/>
        <v>8.316</v>
      </c>
      <c r="G126" s="2">
        <f t="shared" si="0"/>
        <v>12.474</v>
      </c>
    </row>
    <row r="127" spans="2:7" ht="12.75">
      <c r="B127" s="16" t="s">
        <v>196</v>
      </c>
      <c r="C127" s="8">
        <v>8</v>
      </c>
      <c r="D127" s="8">
        <v>2</v>
      </c>
      <c r="E127" s="18">
        <v>9</v>
      </c>
      <c r="F127" s="6">
        <f t="shared" si="1"/>
        <v>9.504000000000001</v>
      </c>
      <c r="G127" s="2">
        <f t="shared" si="0"/>
        <v>14.256000000000002</v>
      </c>
    </row>
    <row r="128" spans="2:7" ht="12.75">
      <c r="B128" s="16" t="s">
        <v>197</v>
      </c>
      <c r="C128" s="8">
        <v>8</v>
      </c>
      <c r="D128" s="8">
        <v>4</v>
      </c>
      <c r="E128" s="18">
        <v>9</v>
      </c>
      <c r="F128" s="6">
        <f t="shared" si="1"/>
        <v>19.008000000000003</v>
      </c>
      <c r="G128" s="2">
        <f t="shared" si="0"/>
        <v>28.512000000000004</v>
      </c>
    </row>
    <row r="129" spans="2:7" ht="12.75">
      <c r="B129" s="16" t="s">
        <v>198</v>
      </c>
      <c r="C129" s="8">
        <v>99</v>
      </c>
      <c r="D129" s="8">
        <v>1</v>
      </c>
      <c r="E129" s="18">
        <v>9</v>
      </c>
      <c r="F129" s="6">
        <f t="shared" si="1"/>
        <v>58.806000000000004</v>
      </c>
      <c r="G129" s="2">
        <f t="shared" si="0"/>
        <v>88.209</v>
      </c>
    </row>
    <row r="130" spans="2:7" ht="12.75">
      <c r="B130" s="16" t="s">
        <v>199</v>
      </c>
      <c r="C130" s="8">
        <v>45</v>
      </c>
      <c r="D130" s="8">
        <v>9</v>
      </c>
      <c r="E130" s="18">
        <v>9</v>
      </c>
      <c r="F130" s="6">
        <f t="shared" si="1"/>
        <v>240.57000000000002</v>
      </c>
      <c r="G130" s="2">
        <f t="shared" si="0"/>
        <v>360.855</v>
      </c>
    </row>
    <row r="131" spans="2:7" ht="12.75">
      <c r="B131" s="16" t="s">
        <v>200</v>
      </c>
      <c r="C131" s="8">
        <v>45</v>
      </c>
      <c r="D131" s="8">
        <v>3</v>
      </c>
      <c r="E131" s="18">
        <v>9</v>
      </c>
      <c r="F131" s="6">
        <f t="shared" si="1"/>
        <v>80.19</v>
      </c>
      <c r="G131" s="2">
        <f t="shared" si="0"/>
        <v>120.285</v>
      </c>
    </row>
    <row r="132" spans="4:7" ht="12.75">
      <c r="D132" s="8">
        <f>SUM(D118:D131)</f>
        <v>46</v>
      </c>
      <c r="E132" s="20" t="s">
        <v>3</v>
      </c>
      <c r="F132" s="34">
        <f>SUM(F118:F131)</f>
        <v>2036.2320000000002</v>
      </c>
      <c r="G132" s="34">
        <f>SUM(G118:G131)</f>
        <v>3054.3480000000004</v>
      </c>
    </row>
    <row r="134" ht="12.75">
      <c r="A134" s="2" t="s">
        <v>205</v>
      </c>
    </row>
    <row r="135" ht="12.75">
      <c r="A135" s="21" t="s">
        <v>42</v>
      </c>
    </row>
    <row r="136" ht="12.75">
      <c r="A136" s="21" t="s">
        <v>204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Roman,Bold"&amp;12Estimated Proposed Project and Project Alternatives Onsite Construction-Related Energy Impacts</oddHeader>
    <oddFooter>&amp;L&amp;"Times New Roman,Regular"&amp;F&amp;C&amp;"Times New Roman,Regular"Page 1 of &amp;N&amp;R&amp;"Times New Roman,Regular"&amp;D</oddFooter>
  </headerFooter>
  <rowBreaks count="5" manualBreakCount="5">
    <brk id="24" max="255" man="1"/>
    <brk id="48" max="255" man="1"/>
    <brk id="68" max="255" man="1"/>
    <brk id="88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92">
      <selection activeCell="E13" sqref="E13"/>
    </sheetView>
  </sheetViews>
  <sheetFormatPr defaultColWidth="9.140625" defaultRowHeight="12.75"/>
  <cols>
    <col min="1" max="1" width="26.8515625" style="2" bestFit="1" customWidth="1"/>
    <col min="2" max="2" width="36.57421875" style="2" bestFit="1" customWidth="1"/>
    <col min="3" max="3" width="10.421875" style="8" customWidth="1"/>
    <col min="4" max="4" width="19.28125" style="2" bestFit="1" customWidth="1"/>
    <col min="5" max="5" width="11.421875" style="2" bestFit="1" customWidth="1"/>
    <col min="6" max="6" width="10.8515625" style="2" bestFit="1" customWidth="1"/>
    <col min="7" max="7" width="14.28125" style="8" bestFit="1" customWidth="1"/>
    <col min="8" max="8" width="12.7109375" style="8" bestFit="1" customWidth="1"/>
    <col min="9" max="9" width="15.140625" style="8" bestFit="1" customWidth="1"/>
    <col min="10" max="16384" width="9.140625" style="2" customWidth="1"/>
  </cols>
  <sheetData>
    <row r="1" spans="1:9" ht="15">
      <c r="A1" s="14" t="s">
        <v>27</v>
      </c>
      <c r="B1" s="16"/>
      <c r="G1" s="2"/>
      <c r="H1" s="2"/>
      <c r="I1" s="2"/>
    </row>
    <row r="2" spans="1:9" ht="15">
      <c r="A2" s="14"/>
      <c r="B2" s="16"/>
      <c r="G2" s="2"/>
      <c r="H2" s="2"/>
      <c r="I2" s="2"/>
    </row>
    <row r="3" spans="1:9" ht="15">
      <c r="A3" s="14" t="s">
        <v>185</v>
      </c>
      <c r="B3" s="16"/>
      <c r="G3" s="2"/>
      <c r="H3" s="2"/>
      <c r="I3" s="2"/>
    </row>
    <row r="4" spans="1:9" ht="15">
      <c r="A4" s="14"/>
      <c r="B4" s="16"/>
      <c r="G4" s="2"/>
      <c r="H4" s="2"/>
      <c r="I4" s="2"/>
    </row>
    <row r="5" spans="1:9" ht="12.75">
      <c r="A5" s="3" t="s">
        <v>0</v>
      </c>
      <c r="B5" s="3" t="s">
        <v>55</v>
      </c>
      <c r="C5" s="3" t="s">
        <v>34</v>
      </c>
      <c r="D5" s="3" t="s">
        <v>28</v>
      </c>
      <c r="E5" s="3" t="s">
        <v>29</v>
      </c>
      <c r="F5" s="3" t="s">
        <v>30</v>
      </c>
      <c r="G5" s="3" t="s">
        <v>50</v>
      </c>
      <c r="H5" s="3" t="s">
        <v>51</v>
      </c>
      <c r="I5" s="3" t="s">
        <v>52</v>
      </c>
    </row>
    <row r="6" spans="2:9" ht="12.75">
      <c r="B6" s="3"/>
      <c r="C6" s="3"/>
      <c r="D6" s="3" t="s">
        <v>54</v>
      </c>
      <c r="E6" s="3" t="s">
        <v>53</v>
      </c>
      <c r="F6" s="3" t="s">
        <v>49</v>
      </c>
      <c r="G6" s="3" t="s">
        <v>57</v>
      </c>
      <c r="H6" s="3" t="s">
        <v>56</v>
      </c>
      <c r="I6" s="3" t="s">
        <v>56</v>
      </c>
    </row>
    <row r="7" spans="1:9" ht="12.75">
      <c r="A7" s="1" t="s">
        <v>148</v>
      </c>
      <c r="B7" s="3"/>
      <c r="C7" s="3"/>
      <c r="D7" s="3"/>
      <c r="E7" s="3"/>
      <c r="F7" s="3"/>
      <c r="H7" s="3"/>
      <c r="I7" s="3"/>
    </row>
    <row r="8" spans="2:6" ht="12.75">
      <c r="B8" s="3"/>
      <c r="C8" s="3"/>
      <c r="D8" s="3"/>
      <c r="E8" s="3"/>
      <c r="F8" s="3"/>
    </row>
    <row r="9" spans="1:9" ht="12.75">
      <c r="A9" s="2" t="s">
        <v>7</v>
      </c>
      <c r="B9" s="16" t="s">
        <v>31</v>
      </c>
      <c r="C9" s="8">
        <v>3</v>
      </c>
      <c r="D9" s="8">
        <v>6</v>
      </c>
      <c r="E9" s="8">
        <v>20</v>
      </c>
      <c r="F9" s="8">
        <v>120</v>
      </c>
      <c r="G9" s="8">
        <v>20</v>
      </c>
      <c r="H9" s="2"/>
      <c r="I9" s="8">
        <f>+F9/G9</f>
        <v>6</v>
      </c>
    </row>
    <row r="10" spans="1:9" ht="12.75">
      <c r="A10" s="2" t="s">
        <v>7</v>
      </c>
      <c r="B10" s="16" t="s">
        <v>32</v>
      </c>
      <c r="D10" s="8">
        <v>2</v>
      </c>
      <c r="E10" s="8">
        <v>25</v>
      </c>
      <c r="F10" s="8">
        <v>50</v>
      </c>
      <c r="G10" s="8">
        <v>10</v>
      </c>
      <c r="H10" s="8">
        <f>+F10/G10</f>
        <v>5</v>
      </c>
      <c r="I10" s="2"/>
    </row>
    <row r="11" spans="1:9" ht="12.75">
      <c r="A11" s="2" t="s">
        <v>9</v>
      </c>
      <c r="B11" s="16" t="s">
        <v>31</v>
      </c>
      <c r="C11" s="8">
        <v>3</v>
      </c>
      <c r="D11" s="8">
        <v>6</v>
      </c>
      <c r="E11" s="8">
        <v>20</v>
      </c>
      <c r="F11" s="8">
        <v>120</v>
      </c>
      <c r="G11" s="8">
        <v>20</v>
      </c>
      <c r="H11" s="2"/>
      <c r="I11" s="8">
        <f>+F11/G11</f>
        <v>6</v>
      </c>
    </row>
    <row r="12" spans="1:9" ht="12.75">
      <c r="A12" s="2" t="s">
        <v>11</v>
      </c>
      <c r="B12" s="16" t="s">
        <v>31</v>
      </c>
      <c r="C12" s="8">
        <v>3</v>
      </c>
      <c r="D12" s="8">
        <v>6</v>
      </c>
      <c r="E12" s="8">
        <v>20</v>
      </c>
      <c r="F12" s="8">
        <v>120</v>
      </c>
      <c r="G12" s="8">
        <v>20</v>
      </c>
      <c r="H12" s="2"/>
      <c r="I12" s="8">
        <f>+F12/G12</f>
        <v>6</v>
      </c>
    </row>
    <row r="13" spans="1:9" ht="12.75">
      <c r="A13" s="2" t="s">
        <v>11</v>
      </c>
      <c r="B13" s="16" t="s">
        <v>32</v>
      </c>
      <c r="D13" s="8">
        <v>2</v>
      </c>
      <c r="E13" s="8">
        <v>25</v>
      </c>
      <c r="F13" s="8">
        <v>50</v>
      </c>
      <c r="G13" s="8">
        <v>10</v>
      </c>
      <c r="H13" s="8">
        <f>+F13/G13</f>
        <v>5</v>
      </c>
      <c r="I13" s="2"/>
    </row>
    <row r="14" spans="1:9" ht="12.75">
      <c r="A14" s="2" t="s">
        <v>12</v>
      </c>
      <c r="B14" s="16" t="s">
        <v>31</v>
      </c>
      <c r="C14" s="8">
        <v>3</v>
      </c>
      <c r="D14" s="8">
        <v>6</v>
      </c>
      <c r="E14" s="8">
        <v>20</v>
      </c>
      <c r="F14" s="8">
        <v>120</v>
      </c>
      <c r="G14" s="8">
        <v>20</v>
      </c>
      <c r="H14" s="2"/>
      <c r="I14" s="8">
        <f>+F14/G14</f>
        <v>6</v>
      </c>
    </row>
    <row r="15" spans="1:9" ht="12.75">
      <c r="A15" s="2" t="s">
        <v>12</v>
      </c>
      <c r="B15" s="16" t="s">
        <v>32</v>
      </c>
      <c r="D15" s="8">
        <v>2</v>
      </c>
      <c r="E15" s="8">
        <v>25</v>
      </c>
      <c r="F15" s="8">
        <v>50</v>
      </c>
      <c r="G15" s="8">
        <v>10</v>
      </c>
      <c r="H15" s="8">
        <f>+F15/G15</f>
        <v>5</v>
      </c>
      <c r="I15" s="2"/>
    </row>
    <row r="16" spans="1:9" ht="12.75">
      <c r="A16" s="2" t="s">
        <v>14</v>
      </c>
      <c r="B16" s="16" t="s">
        <v>31</v>
      </c>
      <c r="C16" s="8">
        <v>3</v>
      </c>
      <c r="D16" s="8">
        <v>6</v>
      </c>
      <c r="E16" s="8">
        <v>20</v>
      </c>
      <c r="F16" s="8">
        <v>120</v>
      </c>
      <c r="G16" s="8">
        <v>20</v>
      </c>
      <c r="H16" s="2"/>
      <c r="I16" s="8">
        <f>+F16/G16</f>
        <v>6</v>
      </c>
    </row>
    <row r="17" spans="1:9" ht="12.75">
      <c r="A17" s="2" t="s">
        <v>15</v>
      </c>
      <c r="B17" s="16" t="s">
        <v>31</v>
      </c>
      <c r="C17" s="8">
        <v>3</v>
      </c>
      <c r="D17" s="8">
        <v>6</v>
      </c>
      <c r="E17" s="8">
        <v>20</v>
      </c>
      <c r="F17" s="8">
        <v>120</v>
      </c>
      <c r="G17" s="8">
        <v>20</v>
      </c>
      <c r="H17" s="2"/>
      <c r="I17" s="8">
        <f>+F17/G17</f>
        <v>6</v>
      </c>
    </row>
    <row r="18" spans="1:9" ht="12.75">
      <c r="A18" s="2" t="s">
        <v>15</v>
      </c>
      <c r="B18" s="16" t="s">
        <v>33</v>
      </c>
      <c r="D18" s="8">
        <v>2</v>
      </c>
      <c r="E18" s="8">
        <v>25</v>
      </c>
      <c r="F18" s="8">
        <v>50</v>
      </c>
      <c r="G18" s="8">
        <v>10</v>
      </c>
      <c r="H18" s="8">
        <f>+F18/G18</f>
        <v>5</v>
      </c>
      <c r="I18" s="2"/>
    </row>
    <row r="19" spans="2:9" ht="12.75">
      <c r="B19" s="16"/>
      <c r="D19" s="8"/>
      <c r="E19" s="8"/>
      <c r="G19" s="17" t="s">
        <v>3</v>
      </c>
      <c r="H19" s="3">
        <f>SUM(H9:H18)</f>
        <v>20</v>
      </c>
      <c r="I19" s="3">
        <f>SUM(I9:I18)</f>
        <v>36</v>
      </c>
    </row>
    <row r="20" spans="2:9" ht="12.75">
      <c r="B20" s="16"/>
      <c r="D20" s="8"/>
      <c r="E20" s="8"/>
      <c r="G20" s="17"/>
      <c r="H20" s="3"/>
      <c r="I20" s="3"/>
    </row>
    <row r="21" spans="1:9" ht="12.75">
      <c r="A21" s="3" t="s">
        <v>0</v>
      </c>
      <c r="B21" s="3" t="s">
        <v>55</v>
      </c>
      <c r="C21" s="3" t="s">
        <v>34</v>
      </c>
      <c r="D21" s="3" t="s">
        <v>28</v>
      </c>
      <c r="E21" s="3" t="s">
        <v>29</v>
      </c>
      <c r="F21" s="3" t="s">
        <v>30</v>
      </c>
      <c r="G21" s="3" t="s">
        <v>50</v>
      </c>
      <c r="H21" s="3" t="s">
        <v>51</v>
      </c>
      <c r="I21" s="3" t="s">
        <v>52</v>
      </c>
    </row>
    <row r="22" spans="2:9" ht="12.75">
      <c r="B22" s="3"/>
      <c r="C22" s="3"/>
      <c r="D22" s="3" t="s">
        <v>54</v>
      </c>
      <c r="E22" s="3" t="s">
        <v>53</v>
      </c>
      <c r="F22" s="3" t="s">
        <v>49</v>
      </c>
      <c r="G22" s="3" t="s">
        <v>57</v>
      </c>
      <c r="H22" s="3" t="s">
        <v>56</v>
      </c>
      <c r="I22" s="3" t="s">
        <v>56</v>
      </c>
    </row>
    <row r="23" spans="1:6" ht="12.75">
      <c r="A23" s="1" t="s">
        <v>149</v>
      </c>
      <c r="B23" s="16"/>
      <c r="D23" s="8"/>
      <c r="E23" s="8"/>
      <c r="F23" s="8"/>
    </row>
    <row r="24" spans="2:6" ht="12.75">
      <c r="B24" s="16"/>
      <c r="D24" s="8"/>
      <c r="E24" s="8"/>
      <c r="F24" s="8"/>
    </row>
    <row r="25" spans="1:9" ht="12.75">
      <c r="A25" s="2" t="s">
        <v>7</v>
      </c>
      <c r="B25" s="16" t="s">
        <v>31</v>
      </c>
      <c r="C25" s="8">
        <v>3</v>
      </c>
      <c r="D25" s="8">
        <v>6</v>
      </c>
      <c r="E25" s="8">
        <v>20</v>
      </c>
      <c r="F25" s="8">
        <v>120</v>
      </c>
      <c r="G25" s="8">
        <v>20</v>
      </c>
      <c r="H25" s="2"/>
      <c r="I25" s="8">
        <f>+F25/G25</f>
        <v>6</v>
      </c>
    </row>
    <row r="26" spans="1:9" ht="12.75">
      <c r="A26" s="2" t="s">
        <v>7</v>
      </c>
      <c r="B26" s="16" t="s">
        <v>32</v>
      </c>
      <c r="D26" s="8">
        <v>2</v>
      </c>
      <c r="E26" s="8">
        <v>25</v>
      </c>
      <c r="F26" s="8">
        <v>50</v>
      </c>
      <c r="G26" s="8">
        <v>10</v>
      </c>
      <c r="H26" s="8">
        <f>+F26/G26</f>
        <v>5</v>
      </c>
      <c r="I26" s="2"/>
    </row>
    <row r="27" spans="1:9" ht="12.75">
      <c r="A27" s="2" t="s">
        <v>9</v>
      </c>
      <c r="B27" s="16" t="s">
        <v>31</v>
      </c>
      <c r="C27" s="8">
        <v>3</v>
      </c>
      <c r="D27" s="8">
        <v>6</v>
      </c>
      <c r="E27" s="8">
        <v>20</v>
      </c>
      <c r="F27" s="8">
        <v>120</v>
      </c>
      <c r="G27" s="8">
        <v>20</v>
      </c>
      <c r="H27" s="2"/>
      <c r="I27" s="8">
        <f>+F27/G27</f>
        <v>6</v>
      </c>
    </row>
    <row r="28" spans="1:9" ht="12.75">
      <c r="A28" s="2" t="s">
        <v>11</v>
      </c>
      <c r="B28" s="16" t="s">
        <v>31</v>
      </c>
      <c r="C28" s="8">
        <v>3</v>
      </c>
      <c r="D28" s="8">
        <v>6</v>
      </c>
      <c r="E28" s="8">
        <v>20</v>
      </c>
      <c r="F28" s="8">
        <v>120</v>
      </c>
      <c r="G28" s="8">
        <v>20</v>
      </c>
      <c r="H28" s="2"/>
      <c r="I28" s="8">
        <f>+F28/G28</f>
        <v>6</v>
      </c>
    </row>
    <row r="29" spans="1:9" ht="12.75">
      <c r="A29" s="2" t="s">
        <v>11</v>
      </c>
      <c r="B29" s="16" t="s">
        <v>32</v>
      </c>
      <c r="D29" s="8">
        <v>2</v>
      </c>
      <c r="E29" s="8">
        <v>25</v>
      </c>
      <c r="F29" s="8">
        <v>50</v>
      </c>
      <c r="G29" s="8">
        <v>10</v>
      </c>
      <c r="H29" s="8">
        <f>+F29/G29</f>
        <v>5</v>
      </c>
      <c r="I29" s="2"/>
    </row>
    <row r="30" spans="1:9" ht="12.75">
      <c r="A30" s="2" t="s">
        <v>14</v>
      </c>
      <c r="B30" s="16" t="s">
        <v>31</v>
      </c>
      <c r="C30" s="8">
        <v>3</v>
      </c>
      <c r="D30" s="8">
        <v>6</v>
      </c>
      <c r="E30" s="8">
        <v>20</v>
      </c>
      <c r="F30" s="8">
        <v>120</v>
      </c>
      <c r="G30" s="8">
        <v>20</v>
      </c>
      <c r="H30" s="2"/>
      <c r="I30" s="8">
        <f>+F30/G30</f>
        <v>6</v>
      </c>
    </row>
    <row r="31" spans="1:9" ht="12.75">
      <c r="A31" s="2" t="s">
        <v>14</v>
      </c>
      <c r="B31" s="16" t="s">
        <v>32</v>
      </c>
      <c r="D31" s="8">
        <v>20</v>
      </c>
      <c r="E31" s="8">
        <v>25</v>
      </c>
      <c r="F31" s="8">
        <v>500</v>
      </c>
      <c r="G31" s="8">
        <v>10</v>
      </c>
      <c r="H31" s="8">
        <f>+F31/G31</f>
        <v>50</v>
      </c>
      <c r="I31" s="2"/>
    </row>
    <row r="32" spans="1:9" ht="12.75">
      <c r="A32" s="2" t="s">
        <v>15</v>
      </c>
      <c r="B32" s="16" t="s">
        <v>31</v>
      </c>
      <c r="C32" s="8">
        <v>3</v>
      </c>
      <c r="D32" s="8">
        <v>6</v>
      </c>
      <c r="E32" s="8">
        <v>20</v>
      </c>
      <c r="F32" s="8">
        <v>120</v>
      </c>
      <c r="G32" s="8">
        <v>20</v>
      </c>
      <c r="H32" s="2"/>
      <c r="I32" s="8">
        <f>+F32/G32</f>
        <v>6</v>
      </c>
    </row>
    <row r="33" spans="1:9" ht="12.75">
      <c r="A33" s="2" t="s">
        <v>15</v>
      </c>
      <c r="B33" s="16" t="s">
        <v>33</v>
      </c>
      <c r="D33" s="8">
        <v>2</v>
      </c>
      <c r="E33" s="8">
        <v>25</v>
      </c>
      <c r="F33" s="8">
        <v>50</v>
      </c>
      <c r="G33" s="8">
        <v>10</v>
      </c>
      <c r="H33" s="8">
        <f>+F33/G33</f>
        <v>5</v>
      </c>
      <c r="I33" s="2"/>
    </row>
    <row r="34" spans="1:9" ht="12.75">
      <c r="A34" s="2" t="s">
        <v>17</v>
      </c>
      <c r="B34" s="16" t="s">
        <v>31</v>
      </c>
      <c r="C34" s="8">
        <v>3</v>
      </c>
      <c r="D34" s="8">
        <v>6</v>
      </c>
      <c r="E34" s="8">
        <v>20</v>
      </c>
      <c r="F34" s="8">
        <v>120</v>
      </c>
      <c r="G34" s="8">
        <v>20</v>
      </c>
      <c r="H34" s="2"/>
      <c r="I34" s="8">
        <f>+F34/G34</f>
        <v>6</v>
      </c>
    </row>
    <row r="35" spans="1:9" ht="12.75">
      <c r="A35" s="2" t="s">
        <v>17</v>
      </c>
      <c r="B35" s="16" t="s">
        <v>33</v>
      </c>
      <c r="D35" s="8">
        <v>2</v>
      </c>
      <c r="E35" s="8">
        <v>25</v>
      </c>
      <c r="F35" s="8">
        <v>50</v>
      </c>
      <c r="G35" s="8">
        <v>10</v>
      </c>
      <c r="H35" s="8">
        <f>+F35/G35</f>
        <v>5</v>
      </c>
      <c r="I35" s="2"/>
    </row>
    <row r="36" spans="1:9" ht="12.75">
      <c r="A36" s="2" t="s">
        <v>17</v>
      </c>
      <c r="B36" s="16" t="s">
        <v>33</v>
      </c>
      <c r="D36" s="8">
        <v>2</v>
      </c>
      <c r="E36" s="8">
        <v>25</v>
      </c>
      <c r="F36" s="8">
        <v>50</v>
      </c>
      <c r="G36" s="8">
        <v>10</v>
      </c>
      <c r="H36" s="8">
        <f>+F36/G36</f>
        <v>5</v>
      </c>
      <c r="I36" s="2"/>
    </row>
    <row r="37" spans="1:9" ht="12.75">
      <c r="A37" s="2" t="s">
        <v>17</v>
      </c>
      <c r="B37" s="16" t="s">
        <v>32</v>
      </c>
      <c r="D37" s="8">
        <v>2</v>
      </c>
      <c r="E37" s="8">
        <v>25</v>
      </c>
      <c r="F37" s="8">
        <v>50</v>
      </c>
      <c r="G37" s="8">
        <v>10</v>
      </c>
      <c r="H37" s="8">
        <f>+F37/G37</f>
        <v>5</v>
      </c>
      <c r="I37" s="2"/>
    </row>
    <row r="38" spans="1:9" ht="12.75">
      <c r="A38" s="2" t="s">
        <v>17</v>
      </c>
      <c r="B38" s="16" t="s">
        <v>32</v>
      </c>
      <c r="D38" s="8">
        <v>4</v>
      </c>
      <c r="E38" s="8">
        <v>25</v>
      </c>
      <c r="F38" s="8">
        <v>100</v>
      </c>
      <c r="G38" s="8">
        <v>10</v>
      </c>
      <c r="H38" s="8">
        <f>+F38/G38</f>
        <v>10</v>
      </c>
      <c r="I38" s="2"/>
    </row>
    <row r="39" spans="2:9" ht="12.75">
      <c r="B39" s="16"/>
      <c r="D39" s="8"/>
      <c r="E39" s="8"/>
      <c r="F39" s="8"/>
      <c r="G39" s="17" t="s">
        <v>3</v>
      </c>
      <c r="H39" s="3">
        <f>SUM(H25:H38)</f>
        <v>90</v>
      </c>
      <c r="I39" s="3">
        <f>SUM(I25:I38)</f>
        <v>36</v>
      </c>
    </row>
    <row r="40" spans="2:9" ht="12.75">
      <c r="B40" s="16"/>
      <c r="D40" s="8"/>
      <c r="E40" s="8"/>
      <c r="F40" s="8"/>
      <c r="G40" s="17"/>
      <c r="H40" s="3"/>
      <c r="I40" s="3"/>
    </row>
    <row r="41" spans="1:9" ht="12.75">
      <c r="A41" s="3" t="s">
        <v>0</v>
      </c>
      <c r="B41" s="3" t="s">
        <v>55</v>
      </c>
      <c r="C41" s="3" t="s">
        <v>34</v>
      </c>
      <c r="D41" s="3" t="s">
        <v>28</v>
      </c>
      <c r="E41" s="3" t="s">
        <v>29</v>
      </c>
      <c r="F41" s="3" t="s">
        <v>30</v>
      </c>
      <c r="G41" s="3" t="s">
        <v>50</v>
      </c>
      <c r="H41" s="3" t="s">
        <v>51</v>
      </c>
      <c r="I41" s="3" t="s">
        <v>52</v>
      </c>
    </row>
    <row r="42" spans="2:9" ht="12.75">
      <c r="B42" s="3"/>
      <c r="C42" s="3"/>
      <c r="D42" s="3" t="s">
        <v>54</v>
      </c>
      <c r="E42" s="3" t="s">
        <v>53</v>
      </c>
      <c r="F42" s="3" t="s">
        <v>49</v>
      </c>
      <c r="G42" s="3" t="s">
        <v>57</v>
      </c>
      <c r="H42" s="3" t="s">
        <v>56</v>
      </c>
      <c r="I42" s="3" t="s">
        <v>56</v>
      </c>
    </row>
    <row r="43" spans="1:6" ht="12.75">
      <c r="A43" s="1" t="s">
        <v>150</v>
      </c>
      <c r="B43" s="16"/>
      <c r="D43" s="8"/>
      <c r="E43" s="8"/>
      <c r="F43" s="8"/>
    </row>
    <row r="44" spans="2:6" ht="12.75">
      <c r="B44" s="16"/>
      <c r="D44" s="8"/>
      <c r="E44" s="8"/>
      <c r="F44" s="8"/>
    </row>
    <row r="45" spans="1:9" ht="12.75">
      <c r="A45" s="2" t="s">
        <v>7</v>
      </c>
      <c r="B45" s="16" t="s">
        <v>31</v>
      </c>
      <c r="C45" s="8">
        <v>3</v>
      </c>
      <c r="D45" s="8">
        <v>6</v>
      </c>
      <c r="E45" s="8">
        <v>20</v>
      </c>
      <c r="F45" s="8">
        <v>120</v>
      </c>
      <c r="G45" s="8">
        <v>20</v>
      </c>
      <c r="H45" s="2"/>
      <c r="I45" s="8">
        <f>+F45/G45</f>
        <v>6</v>
      </c>
    </row>
    <row r="46" spans="1:9" ht="12.75">
      <c r="A46" s="2" t="s">
        <v>7</v>
      </c>
      <c r="B46" s="16" t="s">
        <v>32</v>
      </c>
      <c r="D46" s="8">
        <v>2</v>
      </c>
      <c r="E46" s="8">
        <v>25</v>
      </c>
      <c r="F46" s="8">
        <v>50</v>
      </c>
      <c r="G46" s="8">
        <v>10</v>
      </c>
      <c r="H46" s="8">
        <f>+F46/G46</f>
        <v>5</v>
      </c>
      <c r="I46" s="2"/>
    </row>
    <row r="47" spans="1:9" ht="12.75">
      <c r="A47" s="2" t="s">
        <v>9</v>
      </c>
      <c r="B47" s="16" t="s">
        <v>31</v>
      </c>
      <c r="C47" s="8">
        <v>3</v>
      </c>
      <c r="D47" s="8">
        <v>6</v>
      </c>
      <c r="E47" s="8">
        <v>20</v>
      </c>
      <c r="F47" s="8">
        <v>120</v>
      </c>
      <c r="G47" s="8">
        <v>20</v>
      </c>
      <c r="H47" s="2"/>
      <c r="I47" s="8">
        <f>+F47/G47</f>
        <v>6</v>
      </c>
    </row>
    <row r="48" spans="1:9" ht="12.75">
      <c r="A48" s="2" t="s">
        <v>11</v>
      </c>
      <c r="B48" s="16" t="s">
        <v>31</v>
      </c>
      <c r="C48" s="8">
        <v>3</v>
      </c>
      <c r="D48" s="8">
        <v>6</v>
      </c>
      <c r="E48" s="8">
        <v>20</v>
      </c>
      <c r="F48" s="8">
        <v>120</v>
      </c>
      <c r="G48" s="8">
        <v>20</v>
      </c>
      <c r="H48" s="2"/>
      <c r="I48" s="8">
        <f>+F48/G48</f>
        <v>6</v>
      </c>
    </row>
    <row r="49" spans="1:9" ht="12.75">
      <c r="A49" s="2" t="s">
        <v>11</v>
      </c>
      <c r="B49" s="16" t="s">
        <v>32</v>
      </c>
      <c r="D49" s="8">
        <v>2</v>
      </c>
      <c r="E49" s="8">
        <v>25</v>
      </c>
      <c r="F49" s="8">
        <v>50</v>
      </c>
      <c r="G49" s="8">
        <v>10</v>
      </c>
      <c r="H49" s="8">
        <f>+F49/G49</f>
        <v>5</v>
      </c>
      <c r="I49" s="2"/>
    </row>
    <row r="50" spans="1:9" ht="12.75">
      <c r="A50" s="2" t="s">
        <v>14</v>
      </c>
      <c r="B50" s="16" t="s">
        <v>31</v>
      </c>
      <c r="C50" s="8">
        <v>3</v>
      </c>
      <c r="D50" s="8">
        <v>6</v>
      </c>
      <c r="E50" s="8">
        <v>20</v>
      </c>
      <c r="F50" s="8">
        <v>120</v>
      </c>
      <c r="G50" s="8">
        <v>20</v>
      </c>
      <c r="H50" s="2"/>
      <c r="I50" s="8">
        <f>+F50/G50</f>
        <v>6</v>
      </c>
    </row>
    <row r="51" spans="1:9" ht="12.75">
      <c r="A51" s="2" t="s">
        <v>14</v>
      </c>
      <c r="B51" s="16" t="s">
        <v>32</v>
      </c>
      <c r="D51" s="8">
        <v>20</v>
      </c>
      <c r="E51" s="8">
        <v>25</v>
      </c>
      <c r="F51" s="8">
        <v>500</v>
      </c>
      <c r="G51" s="8">
        <v>10</v>
      </c>
      <c r="H51" s="8">
        <f>+F51/G51</f>
        <v>50</v>
      </c>
      <c r="I51" s="2"/>
    </row>
    <row r="52" spans="1:9" ht="12.75">
      <c r="A52" s="2" t="s">
        <v>15</v>
      </c>
      <c r="B52" s="16" t="s">
        <v>31</v>
      </c>
      <c r="C52" s="8">
        <v>3</v>
      </c>
      <c r="D52" s="8">
        <v>6</v>
      </c>
      <c r="E52" s="8">
        <v>20</v>
      </c>
      <c r="F52" s="8">
        <v>120</v>
      </c>
      <c r="G52" s="8">
        <v>20</v>
      </c>
      <c r="H52" s="2"/>
      <c r="I52" s="8">
        <f>+F52/G52</f>
        <v>6</v>
      </c>
    </row>
    <row r="53" spans="1:9" ht="12.75">
      <c r="A53" s="2" t="s">
        <v>15</v>
      </c>
      <c r="B53" s="16" t="s">
        <v>33</v>
      </c>
      <c r="D53" s="8">
        <v>2</v>
      </c>
      <c r="E53" s="8">
        <v>25</v>
      </c>
      <c r="F53" s="8">
        <v>50</v>
      </c>
      <c r="G53" s="8">
        <v>10</v>
      </c>
      <c r="H53" s="8">
        <f>+F53/G53</f>
        <v>5</v>
      </c>
      <c r="I53" s="2"/>
    </row>
    <row r="54" spans="1:9" ht="12.75">
      <c r="A54" s="2" t="s">
        <v>24</v>
      </c>
      <c r="B54" s="16" t="s">
        <v>31</v>
      </c>
      <c r="C54" s="8">
        <v>3</v>
      </c>
      <c r="D54" s="8">
        <v>6</v>
      </c>
      <c r="E54" s="8">
        <v>20</v>
      </c>
      <c r="F54" s="8">
        <v>120</v>
      </c>
      <c r="G54" s="8">
        <v>20</v>
      </c>
      <c r="H54" s="2"/>
      <c r="I54" s="8">
        <f>+F54/G54</f>
        <v>6</v>
      </c>
    </row>
    <row r="55" spans="1:9" ht="12.75">
      <c r="A55" s="2" t="s">
        <v>24</v>
      </c>
      <c r="B55" s="16" t="s">
        <v>33</v>
      </c>
      <c r="D55" s="8">
        <v>2</v>
      </c>
      <c r="E55" s="8">
        <v>25</v>
      </c>
      <c r="F55" s="8">
        <v>50</v>
      </c>
      <c r="G55" s="8">
        <v>10</v>
      </c>
      <c r="H55" s="8">
        <f>+F55/G55</f>
        <v>5</v>
      </c>
      <c r="I55" s="2"/>
    </row>
    <row r="56" spans="1:9" ht="12.75">
      <c r="A56" s="2" t="s">
        <v>24</v>
      </c>
      <c r="B56" s="16" t="s">
        <v>32</v>
      </c>
      <c r="D56" s="8">
        <v>2</v>
      </c>
      <c r="E56" s="8">
        <v>25</v>
      </c>
      <c r="F56" s="8">
        <v>50</v>
      </c>
      <c r="G56" s="8">
        <v>10</v>
      </c>
      <c r="H56" s="8">
        <f>+F56/G56</f>
        <v>5</v>
      </c>
      <c r="I56" s="2"/>
    </row>
    <row r="57" spans="2:9" ht="12.75">
      <c r="B57" s="16"/>
      <c r="D57" s="8"/>
      <c r="E57" s="8"/>
      <c r="F57" s="8"/>
      <c r="G57" s="17" t="s">
        <v>3</v>
      </c>
      <c r="H57" s="3">
        <f>SUM(H45:H56)</f>
        <v>75</v>
      </c>
      <c r="I57" s="3">
        <f>SUM(I45:I56)</f>
        <v>36</v>
      </c>
    </row>
    <row r="58" spans="2:9" ht="12.75">
      <c r="B58" s="16"/>
      <c r="D58" s="8"/>
      <c r="E58" s="8"/>
      <c r="F58" s="8"/>
      <c r="G58" s="17"/>
      <c r="H58" s="3"/>
      <c r="I58" s="3"/>
    </row>
    <row r="59" spans="1:9" ht="12.75">
      <c r="A59" s="3" t="s">
        <v>0</v>
      </c>
      <c r="B59" s="3" t="s">
        <v>55</v>
      </c>
      <c r="C59" s="3" t="s">
        <v>34</v>
      </c>
      <c r="D59" s="3" t="s">
        <v>28</v>
      </c>
      <c r="E59" s="3" t="s">
        <v>29</v>
      </c>
      <c r="F59" s="3" t="s">
        <v>30</v>
      </c>
      <c r="G59" s="3" t="s">
        <v>50</v>
      </c>
      <c r="H59" s="3" t="s">
        <v>51</v>
      </c>
      <c r="I59" s="3" t="s">
        <v>52</v>
      </c>
    </row>
    <row r="60" spans="2:9" ht="12.75">
      <c r="B60" s="3"/>
      <c r="C60" s="3"/>
      <c r="D60" s="3" t="s">
        <v>54</v>
      </c>
      <c r="E60" s="3" t="s">
        <v>53</v>
      </c>
      <c r="F60" s="3" t="s">
        <v>49</v>
      </c>
      <c r="G60" s="3" t="s">
        <v>57</v>
      </c>
      <c r="H60" s="3" t="s">
        <v>56</v>
      </c>
      <c r="I60" s="3" t="s">
        <v>56</v>
      </c>
    </row>
    <row r="61" spans="1:6" ht="12.75">
      <c r="A61" s="1" t="s">
        <v>151</v>
      </c>
      <c r="B61" s="16"/>
      <c r="D61" s="8"/>
      <c r="E61" s="8"/>
      <c r="F61" s="8"/>
    </row>
    <row r="62" spans="2:6" ht="12.75">
      <c r="B62" s="16"/>
      <c r="D62" s="8"/>
      <c r="E62" s="8"/>
      <c r="F62" s="8"/>
    </row>
    <row r="63" spans="1:9" ht="12.75">
      <c r="A63" s="2" t="s">
        <v>7</v>
      </c>
      <c r="B63" s="16" t="s">
        <v>31</v>
      </c>
      <c r="C63" s="8">
        <v>3</v>
      </c>
      <c r="D63" s="8">
        <v>6</v>
      </c>
      <c r="E63" s="8">
        <v>20</v>
      </c>
      <c r="F63" s="8">
        <v>120</v>
      </c>
      <c r="G63" s="8">
        <v>20</v>
      </c>
      <c r="H63" s="2"/>
      <c r="I63" s="8">
        <f>+F63/G63</f>
        <v>6</v>
      </c>
    </row>
    <row r="64" spans="1:9" ht="12.75">
      <c r="A64" s="2" t="s">
        <v>7</v>
      </c>
      <c r="B64" s="16" t="s">
        <v>32</v>
      </c>
      <c r="D64" s="8">
        <v>2</v>
      </c>
      <c r="E64" s="8">
        <v>25</v>
      </c>
      <c r="F64" s="8">
        <v>50</v>
      </c>
      <c r="G64" s="8">
        <v>10</v>
      </c>
      <c r="H64" s="8">
        <f>+F64/G64</f>
        <v>5</v>
      </c>
      <c r="I64" s="2"/>
    </row>
    <row r="65" spans="1:9" ht="12.75">
      <c r="A65" s="2" t="s">
        <v>9</v>
      </c>
      <c r="B65" s="16" t="s">
        <v>31</v>
      </c>
      <c r="C65" s="8">
        <v>3</v>
      </c>
      <c r="D65" s="8">
        <v>6</v>
      </c>
      <c r="E65" s="8">
        <v>20</v>
      </c>
      <c r="F65" s="8">
        <v>120</v>
      </c>
      <c r="G65" s="8">
        <v>20</v>
      </c>
      <c r="H65" s="2"/>
      <c r="I65" s="8">
        <f>+F65/G65</f>
        <v>6</v>
      </c>
    </row>
    <row r="66" spans="1:9" ht="12.75">
      <c r="A66" s="2" t="s">
        <v>11</v>
      </c>
      <c r="B66" s="16" t="s">
        <v>31</v>
      </c>
      <c r="C66" s="8">
        <v>3</v>
      </c>
      <c r="D66" s="8">
        <v>6</v>
      </c>
      <c r="E66" s="8">
        <v>20</v>
      </c>
      <c r="F66" s="8">
        <v>120</v>
      </c>
      <c r="G66" s="8">
        <v>20</v>
      </c>
      <c r="H66" s="2"/>
      <c r="I66" s="8">
        <f>+F66/G66</f>
        <v>6</v>
      </c>
    </row>
    <row r="67" spans="1:9" ht="12.75">
      <c r="A67" s="2" t="s">
        <v>11</v>
      </c>
      <c r="B67" s="16" t="s">
        <v>32</v>
      </c>
      <c r="D67" s="8">
        <v>2</v>
      </c>
      <c r="E67" s="8">
        <v>25</v>
      </c>
      <c r="F67" s="8">
        <v>50</v>
      </c>
      <c r="G67" s="8">
        <v>10</v>
      </c>
      <c r="H67" s="8">
        <f>+F67/G67</f>
        <v>5</v>
      </c>
      <c r="I67" s="2"/>
    </row>
    <row r="68" spans="1:9" ht="12.75">
      <c r="A68" s="2" t="s">
        <v>14</v>
      </c>
      <c r="B68" s="16" t="s">
        <v>31</v>
      </c>
      <c r="C68" s="8">
        <v>3</v>
      </c>
      <c r="D68" s="8">
        <v>6</v>
      </c>
      <c r="E68" s="8">
        <v>20</v>
      </c>
      <c r="F68" s="8">
        <v>120</v>
      </c>
      <c r="G68" s="8">
        <v>20</v>
      </c>
      <c r="H68" s="2"/>
      <c r="I68" s="8">
        <f>+F68/G68</f>
        <v>6</v>
      </c>
    </row>
    <row r="69" spans="1:9" ht="12.75">
      <c r="A69" s="2" t="s">
        <v>14</v>
      </c>
      <c r="B69" s="16" t="s">
        <v>32</v>
      </c>
      <c r="D69" s="8">
        <v>20</v>
      </c>
      <c r="E69" s="8">
        <v>25</v>
      </c>
      <c r="F69" s="8">
        <v>500</v>
      </c>
      <c r="G69" s="8">
        <v>10</v>
      </c>
      <c r="H69" s="8">
        <f>+F69/G69</f>
        <v>50</v>
      </c>
      <c r="I69" s="2"/>
    </row>
    <row r="70" spans="1:9" ht="12.75">
      <c r="A70" s="2" t="s">
        <v>15</v>
      </c>
      <c r="B70" s="16" t="s">
        <v>31</v>
      </c>
      <c r="C70" s="8">
        <v>3</v>
      </c>
      <c r="D70" s="8">
        <v>6</v>
      </c>
      <c r="E70" s="8">
        <v>20</v>
      </c>
      <c r="F70" s="8">
        <v>120</v>
      </c>
      <c r="G70" s="8">
        <v>20</v>
      </c>
      <c r="H70" s="2"/>
      <c r="I70" s="8">
        <f>+F70/G70</f>
        <v>6</v>
      </c>
    </row>
    <row r="71" spans="1:9" ht="12.75">
      <c r="A71" s="2" t="s">
        <v>15</v>
      </c>
      <c r="B71" s="16" t="s">
        <v>33</v>
      </c>
      <c r="D71" s="8">
        <v>2</v>
      </c>
      <c r="E71" s="8">
        <v>25</v>
      </c>
      <c r="F71" s="8">
        <v>50</v>
      </c>
      <c r="G71" s="8">
        <v>10</v>
      </c>
      <c r="H71" s="8">
        <f>+F71/G71</f>
        <v>5</v>
      </c>
      <c r="I71" s="2"/>
    </row>
    <row r="72" spans="1:9" ht="12.75">
      <c r="A72" s="2" t="s">
        <v>19</v>
      </c>
      <c r="B72" s="16" t="s">
        <v>31</v>
      </c>
      <c r="C72" s="8">
        <v>3</v>
      </c>
      <c r="D72" s="8">
        <v>6</v>
      </c>
      <c r="E72" s="8">
        <v>20</v>
      </c>
      <c r="F72" s="8">
        <v>120</v>
      </c>
      <c r="G72" s="8">
        <v>20</v>
      </c>
      <c r="H72" s="2"/>
      <c r="I72" s="8">
        <f>+F72/G72</f>
        <v>6</v>
      </c>
    </row>
    <row r="73" spans="1:9" ht="12.75">
      <c r="A73" s="2" t="s">
        <v>19</v>
      </c>
      <c r="B73" s="16" t="s">
        <v>33</v>
      </c>
      <c r="D73" s="8">
        <v>2</v>
      </c>
      <c r="E73" s="8">
        <v>25</v>
      </c>
      <c r="F73" s="8">
        <v>50</v>
      </c>
      <c r="G73" s="8">
        <v>10</v>
      </c>
      <c r="H73" s="8">
        <f>+F73/G73</f>
        <v>5</v>
      </c>
      <c r="I73" s="2"/>
    </row>
    <row r="74" spans="1:9" ht="12.75">
      <c r="A74" s="2" t="s">
        <v>19</v>
      </c>
      <c r="B74" s="16" t="s">
        <v>32</v>
      </c>
      <c r="D74" s="8">
        <v>2</v>
      </c>
      <c r="E74" s="8">
        <v>25</v>
      </c>
      <c r="F74" s="8">
        <v>50</v>
      </c>
      <c r="G74" s="8">
        <v>10</v>
      </c>
      <c r="H74" s="8">
        <f>+F74/G74</f>
        <v>5</v>
      </c>
      <c r="I74" s="2"/>
    </row>
    <row r="75" spans="2:9" ht="12.75">
      <c r="B75" s="16"/>
      <c r="D75" s="8"/>
      <c r="E75" s="8"/>
      <c r="F75" s="8"/>
      <c r="G75" s="17" t="s">
        <v>3</v>
      </c>
      <c r="H75" s="3">
        <f>SUM(H63:H74)</f>
        <v>75</v>
      </c>
      <c r="I75" s="3">
        <f>SUM(I63:I74)</f>
        <v>36</v>
      </c>
    </row>
    <row r="76" spans="2:9" ht="12.75">
      <c r="B76" s="16"/>
      <c r="D76" s="8"/>
      <c r="E76" s="8"/>
      <c r="F76" s="8"/>
      <c r="G76" s="17"/>
      <c r="H76" s="3"/>
      <c r="I76" s="3"/>
    </row>
    <row r="77" spans="1:9" ht="12.75">
      <c r="A77" s="3" t="s">
        <v>0</v>
      </c>
      <c r="B77" s="3" t="s">
        <v>55</v>
      </c>
      <c r="C77" s="3" t="s">
        <v>34</v>
      </c>
      <c r="D77" s="3" t="s">
        <v>28</v>
      </c>
      <c r="E77" s="3" t="s">
        <v>29</v>
      </c>
      <c r="F77" s="3" t="s">
        <v>30</v>
      </c>
      <c r="G77" s="3" t="s">
        <v>50</v>
      </c>
      <c r="H77" s="3" t="s">
        <v>51</v>
      </c>
      <c r="I77" s="3" t="s">
        <v>52</v>
      </c>
    </row>
    <row r="78" spans="2:9" ht="12.75">
      <c r="B78" s="3"/>
      <c r="C78" s="3"/>
      <c r="D78" s="3" t="s">
        <v>54</v>
      </c>
      <c r="E78" s="3" t="s">
        <v>53</v>
      </c>
      <c r="F78" s="3" t="s">
        <v>49</v>
      </c>
      <c r="G78" s="3" t="s">
        <v>57</v>
      </c>
      <c r="H78" s="3" t="s">
        <v>56</v>
      </c>
      <c r="I78" s="3" t="s">
        <v>56</v>
      </c>
    </row>
    <row r="79" spans="1:6" ht="12.75">
      <c r="A79" s="1" t="s">
        <v>120</v>
      </c>
      <c r="B79" s="16"/>
      <c r="D79" s="8"/>
      <c r="E79" s="8"/>
      <c r="F79" s="8"/>
    </row>
    <row r="80" spans="2:6" ht="12.75">
      <c r="B80" s="16"/>
      <c r="D80" s="8"/>
      <c r="E80" s="8"/>
      <c r="F80" s="8"/>
    </row>
    <row r="81" spans="1:9" ht="12.75">
      <c r="A81" s="2" t="s">
        <v>7</v>
      </c>
      <c r="B81" s="16" t="s">
        <v>31</v>
      </c>
      <c r="C81" s="8">
        <v>3</v>
      </c>
      <c r="D81" s="8">
        <v>6</v>
      </c>
      <c r="E81" s="8">
        <v>20</v>
      </c>
      <c r="F81" s="8">
        <v>120</v>
      </c>
      <c r="G81" s="8">
        <v>20</v>
      </c>
      <c r="H81" s="2"/>
      <c r="I81" s="8">
        <f>+F81/G81</f>
        <v>6</v>
      </c>
    </row>
    <row r="82" spans="1:9" ht="12.75">
      <c r="A82" s="2" t="s">
        <v>7</v>
      </c>
      <c r="B82" s="16" t="s">
        <v>32</v>
      </c>
      <c r="D82" s="8">
        <v>2</v>
      </c>
      <c r="E82" s="8">
        <v>25</v>
      </c>
      <c r="F82" s="8">
        <v>50</v>
      </c>
      <c r="G82" s="8">
        <v>10</v>
      </c>
      <c r="H82" s="8">
        <f>+F82/G82</f>
        <v>5</v>
      </c>
      <c r="I82" s="2"/>
    </row>
    <row r="83" spans="1:9" ht="12.75">
      <c r="A83" s="2" t="s">
        <v>9</v>
      </c>
      <c r="B83" s="16" t="s">
        <v>31</v>
      </c>
      <c r="C83" s="8">
        <v>3</v>
      </c>
      <c r="D83" s="8">
        <v>6</v>
      </c>
      <c r="E83" s="8">
        <v>20</v>
      </c>
      <c r="F83" s="8">
        <v>120</v>
      </c>
      <c r="G83" s="8">
        <v>20</v>
      </c>
      <c r="H83" s="2"/>
      <c r="I83" s="8">
        <f>+F83/G83</f>
        <v>6</v>
      </c>
    </row>
    <row r="84" spans="1:9" ht="12.75">
      <c r="A84" s="2" t="s">
        <v>11</v>
      </c>
      <c r="B84" s="16" t="s">
        <v>31</v>
      </c>
      <c r="C84" s="8">
        <v>3</v>
      </c>
      <c r="D84" s="8">
        <v>6</v>
      </c>
      <c r="E84" s="8">
        <v>20</v>
      </c>
      <c r="F84" s="8">
        <v>120</v>
      </c>
      <c r="G84" s="8">
        <v>20</v>
      </c>
      <c r="H84" s="2"/>
      <c r="I84" s="8">
        <f>+F84/G84</f>
        <v>6</v>
      </c>
    </row>
    <row r="85" spans="1:9" ht="12.75">
      <c r="A85" s="2" t="s">
        <v>11</v>
      </c>
      <c r="B85" s="16" t="s">
        <v>32</v>
      </c>
      <c r="D85" s="8">
        <v>2</v>
      </c>
      <c r="E85" s="8">
        <v>25</v>
      </c>
      <c r="F85" s="8">
        <v>50</v>
      </c>
      <c r="G85" s="8">
        <v>10</v>
      </c>
      <c r="H85" s="8">
        <f>+F85/G85</f>
        <v>5</v>
      </c>
      <c r="I85" s="2"/>
    </row>
    <row r="86" spans="1:9" ht="12.75">
      <c r="A86" s="2" t="s">
        <v>14</v>
      </c>
      <c r="B86" s="16" t="s">
        <v>31</v>
      </c>
      <c r="C86" s="8">
        <v>3</v>
      </c>
      <c r="D86" s="8">
        <v>6</v>
      </c>
      <c r="E86" s="8">
        <v>20</v>
      </c>
      <c r="F86" s="8">
        <v>120</v>
      </c>
      <c r="G86" s="8">
        <v>20</v>
      </c>
      <c r="H86" s="2"/>
      <c r="I86" s="8">
        <f>+F86/G86</f>
        <v>6</v>
      </c>
    </row>
    <row r="87" spans="1:9" ht="12.75">
      <c r="A87" s="2" t="s">
        <v>14</v>
      </c>
      <c r="B87" s="16" t="s">
        <v>32</v>
      </c>
      <c r="D87" s="8">
        <v>20</v>
      </c>
      <c r="E87" s="8">
        <v>25</v>
      </c>
      <c r="F87" s="8">
        <v>500</v>
      </c>
      <c r="G87" s="8">
        <v>10</v>
      </c>
      <c r="H87" s="8">
        <f>+F87/G87</f>
        <v>50</v>
      </c>
      <c r="I87" s="2"/>
    </row>
    <row r="88" spans="1:9" ht="12.75">
      <c r="A88" s="2" t="s">
        <v>20</v>
      </c>
      <c r="B88" s="16" t="s">
        <v>31</v>
      </c>
      <c r="C88" s="8">
        <v>4</v>
      </c>
      <c r="D88" s="8">
        <v>8</v>
      </c>
      <c r="E88" s="8">
        <v>20</v>
      </c>
      <c r="F88" s="8">
        <v>160</v>
      </c>
      <c r="G88" s="8">
        <v>20</v>
      </c>
      <c r="H88" s="2"/>
      <c r="I88" s="8">
        <f>+F88/G88</f>
        <v>8</v>
      </c>
    </row>
    <row r="89" spans="1:9" ht="12.75">
      <c r="A89" s="2" t="s">
        <v>20</v>
      </c>
      <c r="B89" s="16" t="s">
        <v>32</v>
      </c>
      <c r="D89" s="8">
        <v>8</v>
      </c>
      <c r="E89" s="8">
        <v>25</v>
      </c>
      <c r="F89" s="8">
        <v>200</v>
      </c>
      <c r="G89" s="8">
        <v>10</v>
      </c>
      <c r="H89" s="8">
        <f>+F89/G89</f>
        <v>20</v>
      </c>
      <c r="I89" s="2"/>
    </row>
    <row r="90" spans="1:9" ht="12.75">
      <c r="A90" s="2" t="s">
        <v>20</v>
      </c>
      <c r="B90" s="16" t="s">
        <v>33</v>
      </c>
      <c r="D90" s="8">
        <v>2</v>
      </c>
      <c r="E90" s="8">
        <v>25</v>
      </c>
      <c r="F90" s="8">
        <v>50</v>
      </c>
      <c r="G90" s="8">
        <v>10</v>
      </c>
      <c r="H90" s="8">
        <f>+F90/G90</f>
        <v>5</v>
      </c>
      <c r="I90" s="2"/>
    </row>
    <row r="91" spans="1:9" ht="12.75">
      <c r="A91" s="2" t="s">
        <v>15</v>
      </c>
      <c r="B91" s="16" t="s">
        <v>31</v>
      </c>
      <c r="C91" s="8">
        <v>3</v>
      </c>
      <c r="D91" s="8">
        <v>6</v>
      </c>
      <c r="E91" s="8">
        <v>20</v>
      </c>
      <c r="F91" s="8">
        <v>120</v>
      </c>
      <c r="G91" s="8">
        <v>20</v>
      </c>
      <c r="H91" s="2"/>
      <c r="I91" s="8">
        <f>+F91/G91</f>
        <v>6</v>
      </c>
    </row>
    <row r="92" spans="1:9" ht="12.75">
      <c r="A92" s="2" t="s">
        <v>15</v>
      </c>
      <c r="B92" s="16" t="s">
        <v>33</v>
      </c>
      <c r="D92" s="8">
        <v>2</v>
      </c>
      <c r="E92" s="8">
        <v>25</v>
      </c>
      <c r="F92" s="8">
        <v>50</v>
      </c>
      <c r="G92" s="8">
        <v>10</v>
      </c>
      <c r="H92" s="8">
        <f>+F92/G92</f>
        <v>5</v>
      </c>
      <c r="I92" s="2"/>
    </row>
    <row r="93" spans="7:9" ht="12.75">
      <c r="G93" s="17" t="s">
        <v>3</v>
      </c>
      <c r="H93" s="3">
        <f>SUM(H81:H92)</f>
        <v>90</v>
      </c>
      <c r="I93" s="3">
        <f>SUM(I81:I92)</f>
        <v>38</v>
      </c>
    </row>
    <row r="94" ht="12.75">
      <c r="A94" s="2" t="s">
        <v>58</v>
      </c>
    </row>
    <row r="96" ht="15">
      <c r="A96" s="14" t="s">
        <v>186</v>
      </c>
    </row>
    <row r="97" ht="15">
      <c r="A97" s="14"/>
    </row>
    <row r="98" spans="1:9" ht="12.75">
      <c r="A98" s="3" t="s">
        <v>0</v>
      </c>
      <c r="B98" s="3" t="s">
        <v>55</v>
      </c>
      <c r="C98" s="3" t="s">
        <v>34</v>
      </c>
      <c r="D98" s="3" t="s">
        <v>28</v>
      </c>
      <c r="E98" s="3" t="s">
        <v>29</v>
      </c>
      <c r="F98" s="3" t="s">
        <v>30</v>
      </c>
      <c r="G98" s="3" t="s">
        <v>50</v>
      </c>
      <c r="H98" s="3" t="s">
        <v>51</v>
      </c>
      <c r="I98" s="3" t="s">
        <v>52</v>
      </c>
    </row>
    <row r="99" spans="2:9" ht="12.75">
      <c r="B99" s="3"/>
      <c r="C99" s="3"/>
      <c r="D99" s="3" t="s">
        <v>54</v>
      </c>
      <c r="E99" s="3" t="s">
        <v>53</v>
      </c>
      <c r="F99" s="3" t="s">
        <v>49</v>
      </c>
      <c r="G99" s="3" t="s">
        <v>57</v>
      </c>
      <c r="H99" s="3" t="s">
        <v>56</v>
      </c>
      <c r="I99" s="3" t="s">
        <v>56</v>
      </c>
    </row>
    <row r="100" spans="2:6" ht="12.75">
      <c r="B100" s="3"/>
      <c r="C100" s="3"/>
      <c r="D100" s="3"/>
      <c r="E100" s="3"/>
      <c r="F100" s="3"/>
    </row>
    <row r="101" spans="1:9" ht="12.75">
      <c r="A101" s="2" t="s">
        <v>187</v>
      </c>
      <c r="B101" s="16" t="s">
        <v>31</v>
      </c>
      <c r="C101" s="8">
        <v>382</v>
      </c>
      <c r="D101" s="8">
        <f>+C101*2</f>
        <v>764</v>
      </c>
      <c r="E101" s="8">
        <v>20</v>
      </c>
      <c r="F101" s="4">
        <f>+D101*E101</f>
        <v>15280</v>
      </c>
      <c r="G101" s="8">
        <v>20</v>
      </c>
      <c r="H101" s="2"/>
      <c r="I101" s="8">
        <f>+F101/G101</f>
        <v>764</v>
      </c>
    </row>
    <row r="102" spans="2:9" ht="12.75">
      <c r="B102" s="16" t="s">
        <v>32</v>
      </c>
      <c r="C102" s="8">
        <v>25</v>
      </c>
      <c r="D102" s="8">
        <f>+C102*4</f>
        <v>100</v>
      </c>
      <c r="E102" s="8">
        <v>25</v>
      </c>
      <c r="F102" s="4">
        <f>+D102*E102</f>
        <v>2500</v>
      </c>
      <c r="G102" s="8">
        <v>10</v>
      </c>
      <c r="H102" s="8">
        <f>+F102/G102</f>
        <v>250</v>
      </c>
      <c r="I102" s="2"/>
    </row>
    <row r="103" spans="7:9" ht="12.75">
      <c r="G103" s="17" t="s">
        <v>3</v>
      </c>
      <c r="H103" s="3">
        <f>SUM(H91:H102)</f>
        <v>345</v>
      </c>
      <c r="I103" s="3">
        <f>SUM(I91:I102)</f>
        <v>808</v>
      </c>
    </row>
    <row r="105" ht="12.75">
      <c r="A105" s="2" t="s">
        <v>212</v>
      </c>
    </row>
    <row r="106" ht="12.75">
      <c r="A106" s="2" t="s">
        <v>58</v>
      </c>
    </row>
  </sheetData>
  <sheetProtection/>
  <printOptions/>
  <pageMargins left="0.25" right="0.25" top="1" bottom="1" header="0.5" footer="0.5"/>
  <pageSetup horizontalDpi="600" verticalDpi="600" orientation="landscape" scale="85" r:id="rId1"/>
  <headerFooter alignWithMargins="0">
    <oddHeader>&amp;C&amp;"Times New Roman,Bold"&amp;12Estimated Proposed Project and Project Alternatives Offsite Construction-Related Energy Impacts</oddHeader>
    <oddFooter>&amp;L&amp;"Times New Roman,Regular"&amp;F&amp;C&amp;"Times New Roman,Regular"Page &amp;P of &amp;N&amp;R&amp;"Times New Roman,Regular"&amp;D</oddFooter>
  </headerFooter>
  <rowBreaks count="2" manualBreakCount="2">
    <brk id="40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64">
      <selection activeCell="B157" sqref="B157"/>
    </sheetView>
  </sheetViews>
  <sheetFormatPr defaultColWidth="9.140625" defaultRowHeight="12.75"/>
  <cols>
    <col min="1" max="1" width="41.57421875" style="2" customWidth="1"/>
    <col min="2" max="3" width="11.00390625" style="2" customWidth="1"/>
    <col min="4" max="4" width="13.28125" style="2" customWidth="1"/>
    <col min="5" max="5" width="11.00390625" style="2" customWidth="1"/>
    <col min="6" max="6" width="10.140625" style="2" customWidth="1"/>
    <col min="7" max="7" width="13.28125" style="2" bestFit="1" customWidth="1"/>
    <col min="8" max="8" width="11.00390625" style="2" bestFit="1" customWidth="1"/>
    <col min="9" max="9" width="10.140625" style="2" bestFit="1" customWidth="1"/>
    <col min="10" max="10" width="13.28125" style="2" bestFit="1" customWidth="1"/>
    <col min="11" max="16384" width="9.140625" style="2" customWidth="1"/>
  </cols>
  <sheetData>
    <row r="1" ht="15">
      <c r="A1" s="14" t="s">
        <v>111</v>
      </c>
    </row>
    <row r="2" ht="12.75">
      <c r="A2" s="1"/>
    </row>
    <row r="3" spans="1:6" ht="12.75">
      <c r="A3" s="1" t="s">
        <v>55</v>
      </c>
      <c r="F3" s="3" t="s">
        <v>59</v>
      </c>
    </row>
    <row r="4" spans="1:9" ht="12.75">
      <c r="A4" s="1"/>
      <c r="C4" s="3">
        <v>2000</v>
      </c>
      <c r="F4" s="3">
        <v>2005</v>
      </c>
      <c r="I4" s="3">
        <v>2010</v>
      </c>
    </row>
    <row r="5" spans="1:10" ht="12.75">
      <c r="A5" s="1"/>
      <c r="B5" s="3" t="s">
        <v>73</v>
      </c>
      <c r="C5" s="3" t="s">
        <v>74</v>
      </c>
      <c r="D5" s="3" t="s">
        <v>75</v>
      </c>
      <c r="E5" s="3" t="s">
        <v>73</v>
      </c>
      <c r="F5" s="3" t="s">
        <v>74</v>
      </c>
      <c r="G5" s="3" t="s">
        <v>75</v>
      </c>
      <c r="H5" s="3" t="s">
        <v>73</v>
      </c>
      <c r="I5" s="3" t="s">
        <v>74</v>
      </c>
      <c r="J5" s="3" t="s">
        <v>75</v>
      </c>
    </row>
    <row r="6" ht="12.75">
      <c r="A6" s="1" t="s">
        <v>60</v>
      </c>
    </row>
    <row r="7" spans="1:10" ht="12.75">
      <c r="A7" s="2" t="s">
        <v>61</v>
      </c>
      <c r="B7" s="4">
        <v>211434</v>
      </c>
      <c r="C7" s="5">
        <v>3088</v>
      </c>
      <c r="D7" s="6">
        <f>+(C7*1000)/B7</f>
        <v>14.60503041138133</v>
      </c>
      <c r="E7" s="4">
        <v>76225</v>
      </c>
      <c r="F7" s="5">
        <v>1078</v>
      </c>
      <c r="G7" s="6">
        <f>+(F7*1000)/E7</f>
        <v>14.1423417513939</v>
      </c>
      <c r="H7" s="4">
        <v>6244</v>
      </c>
      <c r="I7" s="5">
        <v>88</v>
      </c>
      <c r="J7" s="6">
        <f>+(I7*1000)/H7</f>
        <v>14.093529788597053</v>
      </c>
    </row>
    <row r="8" spans="1:10" ht="12.75">
      <c r="A8" s="2" t="s">
        <v>62</v>
      </c>
      <c r="B8" s="4">
        <v>6768832</v>
      </c>
      <c r="C8" s="5">
        <v>198379</v>
      </c>
      <c r="D8" s="6">
        <f>+(C8*1000)/B8</f>
        <v>29.307715127218405</v>
      </c>
      <c r="E8" s="4">
        <v>7311137</v>
      </c>
      <c r="F8" s="5">
        <v>214802</v>
      </c>
      <c r="G8" s="6">
        <f>+(F8*1000)/E8</f>
        <v>29.38010873001012</v>
      </c>
      <c r="H8" s="4">
        <v>7776961</v>
      </c>
      <c r="I8" s="5">
        <v>229851</v>
      </c>
      <c r="J8" s="6">
        <f>+(I8*1000)/H8</f>
        <v>29.555375165183417</v>
      </c>
    </row>
    <row r="9" spans="1:10" ht="12.75">
      <c r="A9" s="2" t="s">
        <v>35</v>
      </c>
      <c r="B9" s="4">
        <v>41585</v>
      </c>
      <c r="C9" s="5">
        <v>696</v>
      </c>
      <c r="D9" s="6">
        <f>+(C9*1000)/B9</f>
        <v>16.73680413610677</v>
      </c>
      <c r="E9" s="4">
        <v>22000</v>
      </c>
      <c r="F9" s="5">
        <v>313</v>
      </c>
      <c r="G9" s="6">
        <f>+(F9*1000)/E9</f>
        <v>14.227272727272727</v>
      </c>
      <c r="H9" s="4">
        <v>12380</v>
      </c>
      <c r="I9" s="5">
        <v>163</v>
      </c>
      <c r="J9" s="6">
        <f>+(I9*1000)/H9</f>
        <v>13.166397415185784</v>
      </c>
    </row>
    <row r="10" spans="1:10" ht="12.75">
      <c r="A10" s="2" t="s">
        <v>3</v>
      </c>
      <c r="B10" s="4">
        <v>7021851</v>
      </c>
      <c r="C10" s="5">
        <v>202163</v>
      </c>
      <c r="D10" s="7"/>
      <c r="E10" s="4">
        <v>7409362</v>
      </c>
      <c r="F10" s="5">
        <v>216193</v>
      </c>
      <c r="G10" s="7"/>
      <c r="H10" s="4">
        <v>7795585</v>
      </c>
      <c r="I10" s="5">
        <v>230102</v>
      </c>
      <c r="J10" s="7"/>
    </row>
    <row r="11" spans="1:8" ht="12.75">
      <c r="A11" s="1" t="s">
        <v>63</v>
      </c>
      <c r="B11" s="8"/>
      <c r="E11" s="8"/>
      <c r="H11" s="8"/>
    </row>
    <row r="12" spans="1:10" ht="12.75">
      <c r="A12" s="2" t="s">
        <v>64</v>
      </c>
      <c r="B12" s="4">
        <v>14994</v>
      </c>
      <c r="C12" s="5">
        <v>179</v>
      </c>
      <c r="D12" s="6">
        <f>+(C12*1000)/B12</f>
        <v>11.938108576764039</v>
      </c>
      <c r="E12" s="4" t="s">
        <v>72</v>
      </c>
      <c r="F12" s="5">
        <v>0</v>
      </c>
      <c r="G12" s="5">
        <v>0</v>
      </c>
      <c r="H12" s="4" t="s">
        <v>72</v>
      </c>
      <c r="I12" s="5">
        <v>0</v>
      </c>
      <c r="J12" s="5">
        <v>0</v>
      </c>
    </row>
    <row r="13" spans="1:10" ht="12.75">
      <c r="A13" s="2" t="s">
        <v>62</v>
      </c>
      <c r="B13" s="4">
        <v>2653882</v>
      </c>
      <c r="C13" s="5">
        <v>77715</v>
      </c>
      <c r="D13" s="6">
        <f>+(C13*1000)/B13</f>
        <v>29.283517503792556</v>
      </c>
      <c r="E13" s="4">
        <v>2960608</v>
      </c>
      <c r="F13" s="5">
        <v>87385</v>
      </c>
      <c r="G13" s="6">
        <f>+(F13*1000)/E13</f>
        <v>29.51589673472476</v>
      </c>
      <c r="H13" s="4">
        <v>3274035</v>
      </c>
      <c r="I13" s="5">
        <v>97574</v>
      </c>
      <c r="J13" s="6">
        <f>+(I13*1000)/H13</f>
        <v>29.80236924773254</v>
      </c>
    </row>
    <row r="14" spans="1:10" ht="12.75">
      <c r="A14" s="2" t="s">
        <v>35</v>
      </c>
      <c r="B14" s="4">
        <v>20027</v>
      </c>
      <c r="C14" s="5">
        <v>292</v>
      </c>
      <c r="D14" s="6">
        <f>+(C14*1000)/B14</f>
        <v>14.580316572626954</v>
      </c>
      <c r="E14" s="4">
        <v>10315</v>
      </c>
      <c r="F14" s="5">
        <v>135</v>
      </c>
      <c r="G14" s="6">
        <f>+(F14*1000)/E14</f>
        <v>13.087736306349976</v>
      </c>
      <c r="H14" s="4">
        <v>2376</v>
      </c>
      <c r="I14" s="5">
        <v>31</v>
      </c>
      <c r="J14" s="6">
        <f>+(I14*1000)/H14</f>
        <v>13.047138047138047</v>
      </c>
    </row>
    <row r="15" spans="1:10" ht="12.75">
      <c r="A15" s="2" t="s">
        <v>3</v>
      </c>
      <c r="B15" s="4">
        <v>2688903</v>
      </c>
      <c r="C15" s="5">
        <v>78186</v>
      </c>
      <c r="D15" s="7"/>
      <c r="E15" s="4">
        <v>2970923</v>
      </c>
      <c r="F15" s="5">
        <v>87520</v>
      </c>
      <c r="G15" s="7"/>
      <c r="H15" s="4">
        <v>3276411</v>
      </c>
      <c r="I15" s="5">
        <v>97605</v>
      </c>
      <c r="J15" s="7"/>
    </row>
    <row r="16" spans="1:10" ht="12.75">
      <c r="A16" s="2" t="s">
        <v>113</v>
      </c>
      <c r="B16" s="15">
        <v>0</v>
      </c>
      <c r="C16" s="5"/>
      <c r="D16" s="7"/>
      <c r="E16" s="15">
        <f>+(1-((B15+B10)/(E15+E10)))</f>
        <v>0.06450025216070654</v>
      </c>
      <c r="F16" s="5"/>
      <c r="G16" s="7"/>
      <c r="H16" s="15">
        <f>+(1-((E15+E10)/(H15+H10)))</f>
        <v>0.062473920691445306</v>
      </c>
      <c r="I16" s="5"/>
      <c r="J16" s="7"/>
    </row>
    <row r="17" spans="1:8" ht="12.75">
      <c r="A17" s="1" t="s">
        <v>65</v>
      </c>
      <c r="B17" s="8"/>
      <c r="E17" s="8"/>
      <c r="H17" s="8"/>
    </row>
    <row r="18" spans="1:10" ht="12.75">
      <c r="A18" s="2" t="s">
        <v>64</v>
      </c>
      <c r="B18" s="4">
        <v>33036</v>
      </c>
      <c r="C18" s="5">
        <v>777</v>
      </c>
      <c r="D18" s="6">
        <f>+(C18*1000)/B18</f>
        <v>23.519796585543045</v>
      </c>
      <c r="E18" s="4">
        <v>17479</v>
      </c>
      <c r="F18" s="5">
        <v>328</v>
      </c>
      <c r="G18" s="6">
        <f>+(F18*1000)/E18</f>
        <v>18.765375593569427</v>
      </c>
      <c r="H18" s="4">
        <v>4444</v>
      </c>
      <c r="I18" s="5">
        <v>77</v>
      </c>
      <c r="J18" s="6">
        <f>+(I18*1000)/H18</f>
        <v>17.326732673267326</v>
      </c>
    </row>
    <row r="19" spans="1:10" ht="12.75">
      <c r="A19" s="2" t="s">
        <v>62</v>
      </c>
      <c r="B19" s="4">
        <v>530969</v>
      </c>
      <c r="C19" s="5">
        <v>19132</v>
      </c>
      <c r="D19" s="6">
        <f>+(C19*1000)/B19</f>
        <v>36.032235403573466</v>
      </c>
      <c r="E19" s="4">
        <v>670347</v>
      </c>
      <c r="F19" s="5">
        <v>23243</v>
      </c>
      <c r="G19" s="6">
        <f>+(F19*1000)/E19</f>
        <v>34.673087221991</v>
      </c>
      <c r="H19" s="4">
        <v>782489</v>
      </c>
      <c r="I19" s="5">
        <v>26446</v>
      </c>
      <c r="J19" s="6">
        <f>+(I19*1000)/H19</f>
        <v>33.79728021735769</v>
      </c>
    </row>
    <row r="20" spans="1:10" ht="12.75">
      <c r="A20" s="2" t="s">
        <v>35</v>
      </c>
      <c r="B20" s="4">
        <v>89943</v>
      </c>
      <c r="C20" s="5">
        <v>3496</v>
      </c>
      <c r="D20" s="6">
        <f>+(C20*1000)/B20</f>
        <v>38.86906151673838</v>
      </c>
      <c r="E20" s="4">
        <v>115284</v>
      </c>
      <c r="F20" s="5">
        <v>4210</v>
      </c>
      <c r="G20" s="6">
        <f>+(F20*1000)/E20</f>
        <v>36.51851080809132</v>
      </c>
      <c r="H20" s="4">
        <v>133862</v>
      </c>
      <c r="I20" s="5">
        <v>4783</v>
      </c>
      <c r="J20" s="6">
        <f>+(I20*1000)/H20</f>
        <v>35.73082726987494</v>
      </c>
    </row>
    <row r="21" spans="1:10" ht="12.75">
      <c r="A21" s="2" t="s">
        <v>3</v>
      </c>
      <c r="B21" s="4">
        <v>653948</v>
      </c>
      <c r="C21" s="5">
        <v>23405</v>
      </c>
      <c r="D21" s="7"/>
      <c r="E21" s="4">
        <v>803110</v>
      </c>
      <c r="F21" s="5">
        <v>27781</v>
      </c>
      <c r="G21" s="7"/>
      <c r="H21" s="4">
        <v>920795</v>
      </c>
      <c r="I21" s="5">
        <v>31306</v>
      </c>
      <c r="J21" s="7"/>
    </row>
    <row r="22" spans="1:10" ht="12.75">
      <c r="A22" s="2" t="s">
        <v>112</v>
      </c>
      <c r="B22" s="15">
        <v>0</v>
      </c>
      <c r="C22" s="5"/>
      <c r="D22" s="7"/>
      <c r="E22" s="15">
        <f>+(1-((B21)/(E21)))</f>
        <v>0.18573047278704036</v>
      </c>
      <c r="F22" s="5"/>
      <c r="G22" s="7"/>
      <c r="H22" s="15">
        <f>+(1-((E21)/(H21)))</f>
        <v>0.12780803544762953</v>
      </c>
      <c r="I22" s="5"/>
      <c r="J22" s="7"/>
    </row>
    <row r="23" spans="1:8" ht="12.75">
      <c r="A23" s="1" t="s">
        <v>66</v>
      </c>
      <c r="B23" s="8"/>
      <c r="E23" s="8"/>
      <c r="H23" s="8"/>
    </row>
    <row r="24" spans="1:10" ht="12.75">
      <c r="A24" s="2" t="s">
        <v>64</v>
      </c>
      <c r="B24" s="4">
        <v>9233</v>
      </c>
      <c r="C24" s="5">
        <v>244</v>
      </c>
      <c r="D24" s="6">
        <f>+(C24*1000)/B24</f>
        <v>26.42694682118488</v>
      </c>
      <c r="E24" s="4">
        <v>3406</v>
      </c>
      <c r="F24" s="5">
        <v>74</v>
      </c>
      <c r="G24" s="6">
        <f>+(F24*1000)/E24</f>
        <v>21.72636523781562</v>
      </c>
      <c r="H24" s="4">
        <v>1379</v>
      </c>
      <c r="I24" s="5">
        <v>25</v>
      </c>
      <c r="J24" s="6">
        <f>+(I24*1000)/H24</f>
        <v>18.12907904278463</v>
      </c>
    </row>
    <row r="25" spans="1:10" ht="12.75">
      <c r="A25" s="2" t="s">
        <v>62</v>
      </c>
      <c r="B25" s="4">
        <v>11582</v>
      </c>
      <c r="C25" s="5">
        <v>850</v>
      </c>
      <c r="D25" s="6">
        <f aca="true" t="shared" si="0" ref="D25:D34">+(C25*1000)/B25</f>
        <v>73.38974270419617</v>
      </c>
      <c r="E25" s="4">
        <v>15205</v>
      </c>
      <c r="F25" s="5">
        <v>958</v>
      </c>
      <c r="G25" s="6">
        <f aca="true" t="shared" si="1" ref="G25:G34">+(F25*1000)/E25</f>
        <v>63.005590266359754</v>
      </c>
      <c r="H25" s="4">
        <v>18368</v>
      </c>
      <c r="I25" s="5">
        <v>1022</v>
      </c>
      <c r="J25" s="6">
        <f aca="true" t="shared" si="2" ref="J25:J34">+(I25*1000)/H25</f>
        <v>55.640243902439025</v>
      </c>
    </row>
    <row r="26" spans="1:10" ht="12.75">
      <c r="A26" s="2" t="s">
        <v>35</v>
      </c>
      <c r="B26" s="4">
        <v>137189</v>
      </c>
      <c r="C26" s="5">
        <v>13890</v>
      </c>
      <c r="D26" s="6">
        <f t="shared" si="0"/>
        <v>101.24718454103463</v>
      </c>
      <c r="E26" s="4">
        <v>150402</v>
      </c>
      <c r="F26" s="5">
        <v>15473</v>
      </c>
      <c r="G26" s="6">
        <f t="shared" si="1"/>
        <v>102.87762130822729</v>
      </c>
      <c r="H26" s="4">
        <v>166858</v>
      </c>
      <c r="I26" s="5">
        <v>17200</v>
      </c>
      <c r="J26" s="6">
        <f t="shared" si="2"/>
        <v>103.08166225173501</v>
      </c>
    </row>
    <row r="27" spans="1:10" ht="12.75">
      <c r="A27" s="2" t="s">
        <v>3</v>
      </c>
      <c r="B27" s="4">
        <v>158004</v>
      </c>
      <c r="C27" s="5">
        <v>14984</v>
      </c>
      <c r="D27" s="7"/>
      <c r="E27" s="4">
        <v>169013</v>
      </c>
      <c r="F27" s="5">
        <v>16505</v>
      </c>
      <c r="G27" s="7"/>
      <c r="H27" s="4">
        <v>186605</v>
      </c>
      <c r="I27" s="5">
        <v>18247</v>
      </c>
      <c r="J27" s="7"/>
    </row>
    <row r="28" spans="1:8" ht="12.75">
      <c r="A28" s="1"/>
      <c r="B28" s="8"/>
      <c r="E28" s="8"/>
      <c r="H28" s="8"/>
    </row>
    <row r="29" spans="1:10" ht="12.75">
      <c r="A29" s="1" t="s">
        <v>67</v>
      </c>
      <c r="B29" s="5">
        <v>3076</v>
      </c>
      <c r="C29" s="5">
        <v>427</v>
      </c>
      <c r="D29" s="6">
        <f t="shared" si="0"/>
        <v>138.81664499349804</v>
      </c>
      <c r="E29" s="4">
        <v>3188</v>
      </c>
      <c r="F29" s="5">
        <v>443</v>
      </c>
      <c r="G29" s="6">
        <f t="shared" si="1"/>
        <v>138.9585947302384</v>
      </c>
      <c r="H29" s="4">
        <v>3300</v>
      </c>
      <c r="I29" s="5">
        <v>458</v>
      </c>
      <c r="J29" s="6">
        <f t="shared" si="2"/>
        <v>138.78787878787878</v>
      </c>
    </row>
    <row r="30" spans="1:10" ht="12.75">
      <c r="A30" s="2" t="s">
        <v>114</v>
      </c>
      <c r="B30" s="15">
        <v>0</v>
      </c>
      <c r="C30" s="5"/>
      <c r="D30" s="7"/>
      <c r="E30" s="15">
        <f>+(1-((B27+B29)/(E27+E29)))</f>
        <v>0.06458150649531647</v>
      </c>
      <c r="F30" s="5"/>
      <c r="G30" s="7"/>
      <c r="H30" s="15">
        <f>+(1-((E27+E29)/(H27+H29)))</f>
        <v>0.09322556014849526</v>
      </c>
      <c r="I30" s="5"/>
      <c r="J30" s="6"/>
    </row>
    <row r="31" spans="1:8" ht="12.75">
      <c r="A31" s="1"/>
      <c r="E31" s="8"/>
      <c r="H31" s="8"/>
    </row>
    <row r="32" spans="1:10" ht="12.75">
      <c r="A32" s="1" t="s">
        <v>68</v>
      </c>
      <c r="B32" s="5">
        <v>204667</v>
      </c>
      <c r="C32" s="5">
        <v>1274</v>
      </c>
      <c r="D32" s="6">
        <f t="shared" si="0"/>
        <v>6.224745562303644</v>
      </c>
      <c r="E32" s="4">
        <v>205483</v>
      </c>
      <c r="F32" s="5">
        <v>1385</v>
      </c>
      <c r="G32" s="6">
        <f t="shared" si="1"/>
        <v>6.740216952253958</v>
      </c>
      <c r="H32" s="4">
        <v>206298</v>
      </c>
      <c r="I32" s="5">
        <v>1496</v>
      </c>
      <c r="J32" s="6">
        <f t="shared" si="2"/>
        <v>7.251645677611998</v>
      </c>
    </row>
    <row r="33" spans="1:8" ht="12.75">
      <c r="A33" s="1"/>
      <c r="E33" s="8"/>
      <c r="H33" s="8"/>
    </row>
    <row r="34" spans="1:10" ht="12.75">
      <c r="A34" s="1" t="s">
        <v>69</v>
      </c>
      <c r="B34" s="9">
        <v>10730449</v>
      </c>
      <c r="C34" s="9">
        <v>320439</v>
      </c>
      <c r="D34" s="10">
        <f t="shared" si="0"/>
        <v>29.862590092921554</v>
      </c>
      <c r="E34" s="9">
        <v>11561079</v>
      </c>
      <c r="F34" s="9">
        <v>349827</v>
      </c>
      <c r="G34" s="10">
        <f t="shared" si="1"/>
        <v>30.259026860728138</v>
      </c>
      <c r="H34" s="9">
        <v>12388994</v>
      </c>
      <c r="I34" s="9">
        <v>379214</v>
      </c>
      <c r="J34" s="10">
        <f t="shared" si="2"/>
        <v>30.608942098123546</v>
      </c>
    </row>
    <row r="35" ht="12.75">
      <c r="A35" s="1"/>
    </row>
    <row r="36" ht="12.75">
      <c r="A36" s="1" t="s">
        <v>152</v>
      </c>
    </row>
    <row r="37" ht="12.75">
      <c r="A37" s="2" t="s">
        <v>70</v>
      </c>
    </row>
    <row r="38" ht="12.75">
      <c r="A38" s="2" t="s">
        <v>71</v>
      </c>
    </row>
    <row r="40" ht="15">
      <c r="A40" s="14" t="s">
        <v>77</v>
      </c>
    </row>
    <row r="42" spans="1:3" ht="12.75">
      <c r="A42" s="1" t="s">
        <v>78</v>
      </c>
      <c r="C42" s="3" t="s">
        <v>59</v>
      </c>
    </row>
    <row r="43" spans="2:5" ht="12.75">
      <c r="B43" s="3">
        <v>2000</v>
      </c>
      <c r="C43" s="3">
        <v>2005</v>
      </c>
      <c r="D43" s="3">
        <v>2010</v>
      </c>
      <c r="E43" s="1"/>
    </row>
    <row r="44" ht="12.75">
      <c r="A44" s="1" t="s">
        <v>46</v>
      </c>
    </row>
    <row r="45" spans="1:5" ht="12.75">
      <c r="A45" s="2" t="s">
        <v>100</v>
      </c>
      <c r="B45" s="6">
        <v>20.16</v>
      </c>
      <c r="C45" s="6">
        <v>20.48</v>
      </c>
      <c r="D45" s="6">
        <v>21</v>
      </c>
      <c r="E45" s="6"/>
    </row>
    <row r="46" spans="1:5" ht="12.75">
      <c r="A46" s="1" t="s">
        <v>35</v>
      </c>
      <c r="B46" s="6"/>
      <c r="C46" s="6"/>
      <c r="D46" s="6"/>
      <c r="E46" s="6"/>
    </row>
    <row r="47" spans="1:5" ht="12.75">
      <c r="A47" s="2" t="s">
        <v>101</v>
      </c>
      <c r="B47" s="6">
        <v>0.73</v>
      </c>
      <c r="C47" s="6">
        <v>0.73</v>
      </c>
      <c r="D47" s="6">
        <v>0.73</v>
      </c>
      <c r="E47" s="6"/>
    </row>
    <row r="48" spans="1:5" ht="12.75">
      <c r="A48" s="2" t="s">
        <v>76</v>
      </c>
      <c r="B48" s="6">
        <v>4</v>
      </c>
      <c r="C48" s="6">
        <v>4</v>
      </c>
      <c r="D48" s="6">
        <v>4</v>
      </c>
      <c r="E48" s="6"/>
    </row>
    <row r="49" spans="2:5" ht="12.75">
      <c r="B49" s="6"/>
      <c r="C49" s="6"/>
      <c r="D49" s="6"/>
      <c r="E49" s="6"/>
    </row>
    <row r="50" ht="12.75">
      <c r="A50" s="1" t="s">
        <v>90</v>
      </c>
    </row>
    <row r="51" spans="1:4" ht="12.75">
      <c r="A51" s="2" t="s">
        <v>101</v>
      </c>
      <c r="B51" s="2">
        <v>1.68</v>
      </c>
      <c r="C51" s="2">
        <v>1.68</v>
      </c>
      <c r="D51" s="2">
        <v>1.68</v>
      </c>
    </row>
    <row r="52" spans="1:5" ht="12.75">
      <c r="A52" s="2" t="s">
        <v>81</v>
      </c>
      <c r="B52" s="6">
        <f>+B45/B51</f>
        <v>12</v>
      </c>
      <c r="C52" s="6">
        <f>+C45/C51</f>
        <v>12.190476190476192</v>
      </c>
      <c r="D52" s="6">
        <f>+D45/D51</f>
        <v>12.5</v>
      </c>
      <c r="E52" s="6"/>
    </row>
    <row r="53" spans="1:5" ht="12.75">
      <c r="A53" s="2" t="s">
        <v>82</v>
      </c>
      <c r="B53" s="6">
        <f>+B51/B$47</f>
        <v>2.3013698630136985</v>
      </c>
      <c r="C53" s="6">
        <f>+C51/C$47</f>
        <v>2.3013698630136985</v>
      </c>
      <c r="D53" s="6">
        <f>+D51/D$47</f>
        <v>2.3013698630136985</v>
      </c>
      <c r="E53" s="6"/>
    </row>
    <row r="54" ht="12.75">
      <c r="A54" s="1" t="s">
        <v>22</v>
      </c>
    </row>
    <row r="55" spans="1:4" ht="12.75">
      <c r="A55" s="2" t="s">
        <v>101</v>
      </c>
      <c r="B55" s="2">
        <v>1.28</v>
      </c>
      <c r="C55" s="2">
        <v>1.28</v>
      </c>
      <c r="D55" s="2">
        <v>1.28</v>
      </c>
    </row>
    <row r="56" spans="1:5" ht="12.75">
      <c r="A56" s="2" t="s">
        <v>81</v>
      </c>
      <c r="B56" s="6">
        <f>+B45/B55</f>
        <v>15.75</v>
      </c>
      <c r="C56" s="6">
        <f>+C45/C55</f>
        <v>16</v>
      </c>
      <c r="D56" s="6">
        <f>+D45/D55</f>
        <v>16.40625</v>
      </c>
      <c r="E56" s="6"/>
    </row>
    <row r="57" spans="1:5" ht="12.75">
      <c r="A57" s="2" t="s">
        <v>82</v>
      </c>
      <c r="B57" s="6">
        <f>+B55/B$47</f>
        <v>1.7534246575342467</v>
      </c>
      <c r="C57" s="6">
        <f>+C55/C$47</f>
        <v>1.7534246575342467</v>
      </c>
      <c r="D57" s="6">
        <f>+D55/D$47</f>
        <v>1.7534246575342467</v>
      </c>
      <c r="E57" s="6"/>
    </row>
    <row r="58" ht="12.75">
      <c r="A58" s="1" t="s">
        <v>23</v>
      </c>
    </row>
    <row r="59" spans="1:4" ht="12.75">
      <c r="A59" s="2" t="s">
        <v>101</v>
      </c>
      <c r="B59" s="2">
        <v>1.55</v>
      </c>
      <c r="C59" s="2">
        <v>1.55</v>
      </c>
      <c r="D59" s="2">
        <v>1.55</v>
      </c>
    </row>
    <row r="60" spans="1:5" ht="12.75">
      <c r="A60" s="2" t="s">
        <v>81</v>
      </c>
      <c r="B60" s="6">
        <f>+B45/B59</f>
        <v>13.006451612903225</v>
      </c>
      <c r="C60" s="6">
        <f>+C45/C59</f>
        <v>13.212903225806452</v>
      </c>
      <c r="D60" s="6">
        <f>+D45/D59</f>
        <v>13.548387096774194</v>
      </c>
      <c r="E60" s="6"/>
    </row>
    <row r="61" spans="1:5" ht="12.75">
      <c r="A61" s="2" t="s">
        <v>82</v>
      </c>
      <c r="B61" s="6">
        <f>+B59/B$47</f>
        <v>2.1232876712328768</v>
      </c>
      <c r="C61" s="6">
        <f>+C59/C$47</f>
        <v>2.1232876712328768</v>
      </c>
      <c r="D61" s="6">
        <f>+D59/D$47</f>
        <v>2.1232876712328768</v>
      </c>
      <c r="E61" s="6"/>
    </row>
    <row r="62" ht="12.75">
      <c r="A62" s="1" t="s">
        <v>25</v>
      </c>
    </row>
    <row r="63" spans="1:4" ht="12.75">
      <c r="A63" s="2" t="s">
        <v>101</v>
      </c>
      <c r="B63" s="2">
        <v>1.36</v>
      </c>
      <c r="C63" s="2">
        <v>1.36</v>
      </c>
      <c r="D63" s="2">
        <v>1.36</v>
      </c>
    </row>
    <row r="64" spans="1:5" ht="12.75">
      <c r="A64" s="2" t="s">
        <v>81</v>
      </c>
      <c r="B64" s="6">
        <f>+B45/B63</f>
        <v>14.823529411764705</v>
      </c>
      <c r="C64" s="6">
        <f>+C45/C63</f>
        <v>15.058823529411764</v>
      </c>
      <c r="D64" s="6">
        <f>+D45/D63</f>
        <v>15.441176470588234</v>
      </c>
      <c r="E64" s="6"/>
    </row>
    <row r="65" spans="1:5" ht="12.75">
      <c r="A65" s="2" t="s">
        <v>82</v>
      </c>
      <c r="B65" s="6">
        <f>+B63/B$47</f>
        <v>1.863013698630137</v>
      </c>
      <c r="C65" s="6">
        <f>+C63/C$47</f>
        <v>1.863013698630137</v>
      </c>
      <c r="D65" s="6">
        <f>+D63/D$47</f>
        <v>1.863013698630137</v>
      </c>
      <c r="E65" s="6"/>
    </row>
    <row r="66" ht="12.75">
      <c r="A66" s="1" t="s">
        <v>47</v>
      </c>
    </row>
    <row r="67" spans="1:4" ht="12.75">
      <c r="A67" s="2" t="s">
        <v>102</v>
      </c>
      <c r="B67" s="2">
        <v>3.39</v>
      </c>
      <c r="C67" s="2">
        <v>3.29</v>
      </c>
      <c r="D67" s="2">
        <v>3.26</v>
      </c>
    </row>
    <row r="68" ht="12.75">
      <c r="A68" s="2" t="s">
        <v>104</v>
      </c>
    </row>
    <row r="69" ht="12.75">
      <c r="A69" s="2" t="s">
        <v>103</v>
      </c>
    </row>
    <row r="71" ht="15">
      <c r="A71" s="14" t="s">
        <v>171</v>
      </c>
    </row>
    <row r="73" spans="2:6" ht="12.75">
      <c r="B73" s="3" t="s">
        <v>21</v>
      </c>
      <c r="C73" s="3" t="s">
        <v>22</v>
      </c>
      <c r="D73" s="3" t="s">
        <v>23</v>
      </c>
      <c r="E73" s="3" t="s">
        <v>25</v>
      </c>
      <c r="F73" s="3" t="s">
        <v>26</v>
      </c>
    </row>
    <row r="74" spans="1:6" ht="12.75">
      <c r="A74" s="1" t="s">
        <v>105</v>
      </c>
      <c r="B74" s="5">
        <f>+'[1]Proposed Proj.'!B80</f>
        <v>55.57142857142857</v>
      </c>
      <c r="C74" s="5">
        <f>+'[1]Proposed Proj.'!C80</f>
        <v>222.28571428571428</v>
      </c>
      <c r="D74" s="5">
        <f>+'[1]Proposed Proj.'!D80</f>
        <v>111.14285714285714</v>
      </c>
      <c r="E74" s="5">
        <f>+'[1]Proposed Proj.'!E80</f>
        <v>55.57142857142857</v>
      </c>
      <c r="F74" s="5">
        <f>+'[1]Proposed Proj.'!F80</f>
        <v>55.57142857142857</v>
      </c>
    </row>
    <row r="75" spans="1:6" ht="12.75">
      <c r="A75" s="1" t="s">
        <v>106</v>
      </c>
      <c r="B75" s="5">
        <f>+'[1]Proposed Proj.'!B81</f>
        <v>8.857142857142858</v>
      </c>
      <c r="C75" s="5">
        <f>+'[1]Proposed Proj.'!C81</f>
        <v>35.42857142857143</v>
      </c>
      <c r="D75" s="5">
        <f>+'[1]Proposed Proj.'!D81</f>
        <v>17.714285714285715</v>
      </c>
      <c r="E75" s="5">
        <f>+'[1]Proposed Proj.'!E81</f>
        <v>8.857142857142858</v>
      </c>
      <c r="F75" s="5">
        <f>+'[1]Proposed Proj.'!F81</f>
        <v>8.857142857142858</v>
      </c>
    </row>
    <row r="76" spans="1:6" ht="12.75">
      <c r="A76" s="1" t="s">
        <v>107</v>
      </c>
      <c r="B76" s="5">
        <f>+'[1]Proposed Proj.'!B88</f>
        <v>26.483333333333334</v>
      </c>
      <c r="C76" s="5">
        <f>+'[1]Proposed Proj.'!C88</f>
        <v>2383.5</v>
      </c>
      <c r="D76" s="5">
        <f>+'[1]Proposed Proj.'!D88</f>
        <v>132.41666666666666</v>
      </c>
      <c r="E76" s="5">
        <f>+'[1]Proposed Proj.'!E88</f>
        <v>79.44999999999999</v>
      </c>
      <c r="F76" s="5">
        <f>+'[1]Proposed Proj.'!F88</f>
        <v>26.483333333333334</v>
      </c>
    </row>
    <row r="77" spans="2:6" ht="12.75">
      <c r="B77" s="5"/>
      <c r="C77" s="5"/>
      <c r="D77" s="5"/>
      <c r="E77" s="5"/>
      <c r="F77" s="5"/>
    </row>
    <row r="78" spans="1:6" s="1" customFormat="1" ht="12.75">
      <c r="A78" s="1" t="s">
        <v>3</v>
      </c>
      <c r="B78" s="11">
        <f>SUM(B74:B77)</f>
        <v>90.91190476190476</v>
      </c>
      <c r="C78" s="11">
        <f>SUM(C74:C77)</f>
        <v>2641.214285714286</v>
      </c>
      <c r="D78" s="11">
        <f>SUM(D74:D77)</f>
        <v>261.2738095238095</v>
      </c>
      <c r="E78" s="11">
        <f>SUM(E74:E77)</f>
        <v>143.87857142857143</v>
      </c>
      <c r="F78" s="11">
        <f>SUM(F74:F77)</f>
        <v>90.91190476190476</v>
      </c>
    </row>
    <row r="79" spans="1:6" ht="12.75">
      <c r="A79" s="1" t="s">
        <v>108</v>
      </c>
      <c r="B79" s="12">
        <f>+ROUNDUP(B78,-1)</f>
        <v>100</v>
      </c>
      <c r="C79" s="12">
        <f>+ROUNDUP(C78,-1)</f>
        <v>2650</v>
      </c>
      <c r="D79" s="12">
        <f>+ROUNDUP(D78,-1)</f>
        <v>270</v>
      </c>
      <c r="E79" s="12">
        <f>+ROUNDUP(E78,-1)</f>
        <v>150</v>
      </c>
      <c r="F79" s="12">
        <f>+ROUNDUP(F78,-1)</f>
        <v>100</v>
      </c>
    </row>
    <row r="80" ht="12.75">
      <c r="A80" s="2" t="s">
        <v>110</v>
      </c>
    </row>
    <row r="81" ht="12.75">
      <c r="A81" s="2" t="s">
        <v>109</v>
      </c>
    </row>
    <row r="82" ht="12.75">
      <c r="A82" s="2" t="s">
        <v>80</v>
      </c>
    </row>
    <row r="84" ht="15">
      <c r="A84" s="14" t="s">
        <v>172</v>
      </c>
    </row>
    <row r="85" ht="15">
      <c r="A85" s="14"/>
    </row>
    <row r="86" ht="12.75">
      <c r="A86" s="1" t="s">
        <v>242</v>
      </c>
    </row>
    <row r="87" spans="2:4" ht="12.75">
      <c r="B87" s="3"/>
      <c r="C87" s="3" t="s">
        <v>59</v>
      </c>
      <c r="D87" s="3"/>
    </row>
    <row r="88" spans="2:4" ht="12.75">
      <c r="B88" s="3">
        <v>2000</v>
      </c>
      <c r="C88" s="3">
        <v>2005</v>
      </c>
      <c r="D88" s="3">
        <v>2010</v>
      </c>
    </row>
    <row r="89" ht="12.75">
      <c r="A89" s="1" t="s">
        <v>115</v>
      </c>
    </row>
    <row r="90" spans="1:4" ht="12.75">
      <c r="A90" s="2" t="s">
        <v>88</v>
      </c>
      <c r="B90" s="5">
        <f>+(B74*10000)/B52</f>
        <v>46309.52380952381</v>
      </c>
      <c r="C90" s="5">
        <f>+((B74*10000)/C52)+(B90*$E$16)</f>
        <v>48572.913463156525</v>
      </c>
      <c r="D90" s="5">
        <f>+((B74*10000)/D52)+(C90*$H$16)</f>
        <v>47491.68320059253</v>
      </c>
    </row>
    <row r="91" spans="1:4" ht="12.75">
      <c r="A91" s="2" t="s">
        <v>84</v>
      </c>
      <c r="B91" s="5">
        <f>+(C74*10000)/B56</f>
        <v>141133.78684807254</v>
      </c>
      <c r="C91" s="5">
        <f>+((C$74*10000)/C56)+(B91*$E$16)</f>
        <v>148031.7362686675</v>
      </c>
      <c r="D91" s="5">
        <f>+((C74*10000)/D56)+(C91*$H$16)</f>
        <v>144736.55832561533</v>
      </c>
    </row>
    <row r="92" spans="1:4" ht="12.75">
      <c r="A92" s="2" t="s">
        <v>85</v>
      </c>
      <c r="B92" s="5">
        <f>+(D74*10000)/B60</f>
        <v>85452.09750566893</v>
      </c>
      <c r="C92" s="5">
        <f>+((D74*10000)/C60)+(B92*$E$16)</f>
        <v>89628.59031891979</v>
      </c>
      <c r="D92" s="5">
        <f>+((D74*10000)/D60)+(C92*$H$16)</f>
        <v>87633.46304871241</v>
      </c>
    </row>
    <row r="93" spans="1:4" ht="12.75">
      <c r="A93" s="2" t="s">
        <v>86</v>
      </c>
      <c r="B93" s="5">
        <f>+(E74*10000)/B64</f>
        <v>37488.662131519275</v>
      </c>
      <c r="C93" s="5">
        <f>+((E74*10000)/C64)+(B93*$E$16)</f>
        <v>39320.929946364806</v>
      </c>
      <c r="D93" s="5">
        <f>+((E74*10000)/D64)+(C93*$H$16)</f>
        <v>38445.64830524158</v>
      </c>
    </row>
    <row r="94" spans="1:4" ht="12.75">
      <c r="A94" s="2" t="s">
        <v>87</v>
      </c>
      <c r="B94" s="5">
        <f>+(F74*10000)/B67</f>
        <v>163927.51790981877</v>
      </c>
      <c r="C94" s="5">
        <f>+((F74*10000)/C67)+(B94*$E$16)</f>
        <v>179483.48347964673</v>
      </c>
      <c r="D94" s="5">
        <f>+((F74*10000)/D67)+(C94*$H$16)</f>
        <v>181677.54173266483</v>
      </c>
    </row>
    <row r="95" spans="1:4" ht="12.75">
      <c r="A95" s="1" t="s">
        <v>83</v>
      </c>
      <c r="B95" s="5"/>
      <c r="C95" s="5"/>
      <c r="D95" s="5"/>
    </row>
    <row r="96" spans="1:4" ht="12.75">
      <c r="A96" s="2" t="s">
        <v>88</v>
      </c>
      <c r="B96" s="5">
        <f>+(B75*10000)/B52</f>
        <v>7380.952380952382</v>
      </c>
      <c r="C96" s="5">
        <f>+((B75*10000)/C52)+(B96*$E$22)</f>
        <v>8636.492775332918</v>
      </c>
      <c r="D96" s="5">
        <f>+((B75*10000)/D52)+(C96*$H$22)</f>
        <v>8189.527460487232</v>
      </c>
    </row>
    <row r="97" spans="1:4" ht="12.75">
      <c r="A97" s="2" t="s">
        <v>84</v>
      </c>
      <c r="B97" s="5">
        <f>+(C75*10000)/B56</f>
        <v>22494.331065759638</v>
      </c>
      <c r="C97" s="5">
        <f>+((B74*10000)/C56)+(B97*$E$22)</f>
        <v>38910.025601014604</v>
      </c>
      <c r="D97" s="5">
        <f>+((B75*10000)/D56)+(C97*$H$22)</f>
        <v>10371.65338706496</v>
      </c>
    </row>
    <row r="98" spans="1:4" ht="12.75">
      <c r="A98" s="2" t="s">
        <v>85</v>
      </c>
      <c r="B98" s="5">
        <f>+(D75*10000)/B60</f>
        <v>13619.614512471657</v>
      </c>
      <c r="C98" s="5">
        <f>+((D75*10000)/C60)+(B98*$E$22)</f>
        <v>15936.385478292883</v>
      </c>
      <c r="D98" s="5">
        <f>+((D75*10000)/D60)+(C98*$H$22)</f>
        <v>15111.628052089536</v>
      </c>
    </row>
    <row r="99" spans="1:4" ht="12.75">
      <c r="A99" s="2" t="s">
        <v>86</v>
      </c>
      <c r="B99" s="5">
        <f>+(E75*10000)/B64</f>
        <v>5975.056689342405</v>
      </c>
      <c r="C99" s="5">
        <f>+((E75*10000)/C64)+(B99*$E$22)</f>
        <v>6991.446532412362</v>
      </c>
      <c r="D99" s="5">
        <f>+((E75*10000)/D64)+(C99*$H$22)</f>
        <v>6629.617468013474</v>
      </c>
    </row>
    <row r="100" spans="1:4" ht="12.75">
      <c r="A100" s="2" t="s">
        <v>87</v>
      </c>
      <c r="B100" s="5">
        <f>+(F75*10000)/B67</f>
        <v>26127.265065318163</v>
      </c>
      <c r="C100" s="5">
        <f>+((F75*10000)/C67)+(B100*$E$22)</f>
        <v>31774.036153830453</v>
      </c>
      <c r="D100" s="5">
        <f>+((F75*10000)/D67)+(C100*$H$22)</f>
        <v>31230.127007599403</v>
      </c>
    </row>
    <row r="101" spans="1:4" ht="12.75">
      <c r="A101" s="1" t="s">
        <v>79</v>
      </c>
      <c r="B101" s="5"/>
      <c r="C101" s="5"/>
      <c r="D101" s="5"/>
    </row>
    <row r="102" spans="1:4" ht="12.75">
      <c r="A102" s="2" t="s">
        <v>88</v>
      </c>
      <c r="B102" s="5">
        <f>+(B76*13000)/B53</f>
        <v>149599.3055555556</v>
      </c>
      <c r="C102" s="5">
        <f>+(($B$76*13000)/C53)+(B102*$E$30)</f>
        <v>159260.65407898652</v>
      </c>
      <c r="D102" s="5">
        <f>+((B76*13000)/D53)+(C102*$H$30)</f>
        <v>164446.46924168486</v>
      </c>
    </row>
    <row r="103" spans="1:4" ht="12.75">
      <c r="A103" s="2" t="s">
        <v>84</v>
      </c>
      <c r="B103" s="5">
        <f>+(C76*13000)/B57</f>
        <v>17671417.96875</v>
      </c>
      <c r="C103" s="5">
        <f>+((C76*13000)/C57)+(B103*$E$30)</f>
        <v>18812664.76308028</v>
      </c>
      <c r="D103" s="5">
        <f>+((C76*13000)/D57)+(C103*$H$30)</f>
        <v>19425239.179174017</v>
      </c>
    </row>
    <row r="104" spans="1:4" ht="12.75">
      <c r="A104" s="2" t="s">
        <v>85</v>
      </c>
      <c r="B104" s="5">
        <f>+(D76*13000)/B61</f>
        <v>810731.7204301074</v>
      </c>
      <c r="C104" s="5">
        <f>+((D76*13000)/C61)+(B104*$E$30)</f>
        <v>863089.9962990235</v>
      </c>
      <c r="D104" s="5">
        <f>+((D76*13000)/D61)+(C104*$H$30)</f>
        <v>891193.7687936466</v>
      </c>
    </row>
    <row r="105" spans="1:4" ht="12.75">
      <c r="A105" s="2" t="s">
        <v>86</v>
      </c>
      <c r="B105" s="5">
        <f>+(E76*13000)/B65</f>
        <v>554397.4264705882</v>
      </c>
      <c r="C105" s="5">
        <f>+((E76*13000)/C65)+(B105*$E$30)</f>
        <v>590201.2474691853</v>
      </c>
      <c r="D105" s="5">
        <f>+((E76*13000)/D65)+(C105*$H$30)</f>
        <v>609419.2683662437</v>
      </c>
    </row>
    <row r="106" spans="1:4" ht="12.75">
      <c r="A106" s="2" t="s">
        <v>87</v>
      </c>
      <c r="B106" s="5">
        <f>+(F76*13000)/B67</f>
        <v>101558.50540806293</v>
      </c>
      <c r="C106" s="5">
        <f>+((F76*13000)/C67)+(B106*$E$30)</f>
        <v>111204.19134758745</v>
      </c>
      <c r="D106" s="5">
        <f>+((F76*13000)/D67)+(C106*$H$30)</f>
        <v>115975.457487317</v>
      </c>
    </row>
    <row r="107" spans="2:4" ht="12.75">
      <c r="B107" s="5"/>
      <c r="C107" s="5"/>
      <c r="D107" s="5"/>
    </row>
    <row r="108" spans="1:4" ht="12.75">
      <c r="A108" s="1" t="s">
        <v>69</v>
      </c>
      <c r="B108" s="5"/>
      <c r="C108" s="5"/>
      <c r="D108" s="5"/>
    </row>
    <row r="109" spans="1:4" ht="12.75">
      <c r="A109" s="1" t="s">
        <v>91</v>
      </c>
      <c r="B109" s="11">
        <f>+B102+B96+B90</f>
        <v>203289.7817460318</v>
      </c>
      <c r="C109" s="11">
        <f>+C102+C96+C90</f>
        <v>216470.06031747596</v>
      </c>
      <c r="D109" s="11">
        <f>+D102+D96+D90</f>
        <v>220127.67990276462</v>
      </c>
    </row>
    <row r="110" spans="1:4" ht="12.75">
      <c r="A110" s="1" t="s">
        <v>92</v>
      </c>
      <c r="B110" s="11">
        <f aca="true" t="shared" si="3" ref="B110:D113">+B103+B97+B91</f>
        <v>17835046.08666383</v>
      </c>
      <c r="C110" s="11">
        <f t="shared" si="3"/>
        <v>18999606.52494996</v>
      </c>
      <c r="D110" s="11">
        <f t="shared" si="3"/>
        <v>19580347.390886698</v>
      </c>
    </row>
    <row r="111" spans="1:4" ht="12.75">
      <c r="A111" s="1" t="s">
        <v>93</v>
      </c>
      <c r="B111" s="11">
        <f t="shared" si="3"/>
        <v>909803.4324482479</v>
      </c>
      <c r="C111" s="11">
        <f t="shared" si="3"/>
        <v>968654.9720962361</v>
      </c>
      <c r="D111" s="11">
        <f t="shared" si="3"/>
        <v>993938.8598944484</v>
      </c>
    </row>
    <row r="112" spans="1:4" ht="12.75">
      <c r="A112" s="1" t="s">
        <v>94</v>
      </c>
      <c r="B112" s="11">
        <f t="shared" si="3"/>
        <v>597861.1452914499</v>
      </c>
      <c r="C112" s="11">
        <f t="shared" si="3"/>
        <v>636513.6239479624</v>
      </c>
      <c r="D112" s="11">
        <f t="shared" si="3"/>
        <v>654494.5341394987</v>
      </c>
    </row>
    <row r="113" spans="1:4" ht="12.75">
      <c r="A113" s="1" t="s">
        <v>89</v>
      </c>
      <c r="B113" s="11">
        <f t="shared" si="3"/>
        <v>291613.28838319983</v>
      </c>
      <c r="C113" s="11">
        <f t="shared" si="3"/>
        <v>322461.7109810646</v>
      </c>
      <c r="D113" s="11">
        <f t="shared" si="3"/>
        <v>328883.12622758123</v>
      </c>
    </row>
    <row r="115" ht="12.75">
      <c r="A115" s="2" t="s">
        <v>164</v>
      </c>
    </row>
    <row r="116" ht="12.75">
      <c r="A116" s="2" t="s">
        <v>165</v>
      </c>
    </row>
    <row r="117" ht="12.75">
      <c r="A117" s="2" t="s">
        <v>166</v>
      </c>
    </row>
    <row r="119" ht="12.75">
      <c r="A119" s="1" t="s">
        <v>213</v>
      </c>
    </row>
    <row r="120" ht="12.75">
      <c r="A120" s="1"/>
    </row>
    <row r="121" ht="12.75">
      <c r="C121" s="1" t="s">
        <v>230</v>
      </c>
    </row>
    <row r="122" spans="2:4" ht="12.75">
      <c r="B122" s="3">
        <v>2000</v>
      </c>
      <c r="C122" s="3">
        <v>2005</v>
      </c>
      <c r="D122" s="3">
        <v>2010</v>
      </c>
    </row>
    <row r="123" spans="1:4" s="1" customFormat="1" ht="12.75">
      <c r="A123" s="19" t="s">
        <v>231</v>
      </c>
      <c r="B123" s="11">
        <f>+D123*(1/5)</f>
        <v>3709.9999999999995</v>
      </c>
      <c r="C123" s="11">
        <f>106*0.7*250</f>
        <v>18549.999999999996</v>
      </c>
      <c r="D123" s="11">
        <f>106*0.7*250</f>
        <v>18549.999999999996</v>
      </c>
    </row>
    <row r="124" spans="1:4" s="1" customFormat="1" ht="12.75">
      <c r="A124" s="1" t="s">
        <v>232</v>
      </c>
      <c r="B124" s="11">
        <f>+D124*(1/5)</f>
        <v>5040000</v>
      </c>
      <c r="C124" s="11">
        <f>105*960*250</f>
        <v>25200000</v>
      </c>
      <c r="D124" s="11">
        <f>105*960*250</f>
        <v>25200000</v>
      </c>
    </row>
    <row r="125" spans="1:4" s="1" customFormat="1" ht="12.75">
      <c r="A125" s="1" t="s">
        <v>233</v>
      </c>
      <c r="B125" s="11">
        <f>+D125*(1/5)</f>
        <v>673100</v>
      </c>
      <c r="C125" s="11">
        <f>106*127*250</f>
        <v>3365500</v>
      </c>
      <c r="D125" s="11">
        <f>106*127*250</f>
        <v>3365500</v>
      </c>
    </row>
    <row r="127" ht="12.75">
      <c r="A127" s="2" t="s">
        <v>245</v>
      </c>
    </row>
    <row r="128" ht="12.75">
      <c r="A128" s="2" t="s">
        <v>246</v>
      </c>
    </row>
    <row r="129" ht="12.75">
      <c r="A129" s="2" t="s">
        <v>244</v>
      </c>
    </row>
    <row r="130" ht="12.75">
      <c r="A130" s="2" t="s">
        <v>234</v>
      </c>
    </row>
    <row r="131" ht="12.75">
      <c r="A131" s="2" t="s">
        <v>235</v>
      </c>
    </row>
    <row r="132" ht="12.75">
      <c r="A132" s="2" t="s">
        <v>236</v>
      </c>
    </row>
    <row r="134" ht="12.75">
      <c r="A134" s="1" t="s">
        <v>228</v>
      </c>
    </row>
    <row r="135" ht="15">
      <c r="A135" s="14"/>
    </row>
    <row r="136" ht="12.75">
      <c r="B136" s="3" t="s">
        <v>170</v>
      </c>
    </row>
    <row r="137" ht="12.75">
      <c r="A137" s="1" t="s">
        <v>115</v>
      </c>
    </row>
    <row r="138" spans="1:2" ht="12.75">
      <c r="A138" s="2" t="s">
        <v>88</v>
      </c>
      <c r="B138" s="13">
        <f>+(B74*(10000/200)*5)/B52</f>
        <v>1157.7380952380952</v>
      </c>
    </row>
    <row r="139" spans="1:2" ht="12.75">
      <c r="A139" s="2" t="s">
        <v>84</v>
      </c>
      <c r="B139" s="13">
        <f>+(C74*(10000/200)*5)/B56</f>
        <v>3528.3446712018135</v>
      </c>
    </row>
    <row r="140" spans="1:2" ht="12.75">
      <c r="A140" s="2" t="s">
        <v>85</v>
      </c>
      <c r="B140" s="13">
        <f>+(D74*(10000/200)*5)/B60</f>
        <v>2136.3024376417234</v>
      </c>
    </row>
    <row r="141" spans="1:2" ht="12.75">
      <c r="A141" s="2" t="s">
        <v>86</v>
      </c>
      <c r="B141" s="13">
        <f>+(E74*(10000/200)*5)/B64</f>
        <v>937.2165532879818</v>
      </c>
    </row>
    <row r="142" spans="1:2" ht="12.75">
      <c r="A142" s="2" t="s">
        <v>87</v>
      </c>
      <c r="B142" s="13">
        <f>+(F74*(10000/200)*5)/B67</f>
        <v>4098.1879477454695</v>
      </c>
    </row>
    <row r="143" ht="12.75">
      <c r="A143" s="1" t="s">
        <v>83</v>
      </c>
    </row>
    <row r="144" spans="1:2" ht="12.75">
      <c r="A144" s="2" t="s">
        <v>88</v>
      </c>
      <c r="B144" s="13">
        <f>+(B75*(10000/200)*5)/B52</f>
        <v>184.52380952380955</v>
      </c>
    </row>
    <row r="145" spans="1:2" ht="12.75">
      <c r="A145" s="2" t="s">
        <v>84</v>
      </c>
      <c r="B145" s="13">
        <f>+(C75*(10000/200)*5)/B56</f>
        <v>562.3582766439911</v>
      </c>
    </row>
    <row r="146" spans="1:2" ht="12.75">
      <c r="A146" s="2" t="s">
        <v>85</v>
      </c>
      <c r="B146" s="13">
        <f>+(D75*(10000/200)*5)/B60</f>
        <v>340.49036281179144</v>
      </c>
    </row>
    <row r="147" spans="1:2" ht="12.75">
      <c r="A147" s="2" t="s">
        <v>86</v>
      </c>
      <c r="B147" s="13">
        <f>+(E75*(10000/200)*5)/B64</f>
        <v>149.37641723356012</v>
      </c>
    </row>
    <row r="148" spans="1:2" ht="12.75">
      <c r="A148" s="2" t="s">
        <v>87</v>
      </c>
      <c r="B148" s="13">
        <f>+(B75*(10000/200)*5)/B67</f>
        <v>653.1816266329541</v>
      </c>
    </row>
    <row r="149" ht="12.75">
      <c r="A149" s="1" t="s">
        <v>79</v>
      </c>
    </row>
    <row r="150" spans="1:2" ht="12.75">
      <c r="A150" s="2" t="s">
        <v>88</v>
      </c>
      <c r="B150" s="13">
        <f>+(B76*(13000/200)*5)/B53</f>
        <v>3739.982638888889</v>
      </c>
    </row>
    <row r="151" spans="1:2" ht="12.75">
      <c r="A151" s="2" t="s">
        <v>84</v>
      </c>
      <c r="B151" s="13">
        <f>+(C76*(13000/200)*5)/B57</f>
        <v>441785.44921874994</v>
      </c>
    </row>
    <row r="152" spans="1:2" ht="12.75">
      <c r="A152" s="2" t="s">
        <v>85</v>
      </c>
      <c r="B152" s="13">
        <f>+(D76*(13000/200)*5)/B61</f>
        <v>20268.293010752684</v>
      </c>
    </row>
    <row r="153" spans="1:2" ht="12.75">
      <c r="A153" s="2" t="s">
        <v>86</v>
      </c>
      <c r="B153" s="13">
        <f>+(E76*(13000/200)*5)/B65</f>
        <v>13859.935661764703</v>
      </c>
    </row>
    <row r="154" spans="1:2" ht="12.75">
      <c r="A154" s="2" t="s">
        <v>87</v>
      </c>
      <c r="B154" s="13">
        <f>+(B76*(13000/200)*5)/B67</f>
        <v>2538.9626352015734</v>
      </c>
    </row>
    <row r="156" ht="12.75">
      <c r="A156" s="1" t="s">
        <v>69</v>
      </c>
    </row>
    <row r="157" spans="1:2" ht="12.75">
      <c r="A157" s="1" t="s">
        <v>91</v>
      </c>
      <c r="B157" s="11">
        <f>+B150+B144+B138</f>
        <v>5082.244543650794</v>
      </c>
    </row>
    <row r="158" spans="1:2" ht="12.75">
      <c r="A158" s="1" t="s">
        <v>92</v>
      </c>
      <c r="B158" s="11">
        <f>+B151+B145+B139</f>
        <v>445876.15216659574</v>
      </c>
    </row>
    <row r="159" spans="1:2" ht="12.75">
      <c r="A159" s="1" t="s">
        <v>93</v>
      </c>
      <c r="B159" s="11">
        <f>+B152+B146+B140</f>
        <v>22745.085811206198</v>
      </c>
    </row>
    <row r="160" spans="1:2" ht="12.75">
      <c r="A160" s="1" t="s">
        <v>94</v>
      </c>
      <c r="B160" s="11">
        <f>+B153+B147+B141</f>
        <v>14946.528632286245</v>
      </c>
    </row>
    <row r="161" spans="1:2" ht="12.75">
      <c r="A161" s="1" t="s">
        <v>89</v>
      </c>
      <c r="B161" s="11">
        <f>+B154+B148+B142</f>
        <v>7290.332209579998</v>
      </c>
    </row>
    <row r="162" ht="12.75">
      <c r="A162" s="2" t="s">
        <v>167</v>
      </c>
    </row>
    <row r="163" ht="12.75">
      <c r="A163" s="2" t="s">
        <v>168</v>
      </c>
    </row>
    <row r="164" ht="12.75">
      <c r="A164" s="2" t="s">
        <v>169</v>
      </c>
    </row>
    <row r="167" ht="12.75">
      <c r="A167" s="1" t="s">
        <v>227</v>
      </c>
    </row>
    <row r="168" ht="12.75">
      <c r="A168" s="1"/>
    </row>
    <row r="169" ht="12.75">
      <c r="B169" s="3" t="s">
        <v>170</v>
      </c>
    </row>
    <row r="170" spans="1:2" ht="12.75">
      <c r="A170" s="2" t="s">
        <v>161</v>
      </c>
      <c r="B170" s="22">
        <v>1824</v>
      </c>
    </row>
    <row r="171" spans="1:2" ht="12.75">
      <c r="A171" s="2" t="s">
        <v>163</v>
      </c>
      <c r="B171" s="32">
        <f>+B45</f>
        <v>20.16</v>
      </c>
    </row>
    <row r="172" spans="1:2" ht="12.75">
      <c r="A172" s="2" t="s">
        <v>162</v>
      </c>
      <c r="B172" s="24">
        <v>365</v>
      </c>
    </row>
    <row r="173" spans="1:2" ht="12.75">
      <c r="A173" s="1" t="s">
        <v>156</v>
      </c>
      <c r="B173" s="9">
        <f>+(B170*B172)/B171</f>
        <v>33023.80952380953</v>
      </c>
    </row>
  </sheetData>
  <sheetProtection/>
  <printOptions/>
  <pageMargins left="0.25" right="0.25" top="1" bottom="0.5" header="0.25" footer="0.25"/>
  <pageSetup horizontalDpi="600" verticalDpi="600" orientation="landscape" scale="90" r:id="rId1"/>
  <headerFooter alignWithMargins="0">
    <oddHeader>&amp;C&amp;"Times New Roman,Bold"&amp;12Estimated Proposed Project Operational Energy Impacts</oddHeader>
    <oddFooter>&amp;L&amp;"Times New Roman,Regular"&amp;F&amp;C&amp;"Times New Roman,Regular"Page &amp;P of &amp;N&amp;R&amp;"Times New Roman,Regular"&amp;D</oddFooter>
  </headerFooter>
  <rowBreaks count="3" manualBreakCount="3">
    <brk id="39" max="255" man="1"/>
    <brk id="70" max="255" man="1"/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8.00390625" style="2" bestFit="1" customWidth="1"/>
    <col min="2" max="10" width="11.00390625" style="2" customWidth="1"/>
    <col min="11" max="16384" width="9.140625" style="2" customWidth="1"/>
  </cols>
  <sheetData>
    <row r="1" ht="15">
      <c r="A1" s="14" t="s">
        <v>124</v>
      </c>
    </row>
    <row r="2" ht="12.75">
      <c r="A2" s="1"/>
    </row>
    <row r="3" spans="1:6" ht="12.75">
      <c r="A3" s="1" t="s">
        <v>55</v>
      </c>
      <c r="C3" s="3" t="s">
        <v>59</v>
      </c>
      <c r="F3" s="3"/>
    </row>
    <row r="4" spans="1:4" ht="12.75">
      <c r="A4" s="1"/>
      <c r="B4" s="3">
        <v>2000</v>
      </c>
      <c r="C4" s="3">
        <v>2005</v>
      </c>
      <c r="D4" s="3">
        <v>2010</v>
      </c>
    </row>
    <row r="5" spans="1:10" ht="12.75">
      <c r="A5" s="2" t="s">
        <v>125</v>
      </c>
      <c r="B5" s="15">
        <f>+'OP_Proj.'!B16</f>
        <v>0</v>
      </c>
      <c r="C5" s="15">
        <f>+'OP_Proj.'!E16</f>
        <v>0.06450025216070654</v>
      </c>
      <c r="D5" s="15">
        <f>+'OP_Proj.'!H16</f>
        <v>0.062473920691445306</v>
      </c>
      <c r="E5" s="35"/>
      <c r="F5" s="35"/>
      <c r="G5" s="36"/>
      <c r="I5" s="5"/>
      <c r="J5" s="7"/>
    </row>
    <row r="6" spans="1:10" ht="12.75">
      <c r="A6" s="2" t="s">
        <v>126</v>
      </c>
      <c r="B6" s="15">
        <f>+'OP_Proj.'!B22</f>
        <v>0</v>
      </c>
      <c r="C6" s="15">
        <f>+'OP_Proj.'!E22</f>
        <v>0.18573047278704036</v>
      </c>
      <c r="D6" s="15">
        <f>+'OP_Proj.'!H22</f>
        <v>0.12780803544762953</v>
      </c>
      <c r="E6" s="35"/>
      <c r="F6" s="35"/>
      <c r="G6" s="36"/>
      <c r="I6" s="5"/>
      <c r="J6" s="7"/>
    </row>
    <row r="7" spans="1:10" ht="12.75">
      <c r="A7" s="2" t="s">
        <v>127</v>
      </c>
      <c r="B7" s="15">
        <f>+'OP_Proj.'!B30</f>
        <v>0</v>
      </c>
      <c r="C7" s="15">
        <f>+'OP_Proj.'!E30</f>
        <v>0.06458150649531647</v>
      </c>
      <c r="D7" s="15">
        <f>+'OP_Proj.'!H30</f>
        <v>0.09322556014849526</v>
      </c>
      <c r="E7" s="35"/>
      <c r="F7" s="35"/>
      <c r="G7" s="36"/>
      <c r="I7" s="5"/>
      <c r="J7" s="6"/>
    </row>
    <row r="9" ht="12.75">
      <c r="A9" s="2" t="s">
        <v>128</v>
      </c>
    </row>
    <row r="10" ht="12.75">
      <c r="A10" s="2" t="s">
        <v>129</v>
      </c>
    </row>
    <row r="11" ht="12.75">
      <c r="A11" s="2" t="s">
        <v>130</v>
      </c>
    </row>
    <row r="13" ht="15">
      <c r="A13" s="14" t="s">
        <v>77</v>
      </c>
    </row>
    <row r="15" spans="1:3" ht="12.75">
      <c r="A15" s="1" t="s">
        <v>78</v>
      </c>
      <c r="C15" s="3" t="s">
        <v>59</v>
      </c>
    </row>
    <row r="16" spans="2:5" ht="12.75">
      <c r="B16" s="3">
        <v>2000</v>
      </c>
      <c r="C16" s="3">
        <v>2005</v>
      </c>
      <c r="D16" s="3">
        <v>2010</v>
      </c>
      <c r="E16" s="1"/>
    </row>
    <row r="17" ht="12.75">
      <c r="A17" s="1" t="s">
        <v>46</v>
      </c>
    </row>
    <row r="18" spans="1:5" ht="12.75">
      <c r="A18" s="2" t="s">
        <v>100</v>
      </c>
      <c r="B18" s="6">
        <v>20.16</v>
      </c>
      <c r="C18" s="6">
        <v>20.48</v>
      </c>
      <c r="D18" s="6">
        <v>21</v>
      </c>
      <c r="E18" s="6"/>
    </row>
    <row r="19" spans="1:5" ht="12.75">
      <c r="A19" s="1" t="s">
        <v>35</v>
      </c>
      <c r="B19" s="6"/>
      <c r="C19" s="6"/>
      <c r="D19" s="6"/>
      <c r="E19" s="6"/>
    </row>
    <row r="20" spans="1:5" ht="12.75">
      <c r="A20" s="2" t="s">
        <v>101</v>
      </c>
      <c r="B20" s="6">
        <v>0.73</v>
      </c>
      <c r="C20" s="6">
        <v>0.73</v>
      </c>
      <c r="D20" s="6">
        <v>0.73</v>
      </c>
      <c r="E20" s="6"/>
    </row>
    <row r="21" spans="1:5" ht="12.75">
      <c r="A21" s="2" t="s">
        <v>76</v>
      </c>
      <c r="B21" s="6">
        <v>4</v>
      </c>
      <c r="C21" s="6">
        <v>4</v>
      </c>
      <c r="D21" s="6">
        <v>4</v>
      </c>
      <c r="E21" s="6"/>
    </row>
    <row r="22" spans="2:5" ht="12.75">
      <c r="B22" s="6"/>
      <c r="C22" s="6"/>
      <c r="D22" s="6"/>
      <c r="E22" s="6"/>
    </row>
    <row r="23" ht="12.75">
      <c r="A23" s="1" t="s">
        <v>90</v>
      </c>
    </row>
    <row r="24" spans="1:4" ht="12.75">
      <c r="A24" s="2" t="s">
        <v>101</v>
      </c>
      <c r="B24" s="2">
        <v>1.68</v>
      </c>
      <c r="C24" s="2">
        <v>1.68</v>
      </c>
      <c r="D24" s="2">
        <v>1.68</v>
      </c>
    </row>
    <row r="25" spans="1:5" ht="12.75">
      <c r="A25" s="2" t="s">
        <v>81</v>
      </c>
      <c r="B25" s="6">
        <f>+B18/B24</f>
        <v>12</v>
      </c>
      <c r="C25" s="6">
        <f>+C18/C24</f>
        <v>12.190476190476192</v>
      </c>
      <c r="D25" s="6">
        <f>+D18/D24</f>
        <v>12.5</v>
      </c>
      <c r="E25" s="6"/>
    </row>
    <row r="26" spans="1:5" ht="12.75">
      <c r="A26" s="2" t="s">
        <v>82</v>
      </c>
      <c r="B26" s="6">
        <f>+B24/B$20</f>
        <v>2.3013698630136985</v>
      </c>
      <c r="C26" s="6">
        <f>+C24/C$20</f>
        <v>2.3013698630136985</v>
      </c>
      <c r="D26" s="6">
        <f>+D24/D$20</f>
        <v>2.3013698630136985</v>
      </c>
      <c r="E26" s="6"/>
    </row>
    <row r="27" ht="12.75">
      <c r="A27" s="1" t="s">
        <v>22</v>
      </c>
    </row>
    <row r="28" spans="1:4" ht="12.75">
      <c r="A28" s="2" t="s">
        <v>101</v>
      </c>
      <c r="B28" s="2">
        <v>1.28</v>
      </c>
      <c r="C28" s="2">
        <v>1.28</v>
      </c>
      <c r="D28" s="2">
        <v>1.28</v>
      </c>
    </row>
    <row r="29" spans="1:5" ht="12.75">
      <c r="A29" s="2" t="s">
        <v>81</v>
      </c>
      <c r="B29" s="6">
        <f>+B18/B28</f>
        <v>15.75</v>
      </c>
      <c r="C29" s="6">
        <f>+C18/C28</f>
        <v>16</v>
      </c>
      <c r="D29" s="6">
        <f>+D18/D28</f>
        <v>16.40625</v>
      </c>
      <c r="E29" s="6"/>
    </row>
    <row r="30" spans="1:5" ht="12.75">
      <c r="A30" s="2" t="s">
        <v>82</v>
      </c>
      <c r="B30" s="6">
        <f>+B28/B$20</f>
        <v>1.7534246575342467</v>
      </c>
      <c r="C30" s="6">
        <f>+C28/C$20</f>
        <v>1.7534246575342467</v>
      </c>
      <c r="D30" s="6">
        <f>+D28/D$20</f>
        <v>1.7534246575342467</v>
      </c>
      <c r="E30" s="6"/>
    </row>
    <row r="31" ht="12.75">
      <c r="A31" s="1" t="s">
        <v>23</v>
      </c>
    </row>
    <row r="32" spans="1:4" ht="12.75">
      <c r="A32" s="2" t="s">
        <v>101</v>
      </c>
      <c r="B32" s="2">
        <v>1.55</v>
      </c>
      <c r="C32" s="2">
        <v>1.55</v>
      </c>
      <c r="D32" s="2">
        <v>1.55</v>
      </c>
    </row>
    <row r="33" spans="1:5" ht="12.75">
      <c r="A33" s="2" t="s">
        <v>81</v>
      </c>
      <c r="B33" s="6">
        <f>+B18/B32</f>
        <v>13.006451612903225</v>
      </c>
      <c r="C33" s="6">
        <f>+C18/C32</f>
        <v>13.212903225806452</v>
      </c>
      <c r="D33" s="6">
        <f>+D18/D32</f>
        <v>13.548387096774194</v>
      </c>
      <c r="E33" s="6"/>
    </row>
    <row r="34" spans="1:5" ht="12.75">
      <c r="A34" s="2" t="s">
        <v>82</v>
      </c>
      <c r="B34" s="6">
        <f>+B32/B$20</f>
        <v>2.1232876712328768</v>
      </c>
      <c r="C34" s="6">
        <f>+C32/C$20</f>
        <v>2.1232876712328768</v>
      </c>
      <c r="D34" s="6">
        <f>+D32/D$20</f>
        <v>2.1232876712328768</v>
      </c>
      <c r="E34" s="6"/>
    </row>
    <row r="35" ht="12.75">
      <c r="A35" s="1" t="s">
        <v>25</v>
      </c>
    </row>
    <row r="36" spans="1:4" ht="12.75">
      <c r="A36" s="2" t="s">
        <v>101</v>
      </c>
      <c r="B36" s="2">
        <v>1.36</v>
      </c>
      <c r="C36" s="2">
        <v>1.36</v>
      </c>
      <c r="D36" s="2">
        <v>1.36</v>
      </c>
    </row>
    <row r="37" spans="1:5" ht="12.75">
      <c r="A37" s="2" t="s">
        <v>81</v>
      </c>
      <c r="B37" s="6">
        <f>+B18/B36</f>
        <v>14.823529411764705</v>
      </c>
      <c r="C37" s="6">
        <f>+C18/C36</f>
        <v>15.058823529411764</v>
      </c>
      <c r="D37" s="6">
        <f>+D18/D36</f>
        <v>15.441176470588234</v>
      </c>
      <c r="E37" s="6"/>
    </row>
    <row r="38" spans="1:5" ht="12.75">
      <c r="A38" s="2" t="s">
        <v>82</v>
      </c>
      <c r="B38" s="6">
        <f>+B36/B$20</f>
        <v>1.863013698630137</v>
      </c>
      <c r="C38" s="6">
        <f>+C36/C$20</f>
        <v>1.863013698630137</v>
      </c>
      <c r="D38" s="6">
        <f>+D36/D$20</f>
        <v>1.863013698630137</v>
      </c>
      <c r="E38" s="6"/>
    </row>
    <row r="39" ht="12.75">
      <c r="A39" s="1" t="s">
        <v>47</v>
      </c>
    </row>
    <row r="40" spans="1:4" ht="12.75">
      <c r="A40" s="2" t="s">
        <v>102</v>
      </c>
      <c r="B40" s="2">
        <v>3.39</v>
      </c>
      <c r="C40" s="2">
        <v>3.29</v>
      </c>
      <c r="D40" s="2">
        <v>3.26</v>
      </c>
    </row>
    <row r="42" ht="12.75">
      <c r="A42" s="2" t="s">
        <v>104</v>
      </c>
    </row>
    <row r="43" ht="12.75">
      <c r="A43" s="2" t="s">
        <v>103</v>
      </c>
    </row>
    <row r="45" ht="15">
      <c r="A45" s="14" t="s">
        <v>132</v>
      </c>
    </row>
    <row r="46" ht="15">
      <c r="A46" s="14"/>
    </row>
    <row r="47" ht="12.75">
      <c r="D47" s="3" t="s">
        <v>121</v>
      </c>
    </row>
    <row r="48" spans="2:6" ht="12.75">
      <c r="B48" s="3" t="s">
        <v>21</v>
      </c>
      <c r="C48" s="3" t="s">
        <v>22</v>
      </c>
      <c r="D48" s="3" t="s">
        <v>23</v>
      </c>
      <c r="E48" s="3" t="s">
        <v>25</v>
      </c>
      <c r="F48" s="3" t="s">
        <v>26</v>
      </c>
    </row>
    <row r="49" spans="1:6" ht="12.75">
      <c r="A49" s="1" t="s">
        <v>131</v>
      </c>
      <c r="B49" s="5">
        <f>+'[1]Alternative B'!B98</f>
        <v>55.57142857142857</v>
      </c>
      <c r="C49" s="5">
        <f>+'[1]Alternative B'!C98</f>
        <v>222.28571428571428</v>
      </c>
      <c r="D49" s="5">
        <f>+'[1]Alternative B'!D98</f>
        <v>111.14285714285714</v>
      </c>
      <c r="E49" s="5">
        <f>+'[1]Alternative B'!E98</f>
        <v>55.57142857142857</v>
      </c>
      <c r="F49" s="5">
        <f>+'[1]Alternative B'!F98</f>
        <v>55.57142857142857</v>
      </c>
    </row>
    <row r="50" spans="1:6" ht="12.75">
      <c r="A50" s="1" t="s">
        <v>83</v>
      </c>
      <c r="B50" s="5">
        <f>+'[1]Alternative B'!B99</f>
        <v>8.857142857142858</v>
      </c>
      <c r="C50" s="5">
        <f>+'[1]Alternative B'!C99</f>
        <v>35.42857142857143</v>
      </c>
      <c r="D50" s="5">
        <f>+'[1]Alternative B'!D99</f>
        <v>17.714285714285715</v>
      </c>
      <c r="E50" s="5">
        <f>+'[1]Alternative B'!E99</f>
        <v>8.857142857142858</v>
      </c>
      <c r="F50" s="5">
        <f>+'[1]Alternative B'!F99</f>
        <v>8.857142857142858</v>
      </c>
    </row>
    <row r="51" spans="1:6" ht="12.75">
      <c r="A51" s="1" t="s">
        <v>79</v>
      </c>
      <c r="B51" s="5">
        <f>+'[1]Alternative B'!B106</f>
        <v>24.400000000000002</v>
      </c>
      <c r="C51" s="5">
        <f>+'[1]Alternative B'!C106</f>
        <v>2196</v>
      </c>
      <c r="D51" s="5">
        <f>+'[1]Alternative B'!D106</f>
        <v>122</v>
      </c>
      <c r="E51" s="5">
        <f>+'[1]Alternative B'!E106</f>
        <v>73.19999999999999</v>
      </c>
      <c r="F51" s="5">
        <f>+'[1]Alternative B'!F106</f>
        <v>24.400000000000002</v>
      </c>
    </row>
    <row r="52" spans="2:6" ht="12.75">
      <c r="B52" s="5"/>
      <c r="C52" s="5"/>
      <c r="D52" s="5"/>
      <c r="E52" s="5"/>
      <c r="F52" s="5"/>
    </row>
    <row r="53" spans="1:10" ht="12.75">
      <c r="A53" s="1" t="s">
        <v>3</v>
      </c>
      <c r="B53" s="11">
        <f>SUM(B49:B52)</f>
        <v>88.82857142857144</v>
      </c>
      <c r="C53" s="11">
        <f>SUM(C49:C52)</f>
        <v>2453.714285714286</v>
      </c>
      <c r="D53" s="11">
        <f>SUM(D49:D52)</f>
        <v>250.85714285714286</v>
      </c>
      <c r="E53" s="11">
        <f>SUM(E49:E52)</f>
        <v>137.62857142857143</v>
      </c>
      <c r="F53" s="11">
        <f>SUM(F49:F52)</f>
        <v>88.82857142857144</v>
      </c>
      <c r="G53" s="1"/>
      <c r="H53" s="1"/>
      <c r="I53" s="1"/>
      <c r="J53" s="1"/>
    </row>
    <row r="54" spans="1:6" ht="12.75">
      <c r="A54" s="1" t="s">
        <v>108</v>
      </c>
      <c r="B54" s="12">
        <f>+ROUNDUP(B53,-1)</f>
        <v>90</v>
      </c>
      <c r="C54" s="12">
        <f>+ROUNDUP(C53,-1)</f>
        <v>2460</v>
      </c>
      <c r="D54" s="12">
        <f>+ROUNDUP(D53,-1)</f>
        <v>260</v>
      </c>
      <c r="E54" s="12">
        <f>+ROUNDUP(E53,-1)</f>
        <v>140</v>
      </c>
      <c r="F54" s="12">
        <f>+ROUNDUP(F53,-1)</f>
        <v>90</v>
      </c>
    </row>
    <row r="55" spans="1:6" ht="12.75">
      <c r="A55" s="1"/>
      <c r="B55" s="12"/>
      <c r="C55" s="12"/>
      <c r="D55" s="12"/>
      <c r="E55" s="12"/>
      <c r="F55" s="12"/>
    </row>
    <row r="56" ht="12.75">
      <c r="D56" s="3" t="s">
        <v>122</v>
      </c>
    </row>
    <row r="57" spans="2:6" ht="12.75">
      <c r="B57" s="3" t="s">
        <v>21</v>
      </c>
      <c r="C57" s="3" t="s">
        <v>22</v>
      </c>
      <c r="D57" s="3" t="s">
        <v>23</v>
      </c>
      <c r="E57" s="3" t="s">
        <v>25</v>
      </c>
      <c r="F57" s="3" t="s">
        <v>26</v>
      </c>
    </row>
    <row r="58" spans="1:6" ht="12.75">
      <c r="A58" s="1" t="s">
        <v>131</v>
      </c>
      <c r="B58" s="5">
        <f>+'[1]Alternative D'!B76</f>
        <v>52</v>
      </c>
      <c r="C58" s="5">
        <f>+'[1]Alternative D'!C76</f>
        <v>208</v>
      </c>
      <c r="D58" s="5">
        <f>+'[1]Alternative D'!D76</f>
        <v>104</v>
      </c>
      <c r="E58" s="5">
        <f>+'[1]Alternative D'!E76</f>
        <v>52</v>
      </c>
      <c r="F58" s="5">
        <f>+'[1]Alternative D'!F76</f>
        <v>52</v>
      </c>
    </row>
    <row r="59" spans="1:6" ht="12.75">
      <c r="A59" s="1" t="s">
        <v>83</v>
      </c>
      <c r="B59" s="5">
        <f>+'[1]Alternative D'!B77</f>
        <v>8.285714285714286</v>
      </c>
      <c r="C59" s="5">
        <f>+'[1]Alternative D'!C77</f>
        <v>33.142857142857146</v>
      </c>
      <c r="D59" s="5">
        <f>+'[1]Alternative D'!D77</f>
        <v>16.571428571428573</v>
      </c>
      <c r="E59" s="5">
        <f>+'[1]Alternative D'!E77</f>
        <v>8.285714285714286</v>
      </c>
      <c r="F59" s="5">
        <f>+'[1]Alternative D'!F77</f>
        <v>8.285714285714286</v>
      </c>
    </row>
    <row r="60" spans="1:6" ht="12.75">
      <c r="A60" s="1" t="s">
        <v>79</v>
      </c>
      <c r="B60" s="5">
        <f>+'[1]Alternative D'!B84</f>
        <v>24.65</v>
      </c>
      <c r="C60" s="5">
        <f>+'[1]Alternative D'!C84</f>
        <v>2218.5</v>
      </c>
      <c r="D60" s="5">
        <f>+'[1]Alternative D'!D84</f>
        <v>123.25</v>
      </c>
      <c r="E60" s="5">
        <f>+'[1]Alternative D'!E84</f>
        <v>73.94999999999999</v>
      </c>
      <c r="F60" s="5">
        <f>+'[1]Alternative D'!F84</f>
        <v>24.65</v>
      </c>
    </row>
    <row r="61" spans="2:6" ht="12.75">
      <c r="B61" s="5"/>
      <c r="C61" s="5"/>
      <c r="D61" s="5"/>
      <c r="E61" s="5"/>
      <c r="F61" s="5"/>
    </row>
    <row r="62" spans="1:10" ht="12.75">
      <c r="A62" s="1" t="s">
        <v>3</v>
      </c>
      <c r="B62" s="11">
        <f>SUM(B58:B61)</f>
        <v>84.93571428571428</v>
      </c>
      <c r="C62" s="11">
        <f>SUM(C58:C61)</f>
        <v>2459.6428571428573</v>
      </c>
      <c r="D62" s="11">
        <f>SUM(D58:D61)</f>
        <v>243.82142857142856</v>
      </c>
      <c r="E62" s="11">
        <f>SUM(E58:E61)</f>
        <v>134.23571428571427</v>
      </c>
      <c r="F62" s="11">
        <f>SUM(F58:F61)</f>
        <v>84.93571428571428</v>
      </c>
      <c r="G62" s="1"/>
      <c r="H62" s="1"/>
      <c r="I62" s="1"/>
      <c r="J62" s="1"/>
    </row>
    <row r="63" spans="1:6" ht="12.75">
      <c r="A63" s="1" t="s">
        <v>108</v>
      </c>
      <c r="B63" s="12">
        <f>+ROUNDUP(B62,-1)</f>
        <v>90</v>
      </c>
      <c r="C63" s="12">
        <f>+ROUNDUP(C62,-1)</f>
        <v>2460</v>
      </c>
      <c r="D63" s="12">
        <f>+ROUNDUP(D62,-1)</f>
        <v>250</v>
      </c>
      <c r="E63" s="12">
        <f>+ROUNDUP(E62,-1)</f>
        <v>140</v>
      </c>
      <c r="F63" s="12">
        <f>+ROUNDUP(F62,-1)</f>
        <v>90</v>
      </c>
    </row>
    <row r="64" spans="1:6" ht="12.75">
      <c r="A64" s="1"/>
      <c r="B64" s="12"/>
      <c r="C64" s="12"/>
      <c r="D64" s="12"/>
      <c r="E64" s="12"/>
      <c r="F64" s="12"/>
    </row>
    <row r="65" ht="12.75">
      <c r="D65" s="3" t="s">
        <v>123</v>
      </c>
    </row>
    <row r="66" spans="2:6" ht="12.75">
      <c r="B66" s="3" t="s">
        <v>21</v>
      </c>
      <c r="C66" s="3" t="s">
        <v>22</v>
      </c>
      <c r="D66" s="3" t="s">
        <v>23</v>
      </c>
      <c r="E66" s="3" t="s">
        <v>25</v>
      </c>
      <c r="F66" s="3" t="s">
        <v>26</v>
      </c>
    </row>
    <row r="67" spans="1:6" ht="12.75">
      <c r="A67" s="1" t="s">
        <v>131</v>
      </c>
      <c r="B67" s="5">
        <f>+'[1]Alternative F'!B77</f>
        <v>55.57142857142857</v>
      </c>
      <c r="C67" s="5">
        <f>+'[1]Alternative F'!C77</f>
        <v>222.28571428571428</v>
      </c>
      <c r="D67" s="5">
        <f>+'[1]Alternative F'!D77</f>
        <v>111.14285714285714</v>
      </c>
      <c r="E67" s="5">
        <f>+'[1]Alternative F'!E77</f>
        <v>55.57142857142857</v>
      </c>
      <c r="F67" s="5">
        <f>+'[1]Alternative F'!F77</f>
        <v>55.57142857142857</v>
      </c>
    </row>
    <row r="68" spans="1:6" ht="12.75">
      <c r="A68" s="1" t="s">
        <v>83</v>
      </c>
      <c r="B68" s="5">
        <f>+'[1]Alternative F'!B78</f>
        <v>8.857142857142858</v>
      </c>
      <c r="C68" s="5">
        <f>+'[1]Alternative F'!C78</f>
        <v>35.42857142857143</v>
      </c>
      <c r="D68" s="5">
        <f>+'[1]Alternative F'!D78</f>
        <v>17.714285714285715</v>
      </c>
      <c r="E68" s="5">
        <f>+'[1]Alternative F'!E78</f>
        <v>8.857142857142858</v>
      </c>
      <c r="F68" s="5">
        <f>+'[1]Alternative F'!F78</f>
        <v>8.857142857142858</v>
      </c>
    </row>
    <row r="69" spans="1:6" ht="12.75">
      <c r="A69" s="1" t="s">
        <v>79</v>
      </c>
      <c r="B69" s="5">
        <f>+'[1]Alternative F'!B83</f>
        <v>18.383333333333333</v>
      </c>
      <c r="C69" s="5">
        <f>+'[1]Alternative F'!C83</f>
        <v>1654.5</v>
      </c>
      <c r="D69" s="5">
        <f>+'[1]Alternative F'!D83</f>
        <v>91.91666666666667</v>
      </c>
      <c r="E69" s="5">
        <f>+'[1]Alternative F'!E83</f>
        <v>55.14999999999999</v>
      </c>
      <c r="F69" s="5">
        <f>+'[1]Alternative F'!F83</f>
        <v>18.383333333333333</v>
      </c>
    </row>
    <row r="70" spans="2:6" ht="12.75">
      <c r="B70" s="5"/>
      <c r="C70" s="5"/>
      <c r="D70" s="5"/>
      <c r="E70" s="5"/>
      <c r="F70" s="5"/>
    </row>
    <row r="71" spans="1:10" ht="12.75">
      <c r="A71" s="1" t="s">
        <v>3</v>
      </c>
      <c r="B71" s="11">
        <f>SUM(B67:B70)</f>
        <v>82.81190476190477</v>
      </c>
      <c r="C71" s="11">
        <f>SUM(C67:C70)</f>
        <v>1912.2142857142858</v>
      </c>
      <c r="D71" s="11">
        <f>SUM(D67:D70)</f>
        <v>220.77380952380952</v>
      </c>
      <c r="E71" s="11">
        <f>SUM(E67:E70)</f>
        <v>119.57857142857142</v>
      </c>
      <c r="F71" s="11">
        <f>SUM(F67:F70)</f>
        <v>82.81190476190477</v>
      </c>
      <c r="G71" s="1"/>
      <c r="H71" s="1"/>
      <c r="I71" s="1"/>
      <c r="J71" s="1"/>
    </row>
    <row r="72" spans="1:6" ht="12.75">
      <c r="A72" s="1" t="s">
        <v>108</v>
      </c>
      <c r="B72" s="12">
        <f>+ROUNDUP(B71,-1)</f>
        <v>90</v>
      </c>
      <c r="C72" s="12">
        <f>+ROUNDUP(C71,-1)</f>
        <v>1920</v>
      </c>
      <c r="D72" s="12">
        <f>+ROUNDUP(D71,-1)</f>
        <v>230</v>
      </c>
      <c r="E72" s="12">
        <f>+ROUNDUP(E71,-1)</f>
        <v>120</v>
      </c>
      <c r="F72" s="12">
        <f>+ROUNDUP(F71,-1)</f>
        <v>90</v>
      </c>
    </row>
    <row r="73" ht="12.75">
      <c r="A73" s="2" t="s">
        <v>110</v>
      </c>
    </row>
    <row r="74" ht="12.75">
      <c r="A74" s="2" t="s">
        <v>109</v>
      </c>
    </row>
    <row r="75" ht="12.75">
      <c r="A75" s="2" t="s">
        <v>80</v>
      </c>
    </row>
    <row r="77" ht="15">
      <c r="A77" s="14" t="s">
        <v>133</v>
      </c>
    </row>
    <row r="78" ht="15">
      <c r="A78" s="14"/>
    </row>
    <row r="79" ht="12.75">
      <c r="A79" s="1" t="s">
        <v>240</v>
      </c>
    </row>
    <row r="80" spans="1:9" ht="15">
      <c r="A80" s="14"/>
      <c r="C80" s="3" t="s">
        <v>121</v>
      </c>
      <c r="D80" s="3"/>
      <c r="E80" s="3"/>
      <c r="F80" s="3" t="s">
        <v>122</v>
      </c>
      <c r="G80" s="3"/>
      <c r="H80" s="3"/>
      <c r="I80" s="3" t="s">
        <v>123</v>
      </c>
    </row>
    <row r="81" spans="2:10" ht="12.75">
      <c r="B81" s="3"/>
      <c r="C81" s="3" t="s">
        <v>59</v>
      </c>
      <c r="D81" s="3"/>
      <c r="E81" s="3"/>
      <c r="F81" s="3" t="s">
        <v>59</v>
      </c>
      <c r="G81" s="3"/>
      <c r="H81" s="3"/>
      <c r="I81" s="3" t="s">
        <v>59</v>
      </c>
      <c r="J81" s="3"/>
    </row>
    <row r="82" spans="2:10" ht="12.75">
      <c r="B82" s="3">
        <v>2000</v>
      </c>
      <c r="C82" s="3">
        <v>2005</v>
      </c>
      <c r="D82" s="3">
        <v>2010</v>
      </c>
      <c r="E82" s="3">
        <v>2000</v>
      </c>
      <c r="F82" s="3">
        <v>2005</v>
      </c>
      <c r="G82" s="3">
        <v>2010</v>
      </c>
      <c r="H82" s="3">
        <v>2000</v>
      </c>
      <c r="I82" s="3">
        <v>2005</v>
      </c>
      <c r="J82" s="3">
        <v>2010</v>
      </c>
    </row>
    <row r="83" ht="12.75">
      <c r="A83" s="1" t="s">
        <v>115</v>
      </c>
    </row>
    <row r="84" spans="1:10" ht="12.75">
      <c r="A84" s="2" t="s">
        <v>88</v>
      </c>
      <c r="B84" s="5">
        <f>+(B49*10000)/$B$25</f>
        <v>46309.52380952381</v>
      </c>
      <c r="C84" s="5">
        <f>+((B49*10000)/$C$25)+(B84*$C$5)</f>
        <v>48572.913463156525</v>
      </c>
      <c r="D84" s="5">
        <f>+((B49*10000)/$D$25)+(C84*$D$5)</f>
        <v>47491.68320059253</v>
      </c>
      <c r="E84" s="5">
        <f>+(B58*10000)/$B$25</f>
        <v>43333.333333333336</v>
      </c>
      <c r="F84" s="5">
        <f>+((B58*10000)/$C$25)+(E84*$C$5)</f>
        <v>45451.26092696394</v>
      </c>
      <c r="G84" s="5">
        <f>+((B58*10000)/$D$25)+(F84*$D$5)</f>
        <v>44439.518470477335</v>
      </c>
      <c r="H84" s="5">
        <f>+(B67*10000)/$B$25</f>
        <v>46309.52380952381</v>
      </c>
      <c r="I84" s="5">
        <f>+((B67*10000)/$C$25)+(H84*$C$5)</f>
        <v>48572.913463156525</v>
      </c>
      <c r="J84" s="5">
        <f>+((B67*10000)/$D$25)+(I84*$D$5)</f>
        <v>47491.68320059253</v>
      </c>
    </row>
    <row r="85" spans="1:10" ht="12.75">
      <c r="A85" s="2" t="s">
        <v>84</v>
      </c>
      <c r="B85" s="5">
        <f>+(C49*10000)/B29</f>
        <v>141133.78684807254</v>
      </c>
      <c r="C85" s="5">
        <f>+((C49*10000)/C29)+(B85*$C$5)</f>
        <v>148031.7362686675</v>
      </c>
      <c r="D85" s="5">
        <f>+((C49*10000)/D29)+(C85*$D$5)</f>
        <v>144736.55832561533</v>
      </c>
      <c r="E85" s="5">
        <f>+(C58*10000)/B29</f>
        <v>132063.49206349207</v>
      </c>
      <c r="F85" s="5">
        <f>+((C58*10000)/C29)+(E85*$C$5)</f>
        <v>138518.1285393187</v>
      </c>
      <c r="G85" s="5">
        <f>+((C58*10000)/C29)+(F85*$D$5)</f>
        <v>138653.77057669283</v>
      </c>
      <c r="H85" s="5">
        <f>+(C67*10000)/B29</f>
        <v>141133.78684807254</v>
      </c>
      <c r="I85" s="5">
        <f>+((C67*10000)/C29)+(H85*$C$5)</f>
        <v>148031.7362686675</v>
      </c>
      <c r="J85" s="5">
        <f>+((C67*10000)/D29)+(I85*$D$5)</f>
        <v>144736.55832561533</v>
      </c>
    </row>
    <row r="86" spans="1:10" ht="12.75">
      <c r="A86" s="2" t="s">
        <v>85</v>
      </c>
      <c r="B86" s="5">
        <f>+(D49*10000)/B33</f>
        <v>85452.09750566893</v>
      </c>
      <c r="C86" s="5">
        <f>+((D49*10000)/C33)+(B86*$C$5)</f>
        <v>89628.59031891979</v>
      </c>
      <c r="D86" s="5">
        <f>+((D49*10000)/D33)+(C86*$D$5)</f>
        <v>87633.46304871241</v>
      </c>
      <c r="E86" s="5">
        <f>+(D58*10000)/B33</f>
        <v>79960.31746031747</v>
      </c>
      <c r="F86" s="5">
        <f>+((D58*10000)/C33)+(E86*$C$5)</f>
        <v>83868.39813904063</v>
      </c>
      <c r="G86" s="5">
        <f>+((D58*10000)/C33)+(F86*$D$5)</f>
        <v>83950.52515385699</v>
      </c>
      <c r="H86" s="5">
        <f>+(D67*10000)/B33</f>
        <v>85452.09750566893</v>
      </c>
      <c r="I86" s="5">
        <f>+((D67*10000)/C33)+(H86*$C$5)</f>
        <v>89628.59031891979</v>
      </c>
      <c r="J86" s="5">
        <f>+((D67*10000)/D33)+(I86*$D$5)</f>
        <v>87633.46304871241</v>
      </c>
    </row>
    <row r="87" spans="1:10" ht="12.75">
      <c r="A87" s="2" t="s">
        <v>86</v>
      </c>
      <c r="B87" s="5">
        <f>+(E49*10000)/B37</f>
        <v>37488.662131519275</v>
      </c>
      <c r="C87" s="5">
        <f>+((E49*10000)/C37)+(B87*$C$5)</f>
        <v>39320.929946364806</v>
      </c>
      <c r="D87" s="5">
        <f>+((E49*10000)/D37)+(C87*$D$5)</f>
        <v>38445.64830524158</v>
      </c>
      <c r="E87" s="5">
        <f>+(E58*10000)/B37</f>
        <v>35079.36507936508</v>
      </c>
      <c r="F87" s="5">
        <f>+((E58*10000)/C37)+(E87*$C$5)</f>
        <v>36793.87789325653</v>
      </c>
      <c r="G87" s="5">
        <f>+((E58*10000)/C37)+(F87*$D$5)</f>
        <v>36829.90780943403</v>
      </c>
      <c r="H87" s="5">
        <f>+(E67*10000)/B37</f>
        <v>37488.662131519275</v>
      </c>
      <c r="I87" s="5">
        <f>+((E67*10000)/C37)+(H87*$C$5)</f>
        <v>39320.929946364806</v>
      </c>
      <c r="J87" s="5">
        <f>+((E67*10000)/D37)+(I87*$D$5)</f>
        <v>38445.64830524158</v>
      </c>
    </row>
    <row r="88" spans="1:10" ht="12.75">
      <c r="A88" s="2" t="s">
        <v>87</v>
      </c>
      <c r="B88" s="5">
        <f>+(F49*10000)/B40</f>
        <v>163927.51790981877</v>
      </c>
      <c r="C88" s="5">
        <f>+((F49*10000)/C40)+(B88*$C$5)</f>
        <v>179483.48347964673</v>
      </c>
      <c r="D88" s="5">
        <f>+((F49*10000)/D40)+(C88*$D$5)</f>
        <v>181677.54173266483</v>
      </c>
      <c r="E88" s="5">
        <f>+(F58*10000)/B40</f>
        <v>153392.33038348082</v>
      </c>
      <c r="F88" s="5">
        <f>+((F58*10000)/C40)+(E88*$C$5)</f>
        <v>167948.55523545353</v>
      </c>
      <c r="G88" s="5">
        <f>+((F58*10000)/C40)+(F88*$D$5)</f>
        <v>168547.11596622315</v>
      </c>
      <c r="H88" s="5">
        <f>+(F67*10000)/B40</f>
        <v>163927.51790981877</v>
      </c>
      <c r="I88" s="5">
        <f>+((F67*10000)/C40)+(H88*$C$5)</f>
        <v>179483.48347964673</v>
      </c>
      <c r="J88" s="5">
        <f>+((F67*10000)/C40)+(I88*$D$5)</f>
        <v>180123.1541507165</v>
      </c>
    </row>
    <row r="89" spans="1:10" ht="12.75">
      <c r="A89" s="1" t="s">
        <v>83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2" t="s">
        <v>88</v>
      </c>
      <c r="B90" s="5">
        <f>+(B50*10000)/B25</f>
        <v>7380.952380952382</v>
      </c>
      <c r="C90" s="5">
        <f>+((B50*10000)/C25)+(B90*$C$6)</f>
        <v>8636.492775332918</v>
      </c>
      <c r="D90" s="5">
        <f>+((B50*10000)/D25)+(C90*$D$6)</f>
        <v>8189.527460487232</v>
      </c>
      <c r="E90" s="5">
        <f>+(B59*10000)/B25</f>
        <v>6904.7619047619055</v>
      </c>
      <c r="F90" s="5">
        <f>+((B59*10000)/C25)+(E90*$C$6)</f>
        <v>8079.299693053374</v>
      </c>
      <c r="G90" s="5">
        <f>+((B59*10000)/D25)+(F90*$D$6)</f>
        <v>7661.170850133218</v>
      </c>
      <c r="H90" s="5">
        <f>+(B68*10000)/B25</f>
        <v>7380.952380952382</v>
      </c>
      <c r="I90" s="5">
        <f>+((B68*10000)/C25)+(H90*$C$6)</f>
        <v>8636.492775332918</v>
      </c>
      <c r="J90" s="5">
        <f>+((B68*10000)/D25)+(I90*$D$6)</f>
        <v>8189.527460487232</v>
      </c>
    </row>
    <row r="91" spans="1:10" ht="12.75">
      <c r="A91" s="2" t="s">
        <v>84</v>
      </c>
      <c r="B91" s="5">
        <f>+(C50*10000)/B29</f>
        <v>22494.331065759638</v>
      </c>
      <c r="C91" s="5">
        <f>+((B49*10000)/C29)+(B91*$C$6)</f>
        <v>38910.025601014604</v>
      </c>
      <c r="D91" s="5">
        <f>+((B50*10000)/D29)+(C91*$D$6)</f>
        <v>10371.65338706496</v>
      </c>
      <c r="E91" s="5">
        <f>+(C59*10000)/B29</f>
        <v>21043.08390022676</v>
      </c>
      <c r="F91" s="5">
        <f>+((C59*10000)/C29)+(E91*$C$6)</f>
        <v>24622.62763597219</v>
      </c>
      <c r="G91" s="5">
        <f>+((C59*10000)/D29)+(F91*$D$6)</f>
        <v>23348.330209929805</v>
      </c>
      <c r="H91" s="5">
        <f>+(C68*10000)/B29</f>
        <v>22494.331065759638</v>
      </c>
      <c r="I91" s="5">
        <f>+((C68*10000)/C29)+(H91*$C$6)</f>
        <v>26320.739886728894</v>
      </c>
      <c r="J91" s="5">
        <f>+((C68*10000)/D29)+(I91*$D$6)</f>
        <v>24958.559879580134</v>
      </c>
    </row>
    <row r="92" spans="1:10" ht="12.75">
      <c r="A92" s="2" t="s">
        <v>85</v>
      </c>
      <c r="B92" s="5">
        <f>+(D50*10000)/B33</f>
        <v>13619.614512471657</v>
      </c>
      <c r="C92" s="5">
        <f>+((D50*10000)/C33)+(B92*$C$6)</f>
        <v>15936.385478292883</v>
      </c>
      <c r="D92" s="5">
        <f>+((D50*10000)/D33)+(C92*$D$6)</f>
        <v>15111.628052089536</v>
      </c>
      <c r="E92" s="5">
        <f>+(D59*10000)/B33</f>
        <v>12740.929705215422</v>
      </c>
      <c r="F92" s="5">
        <f>+((D59*10000)/C33)+(E92*$C$6)</f>
        <v>14908.231576467539</v>
      </c>
      <c r="G92" s="5">
        <f>+((D59*10000)/D33)+(F92*$D$6)</f>
        <v>14136.684306793439</v>
      </c>
      <c r="H92" s="5">
        <f>+(D68*10000)/B33</f>
        <v>13619.614512471657</v>
      </c>
      <c r="I92" s="5">
        <f>+((D68*10000)/C33)+(H92*$C$6)</f>
        <v>15936.385478292883</v>
      </c>
      <c r="J92" s="5">
        <f>+((D68*10000)/D33)+(I92*$D$6)</f>
        <v>15111.628052089536</v>
      </c>
    </row>
    <row r="93" spans="1:10" ht="12.75">
      <c r="A93" s="2" t="s">
        <v>86</v>
      </c>
      <c r="B93" s="5">
        <f>+(E50*10000)/B37</f>
        <v>5975.056689342405</v>
      </c>
      <c r="C93" s="5">
        <f>+((E50*10000)/C37)+(B93*$C$6)</f>
        <v>6991.446532412362</v>
      </c>
      <c r="D93" s="5">
        <f>+((E50*10000)/D37)+(C93*$D$6)</f>
        <v>6629.617468013474</v>
      </c>
      <c r="E93" s="5">
        <f>+(E59*10000)/B37</f>
        <v>5589.569160997734</v>
      </c>
      <c r="F93" s="5">
        <f>+((E59*10000)/C37)+(E93*$C$6)</f>
        <v>6540.385465805113</v>
      </c>
      <c r="G93" s="5">
        <f>+((E59*10000)/D37)+(F93*$D$6)</f>
        <v>6201.900212012605</v>
      </c>
      <c r="H93" s="5">
        <f>+(E68*10000)/B37</f>
        <v>5975.056689342405</v>
      </c>
      <c r="I93" s="5">
        <f>+((E68*10000)/C37)+(H93*$C$6)</f>
        <v>6991.446532412362</v>
      </c>
      <c r="J93" s="5">
        <f>+((E68*10000)/D37)+(I93*$D$6)</f>
        <v>6629.617468013474</v>
      </c>
    </row>
    <row r="94" spans="1:10" ht="12.75">
      <c r="A94" s="2" t="s">
        <v>87</v>
      </c>
      <c r="B94" s="5">
        <f>+(F50*10000)/B40</f>
        <v>26127.265065318163</v>
      </c>
      <c r="C94" s="5">
        <f>+((F50*10000)/C40)+(B94*$C$6)</f>
        <v>31774.036153830453</v>
      </c>
      <c r="D94" s="5">
        <f>+((F50*10000)/D40)+(C94*$D$6)</f>
        <v>31230.127007599403</v>
      </c>
      <c r="E94" s="5">
        <f>+(F59*10000)/B40</f>
        <v>24441.63506110409</v>
      </c>
      <c r="F94" s="5">
        <f>+((F59*10000)/C40)+(E94*$C$6)</f>
        <v>29724.0983374543</v>
      </c>
      <c r="G94" s="5">
        <f>+((F59*10000)/D40)+(F94*$D$6)</f>
        <v>29215.280103883313</v>
      </c>
      <c r="H94" s="5">
        <f>+(F68*10000)/B40</f>
        <v>26127.265065318163</v>
      </c>
      <c r="I94" s="5">
        <f>+((F68*10000)/C40)+(H94*$C$6)</f>
        <v>31774.036153830453</v>
      </c>
      <c r="J94" s="5">
        <f>+((F68*10000)/C40)+(I94*$D$6)</f>
        <v>30982.383999679616</v>
      </c>
    </row>
    <row r="95" spans="1:10" ht="12.75">
      <c r="A95" s="1" t="s">
        <v>79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2" t="s">
        <v>88</v>
      </c>
      <c r="B96" s="5">
        <f>+(B51*13000)/B26</f>
        <v>137830.9523809524</v>
      </c>
      <c r="C96" s="5">
        <f>+(($B$51*13000)/C26)+(B96*$C$7)</f>
        <v>146732.28292739854</v>
      </c>
      <c r="D96" s="5">
        <f>+((B51*13000)/D26)+(C96*$D$7)</f>
        <v>151510.1516487266</v>
      </c>
      <c r="E96" s="5">
        <f>+(B60*13000)/B26</f>
        <v>139243.15476190476</v>
      </c>
      <c r="F96" s="5">
        <f>+((B60*13000)/C26)+(E96*$C$7)</f>
        <v>148235.6874655891</v>
      </c>
      <c r="G96" s="5">
        <f>+((B60*13000)/D26)+(F96*$D$7)</f>
        <v>153062.5097598816</v>
      </c>
      <c r="H96" s="5">
        <f>+(B69*13000)/B26</f>
        <v>103843.94841269842</v>
      </c>
      <c r="I96" s="5">
        <f>+((B69*13000)/C26)+(H96*$C$7)</f>
        <v>110550.3470416124</v>
      </c>
      <c r="J96" s="5">
        <f>+((B69*13000)/D26)+(I96*$D$7)</f>
        <v>114150.06644026328</v>
      </c>
    </row>
    <row r="97" spans="1:10" ht="12.75">
      <c r="A97" s="2" t="s">
        <v>84</v>
      </c>
      <c r="B97" s="5">
        <f>+(C51*13000)/B30</f>
        <v>16281281.249999998</v>
      </c>
      <c r="C97" s="5">
        <f>+((C51*13000)/C30)+(B97*$C$7)</f>
        <v>17332750.920798946</v>
      </c>
      <c r="D97" s="5">
        <f>+((C51*13000)/D30)+(C97*$D$7)</f>
        <v>17897136.663505826</v>
      </c>
      <c r="E97" s="5">
        <f>+(C60*13000)/B30</f>
        <v>16448097.656249998</v>
      </c>
      <c r="F97" s="5">
        <f>+((C60*13000)/C30)+(E97*$C$7)</f>
        <v>17510340.581872705</v>
      </c>
      <c r="G97" s="5">
        <f>+((C60*13000)/D30)+(F97*$D$7)</f>
        <v>18080508.96538601</v>
      </c>
      <c r="H97" s="5">
        <f>+(C69*13000)/B30</f>
        <v>12266566.40625</v>
      </c>
      <c r="I97" s="5">
        <f>+((C69*13000)/C30)+(H97*$C$7)</f>
        <v>13058759.744290465</v>
      </c>
      <c r="J97" s="5">
        <f>+((C69*13000)/D30)+(I97*$D$7)</f>
        <v>13483976.5982561</v>
      </c>
    </row>
    <row r="98" spans="1:10" ht="12.75">
      <c r="A98" s="2" t="s">
        <v>85</v>
      </c>
      <c r="B98" s="5">
        <f>+(D51*13000)/B34</f>
        <v>746954.8387096775</v>
      </c>
      <c r="C98" s="5">
        <f>+((D51*13000)/C34)+(B98*$C$7)</f>
        <v>795194.3074775145</v>
      </c>
      <c r="D98" s="5">
        <f>+((D51*13000)/D34)+(C98*$D$7)</f>
        <v>821087.2734511635</v>
      </c>
      <c r="E98" s="5">
        <f>+(D60*13000)/B34</f>
        <v>754608.064516129</v>
      </c>
      <c r="F98" s="5">
        <f>+((D60*13000)/C34)+(E98*$C$7)</f>
        <v>803341.7901360956</v>
      </c>
      <c r="G98" s="5">
        <f>+((D60*13000)/D34)+(F98*$D$7)</f>
        <v>829500.0528922614</v>
      </c>
      <c r="H98" s="5">
        <f>+(D69*13000)/B34</f>
        <v>562767.2043010753</v>
      </c>
      <c r="I98" s="5">
        <f>+((D69*13000)/C34)+(H98*$C$7)</f>
        <v>599111.5581609963</v>
      </c>
      <c r="J98" s="5">
        <f>+((D69*13000)/D34)+(I98*$D$7)</f>
        <v>618619.714902072</v>
      </c>
    </row>
    <row r="99" spans="1:10" ht="12.75">
      <c r="A99" s="2" t="s">
        <v>86</v>
      </c>
      <c r="B99" s="5">
        <f>+(E51*13000)/B38</f>
        <v>510785.294117647</v>
      </c>
      <c r="C99" s="5">
        <f>+((E51*13000)/C38)+(B99*$C$7)</f>
        <v>543772.5779074179</v>
      </c>
      <c r="D99" s="5">
        <f>+((E51*13000)/D38)+(C99*$D$7)</f>
        <v>561478.7972864573</v>
      </c>
      <c r="E99" s="5">
        <f>+(E60*13000)/B38</f>
        <v>516018.7499999999</v>
      </c>
      <c r="F99" s="5">
        <f>+((E60*13000)/C38)+(E99*$C$7)</f>
        <v>549344.0182548299</v>
      </c>
      <c r="G99" s="5">
        <f>+((E60*13000)/D38)+(F99*$D$7)</f>
        <v>567231.6538160316</v>
      </c>
      <c r="H99" s="5">
        <f>+(E69*13000)/B38</f>
        <v>384833.45588235284</v>
      </c>
      <c r="I99" s="5">
        <f>+((E69*13000)/C38)+(H99*$C$7)</f>
        <v>409686.58021303406</v>
      </c>
      <c r="J99" s="5">
        <f>+((E69*13000)/D38)+(I99*$D$7)</f>
        <v>423026.71680803434</v>
      </c>
    </row>
    <row r="100" spans="1:10" ht="12.75">
      <c r="A100" s="2" t="s">
        <v>87</v>
      </c>
      <c r="B100" s="5">
        <f>+(F51*13000)/B40</f>
        <v>93569.3215339233</v>
      </c>
      <c r="C100" s="5">
        <f>+((F51*13000)/C40)+(B100*$C$7)</f>
        <v>102456.22160658779</v>
      </c>
      <c r="D100" s="5">
        <f>+((F51*13000)/D40)+(C100*$D$7)</f>
        <v>106852.15214690503</v>
      </c>
      <c r="E100" s="5">
        <f>+(F60*13000)/B40</f>
        <v>94528.02359882006</v>
      </c>
      <c r="F100" s="5">
        <f>+((F60*13000)/C40)+(E100*$C$7)</f>
        <v>103505.97797550775</v>
      </c>
      <c r="G100" s="5">
        <f>+((F60*13000)/D40)+(F100*$D$7)</f>
        <v>107946.94878775446</v>
      </c>
      <c r="H100" s="5">
        <f>+(F69*13000)/B40</f>
        <v>70496.55850540806</v>
      </c>
      <c r="I100" s="5">
        <f>+((F69*13000)/C40)+(H100*$C$7)</f>
        <v>77192.08499458083</v>
      </c>
      <c r="J100" s="5">
        <f>+((F69*13000)/D40)+(I100*$D$7)</f>
        <v>80504.04632379524</v>
      </c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1" t="s">
        <v>69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1" t="s">
        <v>91</v>
      </c>
      <c r="B103" s="11">
        <f>+B96+B90+B84</f>
        <v>191521.4285714286</v>
      </c>
      <c r="C103" s="11">
        <f>+C96+C90+C84</f>
        <v>203941.68916588798</v>
      </c>
      <c r="D103" s="11">
        <f>+D96+D90+D84</f>
        <v>207191.36230980637</v>
      </c>
      <c r="E103" s="11">
        <f aca="true" t="shared" si="0" ref="E103:J103">+E96+E90+E84</f>
        <v>189481.25</v>
      </c>
      <c r="F103" s="11">
        <f t="shared" si="0"/>
        <v>201766.2480856064</v>
      </c>
      <c r="G103" s="11">
        <f t="shared" si="0"/>
        <v>205163.19908049217</v>
      </c>
      <c r="H103" s="11">
        <f t="shared" si="0"/>
        <v>157534.42460317462</v>
      </c>
      <c r="I103" s="11">
        <f t="shared" si="0"/>
        <v>167759.75328010184</v>
      </c>
      <c r="J103" s="11">
        <f t="shared" si="0"/>
        <v>169831.27710134303</v>
      </c>
    </row>
    <row r="104" spans="1:10" ht="12.75">
      <c r="A104" s="1" t="s">
        <v>92</v>
      </c>
      <c r="B104" s="11">
        <f aca="true" t="shared" si="1" ref="B104:D107">+B97+B91+B85</f>
        <v>16444909.36791383</v>
      </c>
      <c r="C104" s="11">
        <f t="shared" si="1"/>
        <v>17519692.682668626</v>
      </c>
      <c r="D104" s="11">
        <f t="shared" si="1"/>
        <v>18052244.875218507</v>
      </c>
      <c r="E104" s="11">
        <f aca="true" t="shared" si="2" ref="E104:J104">+E97+E91+E85</f>
        <v>16601204.232213717</v>
      </c>
      <c r="F104" s="11">
        <f t="shared" si="2"/>
        <v>17673481.338047996</v>
      </c>
      <c r="G104" s="11">
        <f t="shared" si="2"/>
        <v>18242511.066172633</v>
      </c>
      <c r="H104" s="11">
        <f t="shared" si="2"/>
        <v>12430194.524163831</v>
      </c>
      <c r="I104" s="11">
        <f t="shared" si="2"/>
        <v>13233112.220445862</v>
      </c>
      <c r="J104" s="11">
        <f t="shared" si="2"/>
        <v>13653671.716461295</v>
      </c>
    </row>
    <row r="105" spans="1:10" ht="12.75">
      <c r="A105" s="1" t="s">
        <v>93</v>
      </c>
      <c r="B105" s="11">
        <f t="shared" si="1"/>
        <v>846026.5507278179</v>
      </c>
      <c r="C105" s="11">
        <f t="shared" si="1"/>
        <v>900759.2832747271</v>
      </c>
      <c r="D105" s="11">
        <f t="shared" si="1"/>
        <v>923832.3645519654</v>
      </c>
      <c r="E105" s="11">
        <f aca="true" t="shared" si="3" ref="E105:J105">+E98+E92+E86</f>
        <v>847309.3116816619</v>
      </c>
      <c r="F105" s="11">
        <f t="shared" si="3"/>
        <v>902118.4198516037</v>
      </c>
      <c r="G105" s="11">
        <f t="shared" si="3"/>
        <v>927587.2623529118</v>
      </c>
      <c r="H105" s="11">
        <f t="shared" si="3"/>
        <v>661838.9163192159</v>
      </c>
      <c r="I105" s="11">
        <f t="shared" si="3"/>
        <v>704676.5339582089</v>
      </c>
      <c r="J105" s="11">
        <f t="shared" si="3"/>
        <v>721364.8060028739</v>
      </c>
    </row>
    <row r="106" spans="1:10" ht="12.75">
      <c r="A106" s="1" t="s">
        <v>94</v>
      </c>
      <c r="B106" s="11">
        <f t="shared" si="1"/>
        <v>554249.0129385086</v>
      </c>
      <c r="C106" s="11">
        <f t="shared" si="1"/>
        <v>590084.954386195</v>
      </c>
      <c r="D106" s="11">
        <f t="shared" si="1"/>
        <v>606554.0630597123</v>
      </c>
      <c r="E106" s="11">
        <f aca="true" t="shared" si="4" ref="E106:J106">+E99+E93+E87</f>
        <v>556687.6842403627</v>
      </c>
      <c r="F106" s="11">
        <f t="shared" si="4"/>
        <v>592678.2816138915</v>
      </c>
      <c r="G106" s="11">
        <f t="shared" si="4"/>
        <v>610263.4618374782</v>
      </c>
      <c r="H106" s="11">
        <f t="shared" si="4"/>
        <v>428297.17470321455</v>
      </c>
      <c r="I106" s="11">
        <f t="shared" si="4"/>
        <v>455998.9566918112</v>
      </c>
      <c r="J106" s="11">
        <f t="shared" si="4"/>
        <v>468101.9825812894</v>
      </c>
    </row>
    <row r="107" spans="1:10" ht="12.75">
      <c r="A107" s="1" t="s">
        <v>89</v>
      </c>
      <c r="B107" s="11">
        <f t="shared" si="1"/>
        <v>283624.1045090602</v>
      </c>
      <c r="C107" s="11">
        <f t="shared" si="1"/>
        <v>313713.74124006496</v>
      </c>
      <c r="D107" s="11">
        <f t="shared" si="1"/>
        <v>319759.8208871693</v>
      </c>
      <c r="E107" s="11">
        <f aca="true" t="shared" si="5" ref="E107:J107">+E100+E94+E88</f>
        <v>272361.98904340493</v>
      </c>
      <c r="F107" s="11">
        <f t="shared" si="5"/>
        <v>301178.6315484156</v>
      </c>
      <c r="G107" s="11">
        <f t="shared" si="5"/>
        <v>305709.34485786094</v>
      </c>
      <c r="H107" s="11">
        <f t="shared" si="5"/>
        <v>260551.341480545</v>
      </c>
      <c r="I107" s="11">
        <f t="shared" si="5"/>
        <v>288449.60462805803</v>
      </c>
      <c r="J107" s="11">
        <f t="shared" si="5"/>
        <v>291609.58447419136</v>
      </c>
    </row>
    <row r="109" ht="12.75">
      <c r="A109" s="2" t="s">
        <v>164</v>
      </c>
    </row>
    <row r="110" ht="12.75">
      <c r="A110" s="2" t="s">
        <v>165</v>
      </c>
    </row>
    <row r="111" ht="12.75">
      <c r="A111" s="2" t="s">
        <v>166</v>
      </c>
    </row>
    <row r="113" ht="12.75">
      <c r="A113" s="1" t="s">
        <v>229</v>
      </c>
    </row>
    <row r="114" ht="12.75">
      <c r="A114" s="1"/>
    </row>
    <row r="115" spans="3:9" ht="12.75">
      <c r="C115" s="3" t="s">
        <v>239</v>
      </c>
      <c r="F115" s="3" t="s">
        <v>237</v>
      </c>
      <c r="I115" s="3" t="s">
        <v>238</v>
      </c>
    </row>
    <row r="116" spans="2:10" ht="12.75">
      <c r="B116" s="3">
        <v>2000</v>
      </c>
      <c r="C116" s="3">
        <v>2005</v>
      </c>
      <c r="D116" s="3">
        <v>2010</v>
      </c>
      <c r="E116" s="3">
        <v>2000</v>
      </c>
      <c r="F116" s="3">
        <v>2005</v>
      </c>
      <c r="G116" s="3">
        <v>2010</v>
      </c>
      <c r="H116" s="3">
        <v>2000</v>
      </c>
      <c r="I116" s="3">
        <v>2005</v>
      </c>
      <c r="J116" s="3">
        <v>2010</v>
      </c>
    </row>
    <row r="117" spans="1:10" s="1" customFormat="1" ht="12.75">
      <c r="A117" s="19" t="s">
        <v>231</v>
      </c>
      <c r="B117" s="11">
        <f>+D117*(1/5)</f>
        <v>2204.9999999999995</v>
      </c>
      <c r="C117" s="11">
        <f>63*0.7*250</f>
        <v>11024.999999999998</v>
      </c>
      <c r="D117" s="11">
        <f>63*0.7*250</f>
        <v>11024.999999999998</v>
      </c>
      <c r="E117" s="11">
        <f>+G117*(1/5)</f>
        <v>2379.9999999999995</v>
      </c>
      <c r="F117" s="11">
        <f>68*0.7*250</f>
        <v>11899.999999999998</v>
      </c>
      <c r="G117" s="11">
        <f>68*0.7*250</f>
        <v>11899.999999999998</v>
      </c>
      <c r="H117" s="11">
        <f>+J117*(1/5)</f>
        <v>2415</v>
      </c>
      <c r="I117" s="11">
        <f>69*0.7*250</f>
        <v>12075</v>
      </c>
      <c r="J117" s="11">
        <f>69*0.7*250</f>
        <v>12075</v>
      </c>
    </row>
    <row r="118" spans="1:10" s="1" customFormat="1" ht="12.75">
      <c r="A118" s="1" t="s">
        <v>232</v>
      </c>
      <c r="B118" s="11">
        <f>+D118*(1/5)</f>
        <v>2976000</v>
      </c>
      <c r="C118" s="11">
        <f>62*960*250</f>
        <v>14880000</v>
      </c>
      <c r="D118" s="11">
        <f>62*960*250</f>
        <v>14880000</v>
      </c>
      <c r="E118" s="11">
        <f>+G118*(1/5)</f>
        <v>4080000</v>
      </c>
      <c r="F118" s="11">
        <f>85*960*250</f>
        <v>20400000</v>
      </c>
      <c r="G118" s="11">
        <f>85*960*250</f>
        <v>20400000</v>
      </c>
      <c r="H118" s="11">
        <f>+J118*(1/5)</f>
        <v>3264000</v>
      </c>
      <c r="I118" s="11">
        <f>68*960*250</f>
        <v>16320000</v>
      </c>
      <c r="J118" s="11">
        <f>68*960*250</f>
        <v>16320000</v>
      </c>
    </row>
    <row r="119" spans="1:10" s="1" customFormat="1" ht="12.75">
      <c r="A119" s="1" t="s">
        <v>233</v>
      </c>
      <c r="B119" s="11">
        <f>+D119*(1/5)</f>
        <v>400050</v>
      </c>
      <c r="C119" s="11">
        <f>63*127*250</f>
        <v>2000250</v>
      </c>
      <c r="D119" s="11">
        <f>63*127*250</f>
        <v>2000250</v>
      </c>
      <c r="E119" s="11">
        <f>+G119*(1/5)</f>
        <v>539750</v>
      </c>
      <c r="F119" s="11">
        <f>85*127*250</f>
        <v>2698750</v>
      </c>
      <c r="G119" s="11">
        <f>85*127*250</f>
        <v>2698750</v>
      </c>
      <c r="H119" s="11">
        <f>+J119*(1/5)</f>
        <v>438150</v>
      </c>
      <c r="I119" s="11">
        <f>69*127*250</f>
        <v>2190750</v>
      </c>
      <c r="J119" s="11">
        <f>69*127*250</f>
        <v>2190750</v>
      </c>
    </row>
    <row r="121" ht="12.75">
      <c r="A121" s="2" t="s">
        <v>248</v>
      </c>
    </row>
    <row r="122" ht="12.75">
      <c r="A122" s="2" t="s">
        <v>249</v>
      </c>
    </row>
    <row r="123" ht="12.75">
      <c r="A123" s="2" t="s">
        <v>250</v>
      </c>
    </row>
    <row r="124" ht="12.75">
      <c r="A124" s="2" t="s">
        <v>247</v>
      </c>
    </row>
    <row r="125" ht="12.75">
      <c r="A125" s="2" t="s">
        <v>234</v>
      </c>
    </row>
    <row r="126" ht="12.75">
      <c r="A126" s="2" t="s">
        <v>235</v>
      </c>
    </row>
    <row r="127" ht="12.75">
      <c r="A127" s="2" t="s">
        <v>236</v>
      </c>
    </row>
    <row r="129" ht="12.75">
      <c r="A129" s="1" t="s">
        <v>228</v>
      </c>
    </row>
    <row r="130" ht="15">
      <c r="A130" s="14"/>
    </row>
    <row r="131" spans="2:4" ht="12.75">
      <c r="B131" s="3" t="s">
        <v>153</v>
      </c>
      <c r="C131" s="3" t="s">
        <v>122</v>
      </c>
      <c r="D131" s="3" t="s">
        <v>123</v>
      </c>
    </row>
    <row r="132" ht="12.75">
      <c r="A132" s="1" t="s">
        <v>115</v>
      </c>
    </row>
    <row r="133" spans="1:4" ht="12.75">
      <c r="A133" s="2" t="s">
        <v>88</v>
      </c>
      <c r="B133" s="13">
        <f>+(B49*(10000/200)*5)/B25</f>
        <v>1157.7380952380952</v>
      </c>
      <c r="C133" s="5">
        <f>+(B58*(10000/200)*5)/B25</f>
        <v>1083.3333333333333</v>
      </c>
      <c r="D133" s="5">
        <f>+(B67*(10000/200)*5)/B25</f>
        <v>1157.7380952380952</v>
      </c>
    </row>
    <row r="134" spans="1:4" ht="12.75">
      <c r="A134" s="2" t="s">
        <v>84</v>
      </c>
      <c r="B134" s="13">
        <f>+(C49*(10000/200)*5)/B29</f>
        <v>3528.3446712018135</v>
      </c>
      <c r="C134" s="5">
        <f>+(C58*(10000/200)*5)/B29</f>
        <v>3301.5873015873017</v>
      </c>
      <c r="D134" s="5">
        <f>+(C67*(10000/200)*5)/B29</f>
        <v>3528.3446712018135</v>
      </c>
    </row>
    <row r="135" spans="1:4" ht="12.75">
      <c r="A135" s="2" t="s">
        <v>85</v>
      </c>
      <c r="B135" s="13">
        <f>+(D49*(10000/200)*5)/B33</f>
        <v>2136.3024376417234</v>
      </c>
      <c r="C135" s="5">
        <f>+(D58*(10000/200)*5)/B33</f>
        <v>1999.0079365079366</v>
      </c>
      <c r="D135" s="5">
        <f>+(D67*(10000/200)*5)/B33</f>
        <v>2136.3024376417234</v>
      </c>
    </row>
    <row r="136" spans="1:4" ht="12.75">
      <c r="A136" s="2" t="s">
        <v>86</v>
      </c>
      <c r="B136" s="13">
        <f>+(E49*(10000/200)*5)/B37</f>
        <v>937.2165532879818</v>
      </c>
      <c r="C136" s="5">
        <f>+(E58*(10000/200)*5)/B37</f>
        <v>876.9841269841271</v>
      </c>
      <c r="D136" s="5">
        <f>+(E67*(10000/200)*5)/B37</f>
        <v>937.2165532879818</v>
      </c>
    </row>
    <row r="137" spans="1:4" ht="12.75">
      <c r="A137" s="2" t="s">
        <v>87</v>
      </c>
      <c r="B137" s="13">
        <f>+(F49*(10000/200)*5)/B40</f>
        <v>4098.1879477454695</v>
      </c>
      <c r="C137" s="5">
        <f>+(F58*(10000/200)*5)/B40</f>
        <v>3834.8082595870205</v>
      </c>
      <c r="D137" s="5">
        <f>+(F67*(10000/200)*5)/B40</f>
        <v>4098.1879477454695</v>
      </c>
    </row>
    <row r="138" ht="12.75">
      <c r="A138" s="1" t="s">
        <v>83</v>
      </c>
    </row>
    <row r="139" spans="1:4" ht="12.75">
      <c r="A139" s="2" t="s">
        <v>88</v>
      </c>
      <c r="B139" s="13">
        <f>+(B50*(10000/200)*5)/B25</f>
        <v>184.52380952380955</v>
      </c>
      <c r="C139" s="5">
        <f>+(B59*(10000/200)*5)/B25</f>
        <v>172.61904761904762</v>
      </c>
      <c r="D139" s="13">
        <f>+(B68*(10000/200)*5)/B25</f>
        <v>184.52380952380955</v>
      </c>
    </row>
    <row r="140" spans="1:4" ht="12.75">
      <c r="A140" s="2" t="s">
        <v>84</v>
      </c>
      <c r="B140" s="13">
        <f>+(C50*(10000/200)*5)/B29</f>
        <v>562.3582766439911</v>
      </c>
      <c r="C140" s="5">
        <f>+(C59*(10000/200)*5)/B29</f>
        <v>526.0770975056689</v>
      </c>
      <c r="D140" s="13">
        <f>+(C68*(10000/200)*5)/B29</f>
        <v>562.3582766439911</v>
      </c>
    </row>
    <row r="141" spans="1:4" ht="12.75">
      <c r="A141" s="2" t="s">
        <v>85</v>
      </c>
      <c r="B141" s="13">
        <f>+(D50*(10000/200)*5)/B33</f>
        <v>340.49036281179144</v>
      </c>
      <c r="C141" s="5">
        <f>+(D59*(10000/200)*5)/B33</f>
        <v>318.52324263038554</v>
      </c>
      <c r="D141" s="13">
        <f>+(D68*(10000/200)*5)/B33</f>
        <v>340.49036281179144</v>
      </c>
    </row>
    <row r="142" spans="1:4" ht="12.75">
      <c r="A142" s="2" t="s">
        <v>86</v>
      </c>
      <c r="B142" s="13">
        <f>+(E50*(10000/200)*5)/B37</f>
        <v>149.37641723356012</v>
      </c>
      <c r="C142" s="5">
        <f>+(E59*(10000/200)*5)/B37</f>
        <v>139.73922902494334</v>
      </c>
      <c r="D142" s="13">
        <f>+(E68*(10000/200)*5)/B37</f>
        <v>149.37641723356012</v>
      </c>
    </row>
    <row r="143" spans="1:4" ht="12.75">
      <c r="A143" s="2" t="s">
        <v>87</v>
      </c>
      <c r="B143" s="13">
        <f>+(B50*(10000/200)*5)/B40</f>
        <v>653.1816266329541</v>
      </c>
      <c r="C143" s="5">
        <f>+(F59*(10000/200)*5)/B40</f>
        <v>611.0408765276022</v>
      </c>
      <c r="D143" s="13">
        <f>+(F68*(10000/200)*5)/B40</f>
        <v>653.1816266329541</v>
      </c>
    </row>
    <row r="144" ht="12.75">
      <c r="A144" s="1" t="s">
        <v>79</v>
      </c>
    </row>
    <row r="145" spans="1:4" ht="12.75">
      <c r="A145" s="2" t="s">
        <v>88</v>
      </c>
      <c r="B145" s="13">
        <f>+(B51*(13000/200)*5)/B26</f>
        <v>3445.77380952381</v>
      </c>
      <c r="C145" s="5">
        <f>+(B60*(13000/200)*5)/B26</f>
        <v>3481.0788690476193</v>
      </c>
      <c r="D145" s="13">
        <f>+(B69*(13000/200)*5)/B26</f>
        <v>2596.0987103174607</v>
      </c>
    </row>
    <row r="146" spans="1:4" ht="12.75">
      <c r="A146" s="2" t="s">
        <v>84</v>
      </c>
      <c r="B146" s="13">
        <f>+(C51*(13000/200)*5)/B30</f>
        <v>407032.03125</v>
      </c>
      <c r="C146" s="5">
        <f>+(C60*(13000/200)*5)/B30</f>
        <v>411202.44140624994</v>
      </c>
      <c r="D146" s="13">
        <f>+(C69*(13000/200)*5)/B30</f>
        <v>306664.16015625</v>
      </c>
    </row>
    <row r="147" spans="1:4" ht="12.75">
      <c r="A147" s="2" t="s">
        <v>85</v>
      </c>
      <c r="B147" s="13">
        <f>+(D51*(13000/200)*5)/B34</f>
        <v>18673.870967741936</v>
      </c>
      <c r="C147" s="5">
        <f>+(D60*(13000/200)*5)/B34</f>
        <v>18865.201612903224</v>
      </c>
      <c r="D147" s="13">
        <f>+(D69*(13000/200)*5)/B34</f>
        <v>14069.180107526883</v>
      </c>
    </row>
    <row r="148" spans="1:4" ht="12.75">
      <c r="A148" s="2" t="s">
        <v>86</v>
      </c>
      <c r="B148" s="13">
        <f>+(E51*(13000/200)*5)/B38</f>
        <v>12769.632352941173</v>
      </c>
      <c r="C148" s="5">
        <f>+(E60*(13000/200)*5)/B38</f>
        <v>12900.468749999996</v>
      </c>
      <c r="D148" s="13">
        <f>+(E69*(13000/200)*5)/B38</f>
        <v>9620.836397058822</v>
      </c>
    </row>
    <row r="149" spans="1:4" ht="12.75">
      <c r="A149" s="2" t="s">
        <v>87</v>
      </c>
      <c r="B149" s="13">
        <f>+(B51*(13000/200)*5)/B40</f>
        <v>2339.2330383480826</v>
      </c>
      <c r="C149" s="5">
        <f>+(F60*(13000/200)*5)/B40</f>
        <v>2363.2005899705014</v>
      </c>
      <c r="D149" s="13">
        <f>+(F69*(13000/200)*5)/B40</f>
        <v>1762.4139626352016</v>
      </c>
    </row>
    <row r="151" ht="12.75">
      <c r="A151" s="1" t="s">
        <v>69</v>
      </c>
    </row>
    <row r="152" spans="1:4" ht="12.75">
      <c r="A152" s="1" t="s">
        <v>91</v>
      </c>
      <c r="B152" s="11">
        <f aca="true" t="shared" si="6" ref="B152:D156">+B145+B139+B133</f>
        <v>4788.035714285715</v>
      </c>
      <c r="C152" s="11">
        <f t="shared" si="6"/>
        <v>4737.03125</v>
      </c>
      <c r="D152" s="11">
        <f t="shared" si="6"/>
        <v>3938.3606150793657</v>
      </c>
    </row>
    <row r="153" spans="1:4" ht="12.75">
      <c r="A153" s="1" t="s">
        <v>92</v>
      </c>
      <c r="B153" s="11">
        <f t="shared" si="6"/>
        <v>411122.7341978458</v>
      </c>
      <c r="C153" s="11">
        <f t="shared" si="6"/>
        <v>415030.1058053429</v>
      </c>
      <c r="D153" s="11">
        <f t="shared" si="6"/>
        <v>310754.8631040958</v>
      </c>
    </row>
    <row r="154" spans="1:4" ht="12.75">
      <c r="A154" s="1" t="s">
        <v>93</v>
      </c>
      <c r="B154" s="11">
        <f t="shared" si="6"/>
        <v>21150.66376819545</v>
      </c>
      <c r="C154" s="11">
        <f t="shared" si="6"/>
        <v>21182.732792041545</v>
      </c>
      <c r="D154" s="11">
        <f t="shared" si="6"/>
        <v>16545.9729079804</v>
      </c>
    </row>
    <row r="155" spans="1:4" ht="12.75">
      <c r="A155" s="1" t="s">
        <v>94</v>
      </c>
      <c r="B155" s="11">
        <f t="shared" si="6"/>
        <v>13856.225323462715</v>
      </c>
      <c r="C155" s="11">
        <f t="shared" si="6"/>
        <v>13917.192106009066</v>
      </c>
      <c r="D155" s="11">
        <f t="shared" si="6"/>
        <v>10707.429367580364</v>
      </c>
    </row>
    <row r="156" spans="1:4" ht="12.75">
      <c r="A156" s="1" t="s">
        <v>89</v>
      </c>
      <c r="B156" s="11">
        <f t="shared" si="6"/>
        <v>7090.602612726507</v>
      </c>
      <c r="C156" s="11">
        <f t="shared" si="6"/>
        <v>6809.049726085124</v>
      </c>
      <c r="D156" s="11">
        <f t="shared" si="6"/>
        <v>6513.783537013625</v>
      </c>
    </row>
    <row r="158" ht="12.75">
      <c r="A158" s="2" t="s">
        <v>167</v>
      </c>
    </row>
    <row r="159" ht="12.75">
      <c r="A159" s="2" t="s">
        <v>168</v>
      </c>
    </row>
    <row r="160" ht="12.75">
      <c r="A160" s="2" t="s">
        <v>169</v>
      </c>
    </row>
    <row r="163" ht="12.75">
      <c r="A163" s="1" t="s">
        <v>241</v>
      </c>
    </row>
    <row r="164" ht="12.75">
      <c r="A164" s="1"/>
    </row>
    <row r="165" spans="2:4" ht="12.75">
      <c r="B165" s="3" t="s">
        <v>153</v>
      </c>
      <c r="C165" s="3" t="s">
        <v>122</v>
      </c>
      <c r="D165" s="3" t="s">
        <v>123</v>
      </c>
    </row>
    <row r="166" spans="1:4" ht="12.75">
      <c r="A166" s="2" t="s">
        <v>161</v>
      </c>
      <c r="B166" s="22">
        <v>1824</v>
      </c>
      <c r="C166" s="22">
        <v>1824</v>
      </c>
      <c r="D166" s="22">
        <v>1824</v>
      </c>
    </row>
    <row r="167" spans="1:4" ht="12.75">
      <c r="A167" s="2" t="s">
        <v>163</v>
      </c>
      <c r="B167" s="32">
        <v>20.16</v>
      </c>
      <c r="C167" s="32">
        <v>20.16</v>
      </c>
      <c r="D167" s="32">
        <v>20.16</v>
      </c>
    </row>
    <row r="168" spans="1:4" ht="12.75">
      <c r="A168" s="2" t="s">
        <v>162</v>
      </c>
      <c r="B168" s="24">
        <v>365</v>
      </c>
      <c r="C168" s="24">
        <v>365</v>
      </c>
      <c r="D168" s="24">
        <v>365</v>
      </c>
    </row>
    <row r="169" spans="1:4" ht="12.75">
      <c r="A169" s="1" t="s">
        <v>156</v>
      </c>
      <c r="B169" s="9">
        <f>+(B166*B168)/B167</f>
        <v>33023.80952380953</v>
      </c>
      <c r="C169" s="9">
        <f>+(C166*C168)/C167</f>
        <v>33023.80952380953</v>
      </c>
      <c r="D169" s="9">
        <f>+(D166*D168)/D167</f>
        <v>33023.80952380953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&amp;C&amp;"Times New Roman,Bold"&amp;12Estimated Project Alternatives Operational Energy Impacts</oddHeader>
    <oddFooter>&amp;L&amp;"Times New Roman,Regular"&amp;F&amp;C&amp;"Times New Roman,Regular"Page &amp;P of &amp;N&amp;R&amp;"Times New Roman,Regular"&amp;D</oddFooter>
  </headerFooter>
  <rowBreaks count="3" manualBreakCount="3">
    <brk id="34" max="255" man="1"/>
    <brk id="64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W. Stroud</dc:creator>
  <cp:keywords/>
  <dc:description/>
  <cp:lastModifiedBy>dsasaki</cp:lastModifiedBy>
  <cp:lastPrinted>2000-03-05T19:46:36Z</cp:lastPrinted>
  <dcterms:created xsi:type="dcterms:W3CDTF">2000-01-05T22:16:24Z</dcterms:created>
  <dcterms:modified xsi:type="dcterms:W3CDTF">2014-08-06T15:35:44Z</dcterms:modified>
  <cp:category/>
  <cp:version/>
  <cp:contentType/>
  <cp:contentStatus/>
</cp:coreProperties>
</file>