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480" windowWidth="8940" windowHeight="4620" tabRatio="674" activeTab="0"/>
  </bookViews>
  <sheets>
    <sheet name="2 Acre Sum" sheetId="1" r:id="rId1"/>
    <sheet name="2 Acre Equip_Phase" sheetId="2" r:id="rId2"/>
    <sheet name="Demo " sheetId="3" r:id="rId3"/>
    <sheet name="Site Prep" sheetId="4" r:id="rId4"/>
    <sheet name="Grading" sheetId="5" r:id="rId5"/>
    <sheet name="Building" sheetId="6" r:id="rId6"/>
    <sheet name="Asphalt" sheetId="7" r:id="rId7"/>
    <sheet name="Off-Road Model EF" sheetId="8" r:id="rId8"/>
  </sheets>
  <definedNames>
    <definedName name="_xlnm.Print_Area" localSheetId="1">'2 Acre Equip_Phase'!$A$1:$I$65</definedName>
    <definedName name="_xlnm.Print_Area" localSheetId="0">'2 Acre Sum'!$A$1:$E$11</definedName>
    <definedName name="_xlnm.Print_Area" localSheetId="6">'Asphalt'!$A$1:$E$85</definedName>
    <definedName name="_xlnm.Print_Area" localSheetId="5">'Building'!$A$1:$E$85</definedName>
    <definedName name="_xlnm.Print_Area" localSheetId="2">'Demo '!$A$1:$E$109</definedName>
    <definedName name="_xlnm.Print_Area" localSheetId="4">'Grading'!$A$1:$F$125</definedName>
    <definedName name="_xlnm.Print_Area" localSheetId="3">'Site Prep'!$A$1:$F$122</definedName>
  </definedNames>
  <calcPr fullCalcOnLoad="1"/>
  <pivotCaches>
    <pivotCache cacheId="4" r:id="rId9"/>
  </pivotCaches>
</workbook>
</file>

<file path=xl/sharedStrings.xml><?xml version="1.0" encoding="utf-8"?>
<sst xmlns="http://schemas.openxmlformats.org/spreadsheetml/2006/main" count="813" uniqueCount="273">
  <si>
    <t>Total</t>
  </si>
  <si>
    <t>Construction Activity</t>
  </si>
  <si>
    <t>Construction Equipment Combustion Emission Factors</t>
  </si>
  <si>
    <t>Equipment Type</t>
  </si>
  <si>
    <t xml:space="preserve"> CO</t>
  </si>
  <si>
    <t xml:space="preserve"> NOx</t>
  </si>
  <si>
    <t xml:space="preserve"> PM10</t>
  </si>
  <si>
    <t xml:space="preserve"> </t>
  </si>
  <si>
    <t>Vehicle</t>
  </si>
  <si>
    <t>SOx</t>
  </si>
  <si>
    <t>N/A</t>
  </si>
  <si>
    <t>Total Incremental Combustion Emissions from Construction Activities</t>
  </si>
  <si>
    <t>Sources</t>
  </si>
  <si>
    <t>Exceed Significance?</t>
  </si>
  <si>
    <t>lb/mile</t>
  </si>
  <si>
    <t>Construction Vehicle (Mobile Source) Emission Factors</t>
  </si>
  <si>
    <t>Construction Worker Number of Trips and Trip Length</t>
  </si>
  <si>
    <t>No. of Equipment</t>
  </si>
  <si>
    <t>Crew Size</t>
  </si>
  <si>
    <t>Construction Equipment Emission Factors</t>
  </si>
  <si>
    <t>Electric Welders</t>
  </si>
  <si>
    <t>Incremental Increase in Onsite Combustion Emissions from Construction Equipment</t>
  </si>
  <si>
    <t>Equations:</t>
  </si>
  <si>
    <t>lb/hr</t>
  </si>
  <si>
    <t>Total Incremental Localized Emissions from Construction Activities</t>
  </si>
  <si>
    <t>Incremental Increase in Onsite Fugitive Dust Emissions from Construction Equipment</t>
  </si>
  <si>
    <t>Width of Building</t>
  </si>
  <si>
    <t>Length of Building</t>
  </si>
  <si>
    <t>Height of Building</t>
  </si>
  <si>
    <t>ft</t>
  </si>
  <si>
    <t>Description</t>
  </si>
  <si>
    <t>Total Project</t>
  </si>
  <si>
    <t>Fugitive Dust Material Handling</t>
  </si>
  <si>
    <t>mph</t>
  </si>
  <si>
    <t>lb/day</t>
  </si>
  <si>
    <t>hr/day</t>
  </si>
  <si>
    <t>Incremental Increase in Fugitive Dust Emissions from Construction Operations</t>
  </si>
  <si>
    <t xml:space="preserve">Material Handling </t>
  </si>
  <si>
    <t>Earthmoving</t>
  </si>
  <si>
    <t>VOC</t>
  </si>
  <si>
    <t>Tractor/Loader/Backhoe</t>
  </si>
  <si>
    <t>On-site Emissions (Mitigated)</t>
  </si>
  <si>
    <t>On-site Emissions</t>
  </si>
  <si>
    <t>On-Site Emissions</t>
  </si>
  <si>
    <t>Fugitive Dust Stockpiling Parameters</t>
  </si>
  <si>
    <t>TSP Fraction</t>
  </si>
  <si>
    <t>Storage Piles</t>
  </si>
  <si>
    <t>(miles)</t>
  </si>
  <si>
    <t>No. of One-Way</t>
  </si>
  <si>
    <t xml:space="preserve"> Trips/Day</t>
  </si>
  <si>
    <t>Paving Equipment</t>
  </si>
  <si>
    <t>ton/day</t>
  </si>
  <si>
    <t>Building Dimensions</t>
  </si>
  <si>
    <t>Fugitive Dust Grading Parameters</t>
  </si>
  <si>
    <t>Example</t>
  </si>
  <si>
    <t>Two Acre Site</t>
  </si>
  <si>
    <t>Fugitive Dust Clearing Parameters</t>
  </si>
  <si>
    <t>Clearing</t>
  </si>
  <si>
    <t>Total On-Site</t>
  </si>
  <si>
    <t>NOx</t>
  </si>
  <si>
    <t>PM10</t>
  </si>
  <si>
    <t>Demolition</t>
  </si>
  <si>
    <t xml:space="preserve">Site Preparation </t>
  </si>
  <si>
    <t>Grading</t>
  </si>
  <si>
    <t>Building</t>
  </si>
  <si>
    <t>Arch Coating and Paving</t>
  </si>
  <si>
    <t>Combustion PM10</t>
  </si>
  <si>
    <t>Fugitive PM10</t>
  </si>
  <si>
    <t>Total Onsite Emissions</t>
  </si>
  <si>
    <t>Site Preparation</t>
  </si>
  <si>
    <t>Architectural Coating and Asphalt Paving of Parking Lot</t>
  </si>
  <si>
    <t>Hours</t>
  </si>
  <si>
    <t>Trips</t>
  </si>
  <si>
    <t>Length</t>
  </si>
  <si>
    <t>Haul Trucks</t>
  </si>
  <si>
    <t>Localized Significance Threshold*</t>
  </si>
  <si>
    <t>Bulldozer</t>
  </si>
  <si>
    <t>cy</t>
  </si>
  <si>
    <t>Year</t>
  </si>
  <si>
    <t>Pollutant</t>
  </si>
  <si>
    <t>Eq Name</t>
  </si>
  <si>
    <t>CO</t>
  </si>
  <si>
    <t>Bore/Drill Rigs</t>
  </si>
  <si>
    <t>Cement and Mortar Mixers</t>
  </si>
  <si>
    <t>Concrete/Industrial Saws</t>
  </si>
  <si>
    <t>Cranes</t>
  </si>
  <si>
    <t>Crawler Tractors</t>
  </si>
  <si>
    <t>Crushing/Proc. Equipment</t>
  </si>
  <si>
    <t>Excavators</t>
  </si>
  <si>
    <t>Graders</t>
  </si>
  <si>
    <t>Off-Highway Tractors</t>
  </si>
  <si>
    <t>Off-Highway Trucks</t>
  </si>
  <si>
    <t>Other Construction Equipment</t>
  </si>
  <si>
    <t>Pavers</t>
  </si>
  <si>
    <t>Rollers</t>
  </si>
  <si>
    <t>Rough Terrain Forklifts</t>
  </si>
  <si>
    <t>Rubber Tired Dozers</t>
  </si>
  <si>
    <t>Rubber Tired Loaders</t>
  </si>
  <si>
    <t>Scrapers</t>
  </si>
  <si>
    <t>Signal Boards</t>
  </si>
  <si>
    <t>Skid Steer Loaders</t>
  </si>
  <si>
    <t>Surfacing Equipment</t>
  </si>
  <si>
    <t>Tractors/Loaders/Backhoes</t>
  </si>
  <si>
    <t>Trenchers</t>
  </si>
  <si>
    <r>
      <t>Equation:</t>
    </r>
    <r>
      <rPr>
        <sz val="10"/>
        <rFont val="Times New Roman"/>
        <family val="1"/>
      </rPr>
      <t xml:space="preserve">  Emission Factor (lb/hr)  x  No. of Equipment x  Work Day (hr/day) =  Onsite Construction Emissions (lb/day)</t>
    </r>
  </si>
  <si>
    <t>Composite</t>
  </si>
  <si>
    <t>Sum of Ems Factor #/hr</t>
  </si>
  <si>
    <t>Hp</t>
  </si>
  <si>
    <t>Forklifts</t>
  </si>
  <si>
    <t>Generator Sets</t>
  </si>
  <si>
    <t>Construction Schedule</t>
  </si>
  <si>
    <t xml:space="preserve">*  Illustration purpose showing the most stringent LSTs.  Please consult App. C of the </t>
  </si>
  <si>
    <t xml:space="preserve">    App. C of the Methodology Paper for applicable LSTs.</t>
  </si>
  <si>
    <t xml:space="preserve">   Methodology Paper for applicable LSTs.</t>
  </si>
  <si>
    <t>Welders</t>
  </si>
  <si>
    <t>Water Trucks</t>
  </si>
  <si>
    <t>Haul Truck</t>
  </si>
  <si>
    <t>Flatbed Truck</t>
  </si>
  <si>
    <t>Delivery Truck</t>
  </si>
  <si>
    <t>Water Truck</t>
  </si>
  <si>
    <t>Incremental Increase in Onsite Combustion Emissions from Onroad Mobile Vehicles</t>
  </si>
  <si>
    <r>
      <t xml:space="preserve">Equation:  </t>
    </r>
    <r>
      <rPr>
        <sz val="10"/>
        <rFont val="Times New Roman"/>
        <family val="1"/>
      </rPr>
      <t>Emission Factor (lb/mile)  x  No. of One-Way Trips/Day  x  2  x  Trip length (mile) = Mobile Emissions (lb/day)</t>
    </r>
  </si>
  <si>
    <t xml:space="preserve">Demolition Schedule  - </t>
  </si>
  <si>
    <t xml:space="preserve">Demolition of Existing </t>
  </si>
  <si>
    <t xml:space="preserve">Site Preparation Schedule  - </t>
  </si>
  <si>
    <t>Construction Schedule -</t>
  </si>
  <si>
    <t>Control Efficiency</t>
  </si>
  <si>
    <t>%</t>
  </si>
  <si>
    <t>Vehicle Description</t>
  </si>
  <si>
    <t>No. of Vehicle</t>
  </si>
  <si>
    <t>Grader</t>
  </si>
  <si>
    <t>a) SCAQMD, estimated from survey data, Sept 2004</t>
  </si>
  <si>
    <t>e) Mean wind speed - maximum of daily average wind speeds reported in 1981 meteorological data.</t>
  </si>
  <si>
    <t>g) USEPA, Fugitive Dust Background Document and Technical Information Document for Best Available Control Measures, p 2-28. Debris weight to area ratio = 0.046 ton/sq ft</t>
  </si>
  <si>
    <t xml:space="preserve">   Multiple trucks can be used.</t>
  </si>
  <si>
    <t>j) Assumed trucks travel 0.1 mile through project site.</t>
  </si>
  <si>
    <t xml:space="preserve">    material handling equation for demolition emission estimates.</t>
  </si>
  <si>
    <t>Notes:</t>
  </si>
  <si>
    <r>
      <t>Equipment Type</t>
    </r>
    <r>
      <rPr>
        <b/>
        <vertAlign val="superscript"/>
        <sz val="10"/>
        <rFont val="Times New Roman"/>
        <family val="1"/>
      </rPr>
      <t>a,b</t>
    </r>
  </si>
  <si>
    <r>
      <t>days</t>
    </r>
    <r>
      <rPr>
        <b/>
        <vertAlign val="superscript"/>
        <sz val="10"/>
        <rFont val="Times New Roman"/>
        <family val="1"/>
      </rPr>
      <t>a</t>
    </r>
  </si>
  <si>
    <r>
      <t>Square Foot Structure</t>
    </r>
    <r>
      <rPr>
        <vertAlign val="superscript"/>
        <sz val="10"/>
        <rFont val="Times New Roman"/>
        <family val="1"/>
      </rPr>
      <t>a</t>
    </r>
  </si>
  <si>
    <r>
      <t>Square Feet</t>
    </r>
    <r>
      <rPr>
        <vertAlign val="superscript"/>
        <sz val="10"/>
        <rFont val="Times New Roman"/>
        <family val="1"/>
      </rPr>
      <t>a</t>
    </r>
  </si>
  <si>
    <r>
      <t>Equipment Type</t>
    </r>
    <r>
      <rPr>
        <b/>
        <vertAlign val="superscript"/>
        <sz val="10"/>
        <rFont val="Times New Roman"/>
        <family val="1"/>
      </rPr>
      <t>c</t>
    </r>
  </si>
  <si>
    <r>
      <t>Description</t>
    </r>
    <r>
      <rPr>
        <b/>
        <vertAlign val="superscript"/>
        <sz val="10"/>
        <rFont val="Times New Roman"/>
        <family val="1"/>
      </rPr>
      <t>a</t>
    </r>
  </si>
  <si>
    <r>
      <t>Aerodynamic Particle Size Multiplier</t>
    </r>
    <r>
      <rPr>
        <b/>
        <vertAlign val="superscript"/>
        <sz val="10"/>
        <rFont val="Times New Roman"/>
        <family val="1"/>
      </rPr>
      <t>d</t>
    </r>
  </si>
  <si>
    <r>
      <t>Mean Wind Speed</t>
    </r>
    <r>
      <rPr>
        <b/>
        <vertAlign val="superscript"/>
        <sz val="10"/>
        <rFont val="Times New Roman"/>
        <family val="1"/>
      </rPr>
      <t>e</t>
    </r>
  </si>
  <si>
    <r>
      <t>Moisture Content</t>
    </r>
    <r>
      <rPr>
        <b/>
        <vertAlign val="superscript"/>
        <sz val="10"/>
        <rFont val="Times New Roman"/>
        <family val="1"/>
      </rPr>
      <t>f</t>
    </r>
  </si>
  <si>
    <r>
      <t>Debris Handled</t>
    </r>
    <r>
      <rPr>
        <b/>
        <vertAlign val="superscript"/>
        <sz val="10"/>
        <rFont val="Times New Roman"/>
        <family val="1"/>
      </rPr>
      <t>g</t>
    </r>
  </si>
  <si>
    <r>
      <t>Heavy-Duty Truck</t>
    </r>
    <r>
      <rPr>
        <vertAlign val="superscript"/>
        <sz val="10"/>
        <rFont val="Times New Roman"/>
        <family val="1"/>
      </rPr>
      <t>h</t>
    </r>
  </si>
  <si>
    <r>
      <t xml:space="preserve"> Trips/Day</t>
    </r>
    <r>
      <rPr>
        <b/>
        <vertAlign val="superscript"/>
        <sz val="10"/>
        <rFont val="Times New Roman"/>
        <family val="1"/>
      </rPr>
      <t>i</t>
    </r>
  </si>
  <si>
    <r>
      <t>Silt Content</t>
    </r>
    <r>
      <rPr>
        <b/>
        <vertAlign val="superscript"/>
        <sz val="10"/>
        <rFont val="Times New Roman"/>
        <family val="1"/>
      </rPr>
      <t>d</t>
    </r>
  </si>
  <si>
    <r>
      <t>Moisture Content</t>
    </r>
    <r>
      <rPr>
        <b/>
        <vertAlign val="superscript"/>
        <sz val="10"/>
        <rFont val="Times New Roman"/>
        <family val="1"/>
      </rPr>
      <t>d</t>
    </r>
  </si>
  <si>
    <r>
      <t>Dirt Handled</t>
    </r>
    <r>
      <rPr>
        <b/>
        <vertAlign val="superscript"/>
        <sz val="10"/>
        <rFont val="Times New Roman"/>
        <family val="1"/>
      </rPr>
      <t>a</t>
    </r>
  </si>
  <si>
    <r>
      <t>Debris Handled</t>
    </r>
    <r>
      <rPr>
        <b/>
        <vertAlign val="superscript"/>
        <sz val="10"/>
        <rFont val="Times New Roman"/>
        <family val="1"/>
      </rPr>
      <t>a</t>
    </r>
  </si>
  <si>
    <r>
      <t>Dirt Handled</t>
    </r>
    <r>
      <rPr>
        <b/>
        <vertAlign val="superscript"/>
        <sz val="10"/>
        <rFont val="Times New Roman"/>
        <family val="1"/>
      </rPr>
      <t>l</t>
    </r>
  </si>
  <si>
    <t>i) Mean wind speed - maximum of daily average wind speeds reported in 1981 meteorological data.</t>
  </si>
  <si>
    <r>
      <t>Precipitation Days</t>
    </r>
    <r>
      <rPr>
        <b/>
        <vertAlign val="superscript"/>
        <sz val="10"/>
        <rFont val="Times New Roman"/>
        <family val="1"/>
      </rPr>
      <t>e</t>
    </r>
  </si>
  <si>
    <r>
      <t>Mean Wind Speed Percent</t>
    </r>
    <r>
      <rPr>
        <b/>
        <vertAlign val="superscript"/>
        <sz val="10"/>
        <rFont val="Times New Roman"/>
        <family val="1"/>
      </rPr>
      <t>f</t>
    </r>
  </si>
  <si>
    <r>
      <t>Area (acres)</t>
    </r>
    <r>
      <rPr>
        <b/>
        <vertAlign val="superscript"/>
        <sz val="10"/>
        <rFont val="Times New Roman"/>
        <family val="1"/>
      </rPr>
      <t>g</t>
    </r>
  </si>
  <si>
    <t>e) Table A9-9-E2, SCAQMD CEQA Air Quality Handbook, 1993</t>
  </si>
  <si>
    <t>f) Mean wind speed percent - percent of time mean wind speed exceeds 12 mph.</t>
  </si>
  <si>
    <r>
      <t>Aerodynamic Particle Size Multiplier</t>
    </r>
    <r>
      <rPr>
        <b/>
        <vertAlign val="superscript"/>
        <sz val="10"/>
        <rFont val="Times New Roman"/>
        <family val="1"/>
      </rPr>
      <t>h</t>
    </r>
  </si>
  <si>
    <t>g) Assumed storage piles are 0.06 acres in size</t>
  </si>
  <si>
    <r>
      <t>Heavy-Duty Truck</t>
    </r>
    <r>
      <rPr>
        <vertAlign val="superscript"/>
        <sz val="10"/>
        <rFont val="Times New Roman"/>
        <family val="1"/>
      </rPr>
      <t>l</t>
    </r>
  </si>
  <si>
    <t>d) Caterpillar Performance Handbook, Edition 33, October 2003 Operating Speeds, p 2-3.</t>
  </si>
  <si>
    <r>
      <t>Vehicle Speed (mph)</t>
    </r>
    <r>
      <rPr>
        <b/>
        <vertAlign val="superscript"/>
        <sz val="10"/>
        <rFont val="Times New Roman"/>
        <family val="1"/>
      </rPr>
      <t>d</t>
    </r>
  </si>
  <si>
    <r>
      <t>Vehicle Miles Traveled</t>
    </r>
    <r>
      <rPr>
        <b/>
        <vertAlign val="superscript"/>
        <sz val="10"/>
        <rFont val="Times New Roman"/>
        <family val="1"/>
      </rPr>
      <t>e</t>
    </r>
  </si>
  <si>
    <t>g) Table A9-9-E2, SCAQMD CEQA Air Quality Handbook, 1993</t>
  </si>
  <si>
    <t>h) Mean wind speed percent - percent of time mean wind speed exceeds 12 mph.  At least one meteorological site recorded wind speeds greater than 12 mph over a 24-hour period in 1981.</t>
  </si>
  <si>
    <r>
      <t>Silt Content</t>
    </r>
    <r>
      <rPr>
        <b/>
        <vertAlign val="superscript"/>
        <sz val="10"/>
        <rFont val="Times New Roman"/>
        <family val="1"/>
      </rPr>
      <t>f</t>
    </r>
  </si>
  <si>
    <r>
      <t>Precipitation Days</t>
    </r>
    <r>
      <rPr>
        <b/>
        <vertAlign val="superscript"/>
        <sz val="10"/>
        <rFont val="Times New Roman"/>
        <family val="1"/>
      </rPr>
      <t>g</t>
    </r>
  </si>
  <si>
    <r>
      <t>Mean Wind Speed Percent</t>
    </r>
    <r>
      <rPr>
        <b/>
        <vertAlign val="superscript"/>
        <sz val="10"/>
        <rFont val="Times New Roman"/>
        <family val="1"/>
      </rPr>
      <t>h</t>
    </r>
  </si>
  <si>
    <r>
      <t>Area (acres)</t>
    </r>
    <r>
      <rPr>
        <b/>
        <vertAlign val="superscript"/>
        <sz val="10"/>
        <rFont val="Times New Roman"/>
        <family val="1"/>
      </rPr>
      <t>i</t>
    </r>
  </si>
  <si>
    <t>i) Assumed storage piles are 0.06 acres in size</t>
  </si>
  <si>
    <r>
      <t>Aerodynamic Particle Size Multiplier</t>
    </r>
    <r>
      <rPr>
        <b/>
        <vertAlign val="superscript"/>
        <sz val="10"/>
        <rFont val="Times New Roman"/>
        <family val="1"/>
      </rPr>
      <t>j</t>
    </r>
  </si>
  <si>
    <r>
      <t>Mean Wind Speed</t>
    </r>
    <r>
      <rPr>
        <b/>
        <vertAlign val="superscript"/>
        <sz val="10"/>
        <rFont val="Times New Roman"/>
        <family val="1"/>
      </rPr>
      <t>k</t>
    </r>
  </si>
  <si>
    <t>k) Mean wind speed - maximum of daily average wind speeds reported in 1981 meteorological data.</t>
  </si>
  <si>
    <r>
      <t>Heavy-Duty Truck</t>
    </r>
    <r>
      <rPr>
        <vertAlign val="superscript"/>
        <sz val="10"/>
        <rFont val="Times New Roman"/>
        <family val="1"/>
      </rPr>
      <t>m</t>
    </r>
  </si>
  <si>
    <r>
      <t>Haul Truck</t>
    </r>
    <r>
      <rPr>
        <vertAlign val="superscript"/>
        <sz val="10"/>
        <rFont val="Times New Roman"/>
        <family val="1"/>
      </rPr>
      <t>n</t>
    </r>
  </si>
  <si>
    <r>
      <t>Water Truck</t>
    </r>
    <r>
      <rPr>
        <vertAlign val="superscript"/>
        <sz val="10"/>
        <rFont val="Times New Roman"/>
        <family val="1"/>
      </rPr>
      <t>o</t>
    </r>
  </si>
  <si>
    <t>p) USEPA, AP-42, Jan 1995, Table 11.9-1, Equation for Site Grading ≤ 10 μm</t>
  </si>
  <si>
    <t>q) USEPA, Fugitive Dust Background Document and Technical Information Document for Best Available Control Measures, Sept 1992, EPA-450/2-92-004, Equation 2-12</t>
  </si>
  <si>
    <t>e) Assumed haul truck travels 0.1 miles through facility</t>
  </si>
  <si>
    <r>
      <t>Heavy-Duty Truck</t>
    </r>
    <r>
      <rPr>
        <vertAlign val="superscript"/>
        <sz val="10"/>
        <rFont val="Times New Roman"/>
        <family val="1"/>
      </rPr>
      <t>d</t>
    </r>
  </si>
  <si>
    <r>
      <t>Flatbed Truck</t>
    </r>
    <r>
      <rPr>
        <vertAlign val="superscript"/>
        <sz val="10"/>
        <rFont val="Times New Roman"/>
        <family val="1"/>
      </rPr>
      <t>a,e</t>
    </r>
  </si>
  <si>
    <r>
      <t>Water Truck</t>
    </r>
    <r>
      <rPr>
        <vertAlign val="superscript"/>
        <sz val="10"/>
        <rFont val="Times New Roman"/>
        <family val="1"/>
      </rPr>
      <t>f</t>
    </r>
  </si>
  <si>
    <r>
      <t>Significance Threshold</t>
    </r>
    <r>
      <rPr>
        <b/>
        <vertAlign val="superscript"/>
        <sz val="10"/>
        <rFont val="Times New Roman"/>
        <family val="1"/>
      </rPr>
      <t>g</t>
    </r>
  </si>
  <si>
    <r>
      <t>Material Handling (Demolition)</t>
    </r>
    <r>
      <rPr>
        <vertAlign val="superscript"/>
        <sz val="10"/>
        <rFont val="Times New Roman"/>
        <family val="1"/>
      </rPr>
      <t>l</t>
    </r>
  </si>
  <si>
    <t>Material Handling (Debris)</t>
  </si>
  <si>
    <r>
      <t>Mean Wind Speed</t>
    </r>
    <r>
      <rPr>
        <b/>
        <vertAlign val="superscript"/>
        <sz val="10"/>
        <rFont val="Times New Roman"/>
        <family val="1"/>
      </rPr>
      <t>i</t>
    </r>
  </si>
  <si>
    <r>
      <t>Dirt Handled</t>
    </r>
    <r>
      <rPr>
        <b/>
        <vertAlign val="superscript"/>
        <sz val="10"/>
        <rFont val="Times New Roman"/>
        <family val="1"/>
      </rPr>
      <t>j</t>
    </r>
  </si>
  <si>
    <r>
      <t>Haul Truck</t>
    </r>
    <r>
      <rPr>
        <vertAlign val="superscript"/>
        <sz val="10"/>
        <rFont val="Times New Roman"/>
        <family val="1"/>
      </rPr>
      <t>k</t>
    </r>
  </si>
  <si>
    <r>
      <t>Water Truck</t>
    </r>
    <r>
      <rPr>
        <vertAlign val="superscript"/>
        <sz val="10"/>
        <rFont val="Times New Roman"/>
        <family val="1"/>
      </rPr>
      <t>m</t>
    </r>
  </si>
  <si>
    <t>o) USEPA, Fugitive Dust Background Document and Technical Information Document for Best Available Control Measures, Sept 1992, EPA-450/2-92-004, Equation 2-12</t>
  </si>
  <si>
    <t>f) Assumed six foot wide water truck traverses over 100,000 square feet of disturbed area</t>
  </si>
  <si>
    <r>
      <t>Delivery Truck</t>
    </r>
    <r>
      <rPr>
        <vertAlign val="superscript"/>
        <sz val="10"/>
        <rFont val="Times New Roman"/>
        <family val="1"/>
      </rPr>
      <t>e</t>
    </r>
  </si>
  <si>
    <r>
      <t>Significance Threshold</t>
    </r>
    <r>
      <rPr>
        <b/>
        <vertAlign val="superscript"/>
        <sz val="10"/>
        <rFont val="Times New Roman"/>
        <family val="1"/>
      </rPr>
      <t>r</t>
    </r>
  </si>
  <si>
    <r>
      <t>PM10</t>
    </r>
    <r>
      <rPr>
        <b/>
        <vertAlign val="superscript"/>
        <sz val="10"/>
        <rFont val="Times New Roman"/>
        <family val="1"/>
      </rPr>
      <t>s</t>
    </r>
  </si>
  <si>
    <r>
      <t>PM10</t>
    </r>
    <r>
      <rPr>
        <b/>
        <vertAlign val="superscript"/>
        <sz val="10"/>
        <rFont val="Times New Roman"/>
        <family val="1"/>
      </rPr>
      <t>q</t>
    </r>
  </si>
  <si>
    <r>
      <t>Significance Threshold</t>
    </r>
    <r>
      <rPr>
        <b/>
        <vertAlign val="superscript"/>
        <sz val="10"/>
        <rFont val="Times New Roman"/>
        <family val="1"/>
      </rPr>
      <t>t</t>
    </r>
  </si>
  <si>
    <t>f) USEPA, Fugitive Dust Background Document and Technical Information Document for Best Available Control Measures, equation 2-13, p 2-28</t>
  </si>
  <si>
    <t>n) USEPA, AP-42, July 1998, Table 11.9-1, Equation for bulldozer, overburden, ≤ 10 μm</t>
  </si>
  <si>
    <r>
      <t>Storage Piles</t>
    </r>
    <r>
      <rPr>
        <vertAlign val="superscript"/>
        <sz val="10"/>
        <rFont val="Times New Roman"/>
        <family val="1"/>
      </rPr>
      <t>q</t>
    </r>
    <r>
      <rPr>
        <sz val="10"/>
        <rFont val="Times New Roman"/>
        <family val="1"/>
      </rPr>
      <t>: PM10 Emissions (lb/day) = 1.7 x (silt content/1.5) x ((365-precipitation days)/235) x wind speed percent/15 x TSP fraction x Area) x (1 - control efficiency)</t>
    </r>
  </si>
  <si>
    <r>
      <t>Material Handling</t>
    </r>
    <r>
      <rPr>
        <vertAlign val="superscript"/>
        <sz val="10"/>
        <rFont val="Times New Roman"/>
        <family val="1"/>
      </rPr>
      <t>r</t>
    </r>
    <r>
      <rPr>
        <sz val="10"/>
        <rFont val="Times New Roman"/>
        <family val="1"/>
      </rPr>
      <t xml:space="preserve"> PM10 Emissions (lb/day) =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dirt handled (lb/day)/2,000 (lb/ton)</t>
    </r>
  </si>
  <si>
    <r>
      <t>Clearing</t>
    </r>
    <r>
      <rPr>
        <vertAlign val="superscript"/>
        <sz val="10"/>
        <rFont val="Times New Roman"/>
        <family val="1"/>
      </rPr>
      <t>n</t>
    </r>
    <r>
      <rPr>
        <sz val="10"/>
        <rFont val="Times New Roman"/>
        <family val="1"/>
      </rPr>
      <t>: PM10 Emissions (lb/day) = 0.75 x (silt content</t>
    </r>
    <r>
      <rPr>
        <vertAlign val="superscript"/>
        <sz val="10"/>
        <rFont val="Times New Roman"/>
        <family val="1"/>
      </rPr>
      <t>1.5</t>
    </r>
    <r>
      <rPr>
        <sz val="10"/>
        <rFont val="Times New Roman"/>
        <family val="1"/>
      </rPr>
      <t>)/(moisture content</t>
    </r>
    <r>
      <rPr>
        <vertAlign val="superscript"/>
        <sz val="10"/>
        <rFont val="Times New Roman"/>
        <family val="1"/>
      </rPr>
      <t>1.4</t>
    </r>
    <r>
      <rPr>
        <sz val="10"/>
        <rFont val="Times New Roman"/>
        <family val="1"/>
      </rPr>
      <t>) x hours operated (hr/day) x (1 - control efficiency)</t>
    </r>
  </si>
  <si>
    <r>
      <t>Storage Piles</t>
    </r>
    <r>
      <rPr>
        <vertAlign val="superscript"/>
        <sz val="10"/>
        <rFont val="Times New Roman"/>
        <family val="1"/>
      </rPr>
      <t>o</t>
    </r>
    <r>
      <rPr>
        <sz val="10"/>
        <rFont val="Times New Roman"/>
        <family val="1"/>
      </rPr>
      <t>: PM10 Emissions (lb/day) = 1.7 x (silt content/1.5) x ((365-precipitation days)/235) x wind speed percent/15 x TSP fraction x Area) x (1 - control efficiency)</t>
    </r>
  </si>
  <si>
    <r>
      <t>Material Handling</t>
    </r>
    <r>
      <rPr>
        <vertAlign val="superscript"/>
        <sz val="10"/>
        <rFont val="Times New Roman"/>
        <family val="1"/>
      </rPr>
      <t>p</t>
    </r>
    <r>
      <rPr>
        <sz val="10"/>
        <rFont val="Times New Roman"/>
        <family val="1"/>
      </rPr>
      <t xml:space="preserve"> PM10 Emissions (lb/day) =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dirt handled (lb/day)/2,000 (lb/ton)</t>
    </r>
  </si>
  <si>
    <t xml:space="preserve">                                                                            (1 - control efficiency) </t>
  </si>
  <si>
    <t xml:space="preserve">                                                                              (1 - control efficiency) </t>
  </si>
  <si>
    <t>Plate Compactors</t>
  </si>
  <si>
    <t xml:space="preserve">                                       (1 - control efficiency) = PM10 Emissions (lb/day)</t>
  </si>
  <si>
    <r>
      <t>Material Handling</t>
    </r>
    <r>
      <rPr>
        <vertAlign val="superscript"/>
        <sz val="10"/>
        <rFont val="Times New Roman"/>
        <family val="1"/>
      </rPr>
      <t>k</t>
    </r>
    <r>
      <rPr>
        <sz val="10"/>
        <rFont val="Times New Roman"/>
        <family val="1"/>
      </rPr>
      <t>: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debris handled (ton/day)) x</t>
    </r>
  </si>
  <si>
    <t>m) Includes watering at least three times a day per Rule 403 (68% control efficiency)</t>
  </si>
  <si>
    <r>
      <t>Significance Threshold</t>
    </r>
    <r>
      <rPr>
        <b/>
        <vertAlign val="superscript"/>
        <sz val="10"/>
        <rFont val="Times New Roman"/>
        <family val="1"/>
      </rPr>
      <t>n</t>
    </r>
  </si>
  <si>
    <r>
      <t>PM10 Mitigated</t>
    </r>
    <r>
      <rPr>
        <b/>
        <vertAlign val="superscript"/>
        <sz val="10"/>
        <rFont val="Times New Roman"/>
        <family val="1"/>
      </rPr>
      <t>m</t>
    </r>
  </si>
  <si>
    <t>Demolition of Existing 87,000 Square Foot Structure</t>
  </si>
  <si>
    <t>Building of 87,000 Square Foot Structure</t>
  </si>
  <si>
    <r>
      <t>Grading</t>
    </r>
    <r>
      <rPr>
        <vertAlign val="superscript"/>
        <sz val="10"/>
        <rFont val="Times New Roman"/>
        <family val="1"/>
      </rPr>
      <t>p</t>
    </r>
    <r>
      <rPr>
        <sz val="10"/>
        <rFont val="Times New Roman"/>
        <family val="1"/>
      </rPr>
      <t>: PM10 Emissions (lb/day) = 0.60 x 0.051 x mean vehicle speed</t>
    </r>
    <r>
      <rPr>
        <vertAlign val="superscript"/>
        <sz val="10"/>
        <rFont val="Times New Roman"/>
        <family val="1"/>
      </rPr>
      <t>2.0</t>
    </r>
    <r>
      <rPr>
        <sz val="10"/>
        <rFont val="Times New Roman"/>
        <family val="1"/>
      </rPr>
      <t xml:space="preserve"> x VMT x (1 - control efficiency) </t>
    </r>
  </si>
  <si>
    <t xml:space="preserve">Building </t>
  </si>
  <si>
    <t>Project specific data may be entered into shaded cells.  Changing the values in the shaded cells will not affect the integrity of the worksheets.  Verify that units of values entered match units</t>
  </si>
  <si>
    <t xml:space="preserve">for cell.  Adding lines or entering values with units different than those associated with the shaded cells may alter the integrity of the sheets or produce incorrect results.  </t>
  </si>
  <si>
    <t>b) Equipment name must match CARB Off-Road Model (see Off-Road Model EF worksheet) equipment name for sheet to look up EFs automatically.</t>
  </si>
  <si>
    <t>Combustion and Fugitive Summary</t>
  </si>
  <si>
    <t>PM2.5</t>
  </si>
  <si>
    <t>Fugitive</t>
  </si>
  <si>
    <t>Percentage</t>
  </si>
  <si>
    <t>Contribution</t>
  </si>
  <si>
    <t>PM2.5 Fractions</t>
  </si>
  <si>
    <r>
      <t>PM2.5 Fraction</t>
    </r>
    <r>
      <rPr>
        <b/>
        <vertAlign val="superscript"/>
        <sz val="10"/>
        <rFont val="Times New Roman"/>
        <family val="1"/>
      </rPr>
      <t>o</t>
    </r>
  </si>
  <si>
    <r>
      <t>PM2.5 Fraction</t>
    </r>
    <r>
      <rPr>
        <b/>
        <vertAlign val="superscript"/>
        <sz val="10"/>
        <rFont val="Times New Roman"/>
        <family val="1"/>
      </rPr>
      <t>s</t>
    </r>
  </si>
  <si>
    <r>
      <t>PM2.5 Fraction</t>
    </r>
    <r>
      <rPr>
        <b/>
        <vertAlign val="superscript"/>
        <sz val="10"/>
        <rFont val="Times New Roman"/>
        <family val="1"/>
      </rPr>
      <t>u</t>
    </r>
  </si>
  <si>
    <r>
      <t>PM2.5 Fraction</t>
    </r>
    <r>
      <rPr>
        <b/>
        <vertAlign val="superscript"/>
        <sz val="10"/>
        <rFont val="Times New Roman"/>
        <family val="1"/>
      </rPr>
      <t>h</t>
    </r>
  </si>
  <si>
    <t xml:space="preserve">*  For illustration purposes only, this analysis is based on the most stringent LSTs.  Please consult </t>
  </si>
  <si>
    <t>*  Illustration purpose showing the most stringent LSTs.  Please consult App. C of the Methodology Paper for applicable LSTs.</t>
  </si>
  <si>
    <t>n) Illustration purpose showing the most stringent LSTs.  Please consult App. C of the Methodology Paper for applicable LSTs.</t>
  </si>
  <si>
    <t>r) Illustration purpose showing the most stringent LSTs.  Please consult App. C of the Methodology Paper for applicable LSTs.</t>
  </si>
  <si>
    <t>t) Illustration purpose showing the most stringent LSTs.  Please consult App. C of the Methodology Paper for applicable LSTs.</t>
  </si>
  <si>
    <t>g) Illustration purpose showing the most stringent LSTs.  Please consult App. C of the Methodology Paper for applicable LSTs.</t>
  </si>
  <si>
    <t>Aerial Lifts</t>
  </si>
  <si>
    <t>Air Compressors</t>
  </si>
  <si>
    <t>Dumpers/Tenders</t>
  </si>
  <si>
    <t>Other General Industrial Equipment</t>
  </si>
  <si>
    <t>Other Material Handling Equipment</t>
  </si>
  <si>
    <t>Pressure Washers</t>
  </si>
  <si>
    <t>Pumps</t>
  </si>
  <si>
    <t>Sweepers/Scrubbers</t>
  </si>
  <si>
    <t>c) SCAB values provided by the ARB, Oct 2006. Assumed equipment is diesel fueled.</t>
  </si>
  <si>
    <t>c) SCAB values provided by the ARB, Oct 2006. Assumed equipment is diesel fueled except the welders which are powered by the generator.</t>
  </si>
  <si>
    <t>d) USEPA, AP-42, July 1998, Table 11.9-3 Typical Values for Correction Factors Applicable to the Predictive Emission Factor Equations</t>
  </si>
  <si>
    <t>d) USEPA, AP-42, Jan 1995, Section 13.2.4 Aggregate Handling and Storage Piles, p 13.2.4-3 Aerodynamic particle size multiplier for &lt; 10 μm</t>
  </si>
  <si>
    <t xml:space="preserve">k) USEPA, Fugitive Dust Background Document and Technical Information Document for Best Available Control Measures, equation 2-13, p 2-28.    EPA suggests using the </t>
  </si>
  <si>
    <t>l)  EPA suggests using the material handling equation for demolition emission estimates.</t>
  </si>
  <si>
    <t>o) ARB's CEIDARS database PM2.5 fractions - construction dust category for fugitive and diesel vehicle exhaust category for combustion.</t>
  </si>
  <si>
    <t>h) USEPA, AP-42, Jan 1995, Section 13.2.4 Aggregate Handling and Storage Piles, p 13.2.4-3 Aerodynamic particle size multiplier for &lt; 10 μm</t>
  </si>
  <si>
    <t>p) USEPA, AP-42, Jan 1995, Section 13.2.4 Aggregate Handling and Storage Piles, Equation 1</t>
  </si>
  <si>
    <t>s) ARB's CEIDARS database PM2.5 fractions - construction dust category for fugitive and diesel vehicle exhaust category for combustion.</t>
  </si>
  <si>
    <t>f) USEPA, AP-42, Jan 1995, Table 11.9-3 Typical Values for Correction Factors Applicable to the Predictive Emission Factor Equations</t>
  </si>
  <si>
    <t>j) USEPA, AP-42, Jan 1995, Section 13.2.4 Aggregate Handling and Storage Piles, p 13.2.4-3 Aerodynamic particle size multiplier for &lt; 10 μm</t>
  </si>
  <si>
    <t>r) USEPA, AP-42, Jan 1995, Section 13.2.4 Aggregate Handling and Storage Piles, Equation 1</t>
  </si>
  <si>
    <t>u) ARB's CEIDARS database PM2.5 fractions - construction dust category for fugitive and diesel vehicle exhaust category for combustion.</t>
  </si>
  <si>
    <t xml:space="preserve">One-Way Trip Length </t>
  </si>
  <si>
    <t>h) ARB's CEIDARS database PM2.5 fractions - construction dust category for fugitive and diesel vehicle exhaust category for combustion.</t>
  </si>
  <si>
    <r>
      <t>One-Way Trip Length</t>
    </r>
    <r>
      <rPr>
        <b/>
        <vertAlign val="superscript"/>
        <sz val="10"/>
        <rFont val="Times New Roman"/>
        <family val="1"/>
      </rPr>
      <t>j</t>
    </r>
  </si>
  <si>
    <t>Combustion
(Offroad)</t>
  </si>
  <si>
    <t>Combustion
(Onroad)</t>
  </si>
  <si>
    <t>Combustion (Offroad)</t>
  </si>
  <si>
    <t>Combustion (Onroad)</t>
  </si>
  <si>
    <t>q) Includes watering at least three times a day per Rule 403 (61% control efficiency).</t>
  </si>
  <si>
    <t>s) Includes watering at least three times a day per Rule 403 (61% control efficiency).</t>
  </si>
  <si>
    <t>h)  2009 fleet year. http://www.aqmd.gov/ceqa/handbook/onroad/onroad.html.</t>
  </si>
  <si>
    <t>k) 2009 fleet year. http://www.aqmd.gov/ceqa/handbook/onroad/onroad.html.</t>
  </si>
  <si>
    <t>m) 2009 fleet year. http://www.aqmd.gov/ceqa/handbook/onroad/onroad.html.</t>
  </si>
  <si>
    <t>d) 2009 fleet year. http://www.aqmd.gov/ceqa/handbook/onroad/onroad.html.</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</si>
</sst>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E+00"/>
    <numFmt numFmtId="166" formatCode="0.0000"/>
    <numFmt numFmtId="167" formatCode="_(* #,##0_);_(* \(#,##0\);_(* &quot;-&quot;??_);_(@_)"/>
    <numFmt numFmtId="168" formatCode="0.000000"/>
    <numFmt numFmtId="169" formatCode="0.00000"/>
    <numFmt numFmtId="170" formatCode="0.000"/>
    <numFmt numFmtId="171" formatCode="0.0"/>
    <numFmt numFmtId="172" formatCode="0.00000000000000"/>
    <numFmt numFmtId="173" formatCode="0.0000000000000"/>
    <numFmt numFmtId="174" formatCode="0.000000000000"/>
    <numFmt numFmtId="175" formatCode="0.00000000000"/>
    <numFmt numFmtId="176" formatCode="0.000000000000000"/>
    <numFmt numFmtId="177" formatCode="0.0000000000000000"/>
    <numFmt numFmtId="178" formatCode="0.00000000000000000"/>
    <numFmt numFmtId="179" formatCode="#,##0\ &quot;MMBTU/Yr&quot;"/>
    <numFmt numFmtId="180" formatCode="#,##0\ &quot;KW&quot;"/>
    <numFmt numFmtId="181" formatCode="0.0000000"/>
    <numFmt numFmtId="182" formatCode="#,##0.0_);\(#,##0.0\)"/>
    <numFmt numFmtId="183" formatCode="0.00000000"/>
    <numFmt numFmtId="184" formatCode="_(* #,##0.000_);_(* \(#,##0.000\);_(* &quot;-&quot;??_);_(@_)"/>
    <numFmt numFmtId="185" formatCode="#,##0.0"/>
    <numFmt numFmtId="186" formatCode="#,##0.000"/>
    <numFmt numFmtId="187" formatCode="#,##0.0000"/>
    <numFmt numFmtId="188" formatCode="#,##0.00000"/>
    <numFmt numFmtId="189" formatCode="0.000000000"/>
    <numFmt numFmtId="190" formatCode="0.0E+00"/>
    <numFmt numFmtId="191" formatCode="0.0%"/>
    <numFmt numFmtId="192" formatCode="0.000E+00"/>
  </numFmts>
  <fonts count="11">
    <font>
      <sz val="10"/>
      <name val="Arial"/>
      <family val="0"/>
    </font>
    <font>
      <b/>
      <sz val="10"/>
      <name val="Times New Roman"/>
      <family val="1"/>
    </font>
    <font>
      <sz val="10"/>
      <name val="Times New Roman"/>
      <family val="1"/>
    </font>
    <font>
      <sz val="8"/>
      <name val="Times New Roman"/>
      <family val="1"/>
    </font>
    <font>
      <b/>
      <i/>
      <sz val="10"/>
      <name val="Times New Roman"/>
      <family val="1"/>
    </font>
    <font>
      <sz val="8"/>
      <name val="Arial"/>
      <family val="0"/>
    </font>
    <font>
      <u val="single"/>
      <sz val="10"/>
      <color indexed="12"/>
      <name val="Arial"/>
      <family val="0"/>
    </font>
    <font>
      <u val="single"/>
      <sz val="10"/>
      <color indexed="36"/>
      <name val="Arial"/>
      <family val="0"/>
    </font>
    <font>
      <b/>
      <sz val="8"/>
      <name val="Times New Roman"/>
      <family val="1"/>
    </font>
    <font>
      <vertAlign val="superscript"/>
      <sz val="10"/>
      <name val="Times New Roman"/>
      <family val="1"/>
    </font>
    <font>
      <b/>
      <vertAlign val="superscript"/>
      <sz val="10"/>
      <name val="Times New Roman"/>
      <family val="1"/>
    </font>
  </fonts>
  <fills count="3">
    <fill>
      <patternFill/>
    </fill>
    <fill>
      <patternFill patternType="gray125"/>
    </fill>
    <fill>
      <patternFill patternType="solid">
        <fgColor indexed="22"/>
        <bgColor indexed="64"/>
      </patternFill>
    </fill>
  </fills>
  <borders count="22">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2" fontId="2" fillId="0" borderId="0" xfId="0" applyNumberFormat="1" applyFont="1" applyAlignment="1">
      <alignment/>
    </xf>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center"/>
    </xf>
    <xf numFmtId="1" fontId="2" fillId="0" borderId="0" xfId="0" applyNumberFormat="1" applyFont="1" applyAlignment="1">
      <alignment/>
    </xf>
    <xf numFmtId="1" fontId="1" fillId="0" borderId="0" xfId="0" applyNumberFormat="1" applyFont="1" applyAlignment="1">
      <alignment/>
    </xf>
    <xf numFmtId="2" fontId="1" fillId="0" borderId="0" xfId="0" applyNumberFormat="1" applyFont="1" applyAlignment="1">
      <alignment horizontal="center"/>
    </xf>
    <xf numFmtId="171" fontId="1" fillId="0" borderId="0" xfId="0" applyNumberFormat="1" applyFont="1" applyAlignment="1">
      <alignment horizont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2" fontId="2" fillId="0" borderId="0" xfId="0" applyNumberFormat="1" applyFont="1" applyBorder="1" applyAlignment="1">
      <alignment horizontal="center" vertical="center"/>
    </xf>
    <xf numFmtId="0" fontId="2" fillId="0" borderId="2" xfId="0" applyFont="1" applyBorder="1" applyAlignment="1">
      <alignment horizontal="left"/>
    </xf>
    <xf numFmtId="2" fontId="2" fillId="0" borderId="2" xfId="0" applyNumberFormat="1" applyFont="1" applyBorder="1" applyAlignment="1">
      <alignment horizontal="center" vertical="center"/>
    </xf>
    <xf numFmtId="0" fontId="2" fillId="0" borderId="0" xfId="0" applyFont="1" applyAlignment="1">
      <alignment vertical="center" wrapText="1"/>
    </xf>
    <xf numFmtId="0" fontId="2" fillId="0" borderId="3" xfId="0" applyFont="1" applyBorder="1" applyAlignment="1">
      <alignment vertical="center"/>
    </xf>
    <xf numFmtId="2" fontId="2" fillId="0" borderId="3" xfId="0" applyNumberFormat="1" applyFont="1" applyBorder="1" applyAlignment="1">
      <alignment horizontal="center" vertical="center"/>
    </xf>
    <xf numFmtId="0" fontId="2" fillId="0" borderId="0" xfId="0" applyFont="1" applyBorder="1" applyAlignment="1">
      <alignment vertical="center"/>
    </xf>
    <xf numFmtId="0" fontId="1" fillId="0" borderId="0" xfId="0" applyFont="1" applyBorder="1" applyAlignment="1">
      <alignment vertical="center"/>
    </xf>
    <xf numFmtId="2" fontId="1" fillId="0" borderId="0" xfId="0" applyNumberFormat="1" applyFont="1" applyBorder="1" applyAlignment="1">
      <alignment horizontal="center" vertical="center"/>
    </xf>
    <xf numFmtId="0" fontId="1" fillId="0" borderId="2" xfId="0" applyFont="1" applyBorder="1" applyAlignment="1">
      <alignment horizontal="left"/>
    </xf>
    <xf numFmtId="2" fontId="1" fillId="0" borderId="2" xfId="0" applyNumberFormat="1" applyFont="1" applyBorder="1" applyAlignment="1">
      <alignment horizontal="center" vertical="center"/>
    </xf>
    <xf numFmtId="0" fontId="2" fillId="0" borderId="3" xfId="0" applyFont="1" applyBorder="1" applyAlignment="1">
      <alignment/>
    </xf>
    <xf numFmtId="0" fontId="2" fillId="0" borderId="0" xfId="0" applyFont="1" applyBorder="1" applyAlignment="1">
      <alignment/>
    </xf>
    <xf numFmtId="0" fontId="1" fillId="0" borderId="0" xfId="0" applyFont="1" applyBorder="1" applyAlignment="1">
      <alignment horizontal="center" vertical="center" wrapText="1"/>
    </xf>
    <xf numFmtId="1" fontId="2" fillId="0" borderId="0" xfId="0" applyNumberFormat="1" applyFont="1" applyBorder="1" applyAlignment="1">
      <alignment horizontal="center" vertical="center"/>
    </xf>
    <xf numFmtId="1" fontId="2" fillId="0" borderId="3" xfId="0" applyNumberFormat="1" applyFont="1" applyBorder="1" applyAlignment="1">
      <alignment horizontal="center" vertical="center"/>
    </xf>
    <xf numFmtId="171" fontId="2" fillId="0" borderId="0" xfId="0" applyNumberFormat="1" applyFont="1" applyBorder="1" applyAlignment="1">
      <alignment horizontal="center" vertic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Border="1" applyAlignment="1">
      <alignment/>
    </xf>
    <xf numFmtId="0" fontId="2" fillId="0" borderId="2" xfId="0" applyFont="1" applyBorder="1" applyAlignment="1">
      <alignment horizontal="center"/>
    </xf>
    <xf numFmtId="1" fontId="2" fillId="0" borderId="0"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xf>
    <xf numFmtId="1" fontId="1" fillId="0" borderId="0"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left"/>
    </xf>
    <xf numFmtId="171" fontId="3" fillId="0" borderId="0" xfId="0" applyNumberFormat="1" applyFont="1" applyAlignment="1">
      <alignment horizontal="left"/>
    </xf>
    <xf numFmtId="0" fontId="2" fillId="0" borderId="0" xfId="0" applyFont="1" applyBorder="1" applyAlignment="1">
      <alignment horizontal="left"/>
    </xf>
    <xf numFmtId="171" fontId="2" fillId="0" borderId="0" xfId="0" applyNumberFormat="1" applyFont="1" applyAlignment="1">
      <alignment horizontal="center" vertical="center"/>
    </xf>
    <xf numFmtId="171" fontId="1" fillId="0" borderId="0" xfId="0" applyNumberFormat="1" applyFont="1" applyBorder="1" applyAlignment="1">
      <alignment horizontal="center" vertical="center"/>
    </xf>
    <xf numFmtId="171" fontId="2" fillId="0" borderId="3" xfId="0" applyNumberFormat="1" applyFont="1" applyBorder="1" applyAlignment="1">
      <alignment horizontal="center" vertical="center"/>
    </xf>
    <xf numFmtId="171" fontId="2" fillId="0" borderId="0" xfId="0" applyNumberFormat="1" applyFont="1" applyBorder="1" applyAlignment="1">
      <alignment vertical="center"/>
    </xf>
    <xf numFmtId="0" fontId="1" fillId="0" borderId="7" xfId="0" applyFont="1" applyBorder="1" applyAlignment="1">
      <alignment horizontal="left"/>
    </xf>
    <xf numFmtId="0" fontId="1" fillId="0" borderId="3" xfId="0" applyFont="1" applyBorder="1" applyAlignment="1">
      <alignment horizontal="center"/>
    </xf>
    <xf numFmtId="0" fontId="1" fillId="0" borderId="3" xfId="0" applyFont="1" applyBorder="1" applyAlignment="1">
      <alignment horizontal="left"/>
    </xf>
    <xf numFmtId="0" fontId="2" fillId="0" borderId="8" xfId="0" applyFont="1" applyBorder="1" applyAlignment="1">
      <alignment/>
    </xf>
    <xf numFmtId="0" fontId="2" fillId="0" borderId="9" xfId="0" applyFont="1" applyBorder="1" applyAlignment="1">
      <alignment horizontal="left"/>
    </xf>
    <xf numFmtId="3" fontId="2" fillId="2" borderId="0" xfId="0" applyNumberFormat="1" applyFont="1" applyFill="1" applyBorder="1" applyAlignment="1">
      <alignment/>
    </xf>
    <xf numFmtId="0" fontId="2" fillId="0" borderId="10" xfId="0" applyFont="1" applyBorder="1" applyAlignment="1">
      <alignment/>
    </xf>
    <xf numFmtId="0" fontId="1" fillId="0" borderId="11" xfId="0" applyFont="1" applyBorder="1" applyAlignment="1">
      <alignment horizontal="left"/>
    </xf>
    <xf numFmtId="0" fontId="1" fillId="2" borderId="2" xfId="0" applyFont="1" applyFill="1" applyBorder="1" applyAlignment="1">
      <alignment/>
    </xf>
    <xf numFmtId="0" fontId="1" fillId="0" borderId="2" xfId="0" applyFont="1" applyBorder="1" applyAlignment="1">
      <alignment/>
    </xf>
    <xf numFmtId="0" fontId="2" fillId="0" borderId="2" xfId="0" applyFont="1" applyBorder="1" applyAlignment="1">
      <alignment/>
    </xf>
    <xf numFmtId="0" fontId="2" fillId="0" borderId="12" xfId="0" applyFont="1" applyBorder="1" applyAlignment="1">
      <alignment/>
    </xf>
    <xf numFmtId="0" fontId="1" fillId="0" borderId="7" xfId="0" applyFont="1" applyBorder="1" applyAlignment="1">
      <alignment/>
    </xf>
    <xf numFmtId="0" fontId="2" fillId="2" borderId="9" xfId="0" applyFont="1" applyFill="1" applyBorder="1" applyAlignment="1">
      <alignment horizontal="left"/>
    </xf>
    <xf numFmtId="0" fontId="2" fillId="2" borderId="0" xfId="0" applyFont="1" applyFill="1" applyBorder="1" applyAlignment="1">
      <alignment horizontal="center"/>
    </xf>
    <xf numFmtId="171" fontId="2"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0" fontId="2" fillId="2" borderId="11" xfId="0" applyFont="1" applyFill="1" applyBorder="1" applyAlignment="1">
      <alignment horizontal="left"/>
    </xf>
    <xf numFmtId="0" fontId="2" fillId="2" borderId="2" xfId="0" applyFont="1" applyFill="1" applyBorder="1" applyAlignment="1">
      <alignment horizontal="center"/>
    </xf>
    <xf numFmtId="171" fontId="2" fillId="2" borderId="2" xfId="0" applyNumberFormat="1" applyFont="1" applyFill="1" applyBorder="1" applyAlignment="1">
      <alignment horizontal="center"/>
    </xf>
    <xf numFmtId="0" fontId="1" fillId="0" borderId="9" xfId="0" applyFont="1" applyBorder="1" applyAlignment="1">
      <alignment horizontal="left"/>
    </xf>
    <xf numFmtId="0" fontId="1" fillId="0" borderId="0" xfId="0" applyFont="1" applyBorder="1" applyAlignment="1">
      <alignment horizontal="center"/>
    </xf>
    <xf numFmtId="0" fontId="1" fillId="0" borderId="10" xfId="0" applyFont="1" applyBorder="1" applyAlignment="1">
      <alignment/>
    </xf>
    <xf numFmtId="0" fontId="1" fillId="0" borderId="9" xfId="0" applyFont="1" applyBorder="1" applyAlignment="1">
      <alignment/>
    </xf>
    <xf numFmtId="0" fontId="1" fillId="0" borderId="10" xfId="0" applyFont="1" applyBorder="1" applyAlignment="1">
      <alignment horizontal="center"/>
    </xf>
    <xf numFmtId="170" fontId="2" fillId="0" borderId="0" xfId="0" applyNumberFormat="1" applyFont="1" applyBorder="1" applyAlignment="1">
      <alignment horizontal="center"/>
    </xf>
    <xf numFmtId="0" fontId="2" fillId="0" borderId="11" xfId="0" applyFont="1" applyBorder="1" applyAlignment="1">
      <alignment horizontal="left"/>
    </xf>
    <xf numFmtId="170" fontId="2" fillId="0" borderId="2" xfId="0" applyNumberFormat="1" applyFont="1" applyBorder="1" applyAlignment="1">
      <alignment horizontal="center"/>
    </xf>
    <xf numFmtId="0" fontId="3" fillId="0" borderId="9" xfId="0" applyFont="1" applyBorder="1" applyAlignment="1">
      <alignment horizontal="left"/>
    </xf>
    <xf numFmtId="3" fontId="2" fillId="0" borderId="10" xfId="0" applyNumberFormat="1" applyFont="1" applyBorder="1" applyAlignment="1">
      <alignment/>
    </xf>
    <xf numFmtId="0" fontId="2" fillId="0" borderId="12" xfId="0" applyFont="1" applyBorder="1" applyAlignment="1">
      <alignment horizontal="center"/>
    </xf>
    <xf numFmtId="0" fontId="2" fillId="2" borderId="11" xfId="0" applyFont="1" applyFill="1" applyBorder="1" applyAlignment="1">
      <alignment horizontal="center"/>
    </xf>
    <xf numFmtId="3" fontId="2" fillId="0" borderId="2" xfId="0" applyNumberFormat="1"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xf>
    <xf numFmtId="168" fontId="2" fillId="2" borderId="2" xfId="0" applyNumberFormat="1" applyFont="1" applyFill="1" applyBorder="1" applyAlignment="1">
      <alignment horizontal="center"/>
    </xf>
    <xf numFmtId="0" fontId="1" fillId="0" borderId="12" xfId="0" applyFont="1" applyBorder="1" applyAlignment="1">
      <alignment horizontal="center"/>
    </xf>
    <xf numFmtId="2" fontId="2" fillId="0" borderId="0" xfId="0" applyNumberFormat="1" applyFont="1" applyBorder="1" applyAlignment="1">
      <alignment horizontal="center"/>
    </xf>
    <xf numFmtId="2" fontId="2" fillId="0" borderId="10" xfId="0" applyNumberFormat="1" applyFont="1" applyBorder="1" applyAlignment="1">
      <alignment horizontal="center"/>
    </xf>
    <xf numFmtId="171" fontId="1" fillId="0" borderId="2" xfId="0" applyNumberFormat="1" applyFont="1" applyBorder="1" applyAlignment="1">
      <alignment horizontal="center"/>
    </xf>
    <xf numFmtId="171" fontId="1" fillId="0" borderId="12" xfId="0" applyNumberFormat="1" applyFont="1" applyBorder="1" applyAlignment="1">
      <alignment horizontal="center"/>
    </xf>
    <xf numFmtId="171" fontId="1" fillId="0" borderId="3" xfId="0" applyNumberFormat="1" applyFont="1" applyBorder="1" applyAlignment="1">
      <alignment horizontal="center"/>
    </xf>
    <xf numFmtId="171" fontId="1" fillId="0" borderId="8" xfId="0" applyNumberFormat="1" applyFont="1" applyBorder="1" applyAlignment="1">
      <alignment horizontal="center"/>
    </xf>
    <xf numFmtId="171" fontId="1" fillId="0" borderId="0" xfId="0" applyNumberFormat="1" applyFont="1" applyBorder="1" applyAlignment="1">
      <alignment horizontal="center"/>
    </xf>
    <xf numFmtId="171" fontId="1" fillId="0" borderId="10" xfId="0" applyNumberFormat="1" applyFont="1" applyBorder="1" applyAlignment="1">
      <alignment horizontal="center"/>
    </xf>
    <xf numFmtId="0" fontId="2" fillId="0" borderId="9" xfId="0" applyFont="1" applyBorder="1" applyAlignment="1">
      <alignment horizontal="left" vertical="center"/>
    </xf>
    <xf numFmtId="0" fontId="2" fillId="0" borderId="9" xfId="0" applyFont="1" applyBorder="1" applyAlignment="1">
      <alignment/>
    </xf>
    <xf numFmtId="2" fontId="1" fillId="0" borderId="2" xfId="0" applyNumberFormat="1" applyFont="1" applyBorder="1" applyAlignment="1">
      <alignment horizontal="center"/>
    </xf>
    <xf numFmtId="1" fontId="1" fillId="0" borderId="10" xfId="0" applyNumberFormat="1" applyFont="1" applyBorder="1" applyAlignment="1">
      <alignment/>
    </xf>
    <xf numFmtId="170" fontId="1" fillId="0" borderId="2" xfId="0" applyNumberFormat="1" applyFont="1" applyBorder="1" applyAlignment="1">
      <alignment horizontal="center"/>
    </xf>
    <xf numFmtId="1" fontId="1" fillId="0" borderId="12" xfId="0" applyNumberFormat="1" applyFont="1" applyBorder="1" applyAlignment="1">
      <alignment/>
    </xf>
    <xf numFmtId="0" fontId="1" fillId="0" borderId="8"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xf>
    <xf numFmtId="0" fontId="1" fillId="0" borderId="2" xfId="0" applyFont="1" applyBorder="1" applyAlignment="1">
      <alignment horizontal="center"/>
    </xf>
    <xf numFmtId="0" fontId="1" fillId="0" borderId="7" xfId="0" applyFont="1" applyBorder="1" applyAlignment="1">
      <alignment/>
    </xf>
    <xf numFmtId="0" fontId="3" fillId="0" borderId="9" xfId="0" applyFont="1" applyBorder="1" applyAlignment="1">
      <alignment/>
    </xf>
    <xf numFmtId="0" fontId="3" fillId="0" borderId="9" xfId="0" applyFont="1" applyBorder="1" applyAlignment="1">
      <alignment/>
    </xf>
    <xf numFmtId="0" fontId="3" fillId="0" borderId="11" xfId="0" applyFont="1" applyBorder="1" applyAlignment="1">
      <alignment vertical="center"/>
    </xf>
    <xf numFmtId="0" fontId="1" fillId="0" borderId="0" xfId="0" applyFont="1" applyBorder="1" applyAlignment="1">
      <alignment/>
    </xf>
    <xf numFmtId="3" fontId="2" fillId="2" borderId="2" xfId="0" applyNumberFormat="1" applyFont="1" applyFill="1" applyBorder="1" applyAlignment="1">
      <alignment horizontal="center"/>
    </xf>
    <xf numFmtId="0" fontId="8" fillId="0" borderId="9" xfId="0" applyFont="1" applyBorder="1" applyAlignment="1">
      <alignment horizontal="left"/>
    </xf>
    <xf numFmtId="3" fontId="2" fillId="0" borderId="12" xfId="0" applyNumberFormat="1" applyFont="1" applyBorder="1" applyAlignment="1">
      <alignment horizontal="center"/>
    </xf>
    <xf numFmtId="1" fontId="2" fillId="0" borderId="0" xfId="0" applyNumberFormat="1" applyFont="1" applyBorder="1" applyAlignment="1">
      <alignment horizontal="center"/>
    </xf>
    <xf numFmtId="1" fontId="2" fillId="0" borderId="0" xfId="0" applyNumberFormat="1" applyFont="1" applyBorder="1" applyAlignment="1">
      <alignment/>
    </xf>
    <xf numFmtId="1" fontId="1" fillId="0" borderId="2" xfId="0" applyNumberFormat="1" applyFont="1" applyBorder="1" applyAlignment="1">
      <alignment/>
    </xf>
    <xf numFmtId="0" fontId="2" fillId="0" borderId="9" xfId="0" applyFont="1" applyBorder="1" applyAlignment="1">
      <alignment vertical="center"/>
    </xf>
    <xf numFmtId="1" fontId="1" fillId="0" borderId="0" xfId="0" applyNumberFormat="1" applyFont="1" applyBorder="1" applyAlignment="1">
      <alignment/>
    </xf>
    <xf numFmtId="0" fontId="4" fillId="0" borderId="0" xfId="0" applyFont="1" applyBorder="1" applyAlignment="1">
      <alignment/>
    </xf>
    <xf numFmtId="0" fontId="3" fillId="0" borderId="0" xfId="0" applyFont="1" applyBorder="1" applyAlignment="1">
      <alignment horizontal="center"/>
    </xf>
    <xf numFmtId="2" fontId="1" fillId="0" borderId="0" xfId="0" applyNumberFormat="1" applyFont="1" applyBorder="1" applyAlignment="1">
      <alignment horizontal="center"/>
    </xf>
    <xf numFmtId="2" fontId="2" fillId="2" borderId="2" xfId="0" applyNumberFormat="1" applyFont="1" applyFill="1" applyBorder="1" applyAlignment="1">
      <alignment horizontal="center"/>
    </xf>
    <xf numFmtId="0" fontId="2" fillId="2" borderId="0" xfId="0" applyFont="1" applyFill="1" applyBorder="1" applyAlignment="1">
      <alignment/>
    </xf>
    <xf numFmtId="0" fontId="2" fillId="0" borderId="2" xfId="0" applyFont="1" applyFill="1" applyBorder="1" applyAlignment="1">
      <alignment horizontal="center"/>
    </xf>
    <xf numFmtId="1" fontId="2" fillId="0" borderId="10" xfId="0" applyNumberFormat="1" applyFont="1" applyBorder="1" applyAlignment="1">
      <alignment/>
    </xf>
    <xf numFmtId="166" fontId="2" fillId="0" borderId="0" xfId="0" applyNumberFormat="1" applyFont="1" applyBorder="1" applyAlignment="1">
      <alignment horizontal="center"/>
    </xf>
    <xf numFmtId="170" fontId="2" fillId="0" borderId="0" xfId="0" applyNumberFormat="1" applyFont="1" applyBorder="1" applyAlignment="1">
      <alignment horizontal="center" vertical="center"/>
    </xf>
    <xf numFmtId="0" fontId="0" fillId="0" borderId="13" xfId="0" applyBorder="1" applyAlignment="1">
      <alignment/>
    </xf>
    <xf numFmtId="0" fontId="0" fillId="0" borderId="7" xfId="0" applyBorder="1" applyAlignment="1">
      <alignment/>
    </xf>
    <xf numFmtId="0" fontId="0" fillId="0" borderId="5" xfId="0" applyBorder="1" applyAlignment="1">
      <alignment/>
    </xf>
    <xf numFmtId="0" fontId="0" fillId="0" borderId="14" xfId="0" applyBorder="1" applyAlignment="1">
      <alignment/>
    </xf>
    <xf numFmtId="0" fontId="2" fillId="0" borderId="0" xfId="0" applyFont="1" applyBorder="1" applyAlignment="1">
      <alignment horizontal="right"/>
    </xf>
    <xf numFmtId="2" fontId="2" fillId="0" borderId="0" xfId="0" applyNumberFormat="1" applyFont="1" applyBorder="1" applyAlignment="1">
      <alignment/>
    </xf>
    <xf numFmtId="0" fontId="1" fillId="0" borderId="1" xfId="0" applyFont="1" applyBorder="1" applyAlignment="1">
      <alignment vertical="center"/>
    </xf>
    <xf numFmtId="3" fontId="2" fillId="2" borderId="0" xfId="0" applyNumberFormat="1" applyFont="1" applyFill="1" applyBorder="1" applyAlignment="1">
      <alignment horizontal="right"/>
    </xf>
    <xf numFmtId="0" fontId="1" fillId="0" borderId="0" xfId="0" applyFont="1" applyBorder="1" applyAlignment="1">
      <alignment horizontal="left"/>
    </xf>
    <xf numFmtId="171" fontId="2" fillId="0" borderId="0" xfId="0" applyNumberFormat="1" applyFont="1" applyBorder="1" applyAlignment="1">
      <alignment horizontal="center"/>
    </xf>
    <xf numFmtId="171" fontId="2" fillId="0" borderId="10" xfId="0" applyNumberFormat="1" applyFont="1" applyBorder="1" applyAlignment="1">
      <alignment horizontal="center"/>
    </xf>
    <xf numFmtId="191" fontId="2" fillId="0" borderId="0" xfId="21" applyNumberFormat="1" applyFont="1" applyBorder="1" applyAlignment="1">
      <alignment horizontal="center"/>
    </xf>
    <xf numFmtId="1" fontId="2" fillId="0" borderId="10" xfId="0" applyNumberFormat="1" applyFont="1" applyBorder="1" applyAlignment="1">
      <alignment horizontal="center"/>
    </xf>
    <xf numFmtId="0" fontId="1" fillId="0" borderId="11" xfId="0" applyFont="1" applyBorder="1" applyAlignment="1">
      <alignment/>
    </xf>
    <xf numFmtId="1" fontId="1" fillId="0" borderId="0" xfId="0" applyNumberFormat="1" applyFont="1" applyAlignment="1">
      <alignment horizontal="center"/>
    </xf>
    <xf numFmtId="192" fontId="2" fillId="0" borderId="0" xfId="0" applyNumberFormat="1" applyFont="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 fontId="1" fillId="0" borderId="10" xfId="0" applyNumberFormat="1" applyFont="1" applyBorder="1" applyAlignment="1">
      <alignment horizontal="center" vertical="center"/>
    </xf>
    <xf numFmtId="171" fontId="2" fillId="0" borderId="0" xfId="0" applyNumberFormat="1" applyFont="1" applyAlignment="1">
      <alignment horizontal="center" vertical="center" wrapText="1"/>
    </xf>
    <xf numFmtId="171" fontId="2" fillId="0" borderId="0" xfId="0" applyNumberFormat="1" applyFont="1" applyAlignment="1">
      <alignment horizontal="center"/>
    </xf>
    <xf numFmtId="0" fontId="3" fillId="0" borderId="11" xfId="0" applyFont="1" applyBorder="1" applyAlignment="1">
      <alignment horizontal="left"/>
    </xf>
    <xf numFmtId="0" fontId="3" fillId="0" borderId="7" xfId="0" applyFont="1" applyBorder="1" applyAlignment="1">
      <alignment/>
    </xf>
    <xf numFmtId="0" fontId="3" fillId="0" borderId="7" xfId="0" applyFont="1" applyBorder="1" applyAlignment="1">
      <alignment horizontal="left"/>
    </xf>
    <xf numFmtId="0" fontId="2" fillId="0" borderId="15" xfId="0" applyFont="1" applyBorder="1" applyAlignment="1">
      <alignment horizontal="center" vertical="center"/>
    </xf>
    <xf numFmtId="166" fontId="2" fillId="0" borderId="0" xfId="0" applyNumberFormat="1" applyFont="1" applyBorder="1" applyAlignment="1">
      <alignment horizontal="center" vertical="center"/>
    </xf>
    <xf numFmtId="0" fontId="0" fillId="0" borderId="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70" fontId="0" fillId="0" borderId="4" xfId="0" applyNumberFormat="1" applyBorder="1" applyAlignment="1">
      <alignment horizontal="center"/>
    </xf>
    <xf numFmtId="170" fontId="0" fillId="0" borderId="16" xfId="0" applyNumberFormat="1" applyBorder="1" applyAlignment="1">
      <alignment horizontal="center"/>
    </xf>
    <xf numFmtId="170" fontId="0" fillId="0" borderId="17" xfId="0" applyNumberFormat="1" applyBorder="1" applyAlignment="1">
      <alignment horizontal="center"/>
    </xf>
    <xf numFmtId="170" fontId="0" fillId="0" borderId="14" xfId="0" applyNumberFormat="1" applyBorder="1" applyAlignment="1">
      <alignment horizontal="center"/>
    </xf>
    <xf numFmtId="170" fontId="0" fillId="0" borderId="18" xfId="0" applyNumberFormat="1" applyBorder="1" applyAlignment="1">
      <alignment horizontal="center"/>
    </xf>
    <xf numFmtId="170" fontId="0" fillId="0" borderId="19" xfId="0" applyNumberFormat="1" applyBorder="1" applyAlignment="1">
      <alignment horizontal="center"/>
    </xf>
    <xf numFmtId="0" fontId="2" fillId="0" borderId="0" xfId="0" applyFont="1" applyBorder="1" applyAlignment="1">
      <alignment horizontal="center" vertical="center" wrapText="1"/>
    </xf>
    <xf numFmtId="170" fontId="2" fillId="0" borderId="10" xfId="0" applyNumberFormat="1" applyFont="1" applyBorder="1" applyAlignment="1">
      <alignment horizontal="center"/>
    </xf>
    <xf numFmtId="10" fontId="2" fillId="0" borderId="0" xfId="21" applyNumberFormat="1" applyFont="1" applyBorder="1" applyAlignment="1">
      <alignment horizont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alignment horizontal="center" readingOrder="0"/>
      <border/>
    </dxf>
    <dxf>
      <alignment horizontal="center" readingOrder="1"/>
      <border/>
    </dxf>
    <dxf>
      <numFmt numFmtId="170" formatCode="0.00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Eq Name">
      <sharedItems containsMixedTypes="0" count="35">
        <s v="Aerial Lifts"/>
        <s v="Air Compressors"/>
        <s v="Bore/Drill Rigs"/>
        <s v="Cement and Mortar Mixers"/>
        <s v="Concrete/Industrial Saws"/>
        <s v="Cranes"/>
        <s v="Crawler Tractors"/>
        <s v="Crushing/Proc. Equipment"/>
        <s v="Dumpers/Tenders"/>
        <s v="Excavators"/>
        <s v="Forklifts"/>
        <s v="Generator Sets"/>
        <s v="Graders"/>
        <s v="Off-Highway Tractors"/>
        <s v="Off-Highway Trucks"/>
        <s v="Other Construction Equipment"/>
        <s v="Other General Industrial Equipment"/>
        <s v="Other Material Handling Equipment"/>
        <s v="Pavers"/>
        <s v="Paving Equipment"/>
        <s v="Plate Compactors"/>
        <s v="Pressure Washers"/>
        <s v="Pumps"/>
        <s v="Rollers"/>
        <s v="Rough Terrain Forklifts"/>
        <s v="Rubber Tired Dozers"/>
        <s v="Rubber Tired Loaders"/>
        <s v="Scrapers"/>
        <s v="Signal Boards"/>
        <s v="Skid Steer Loaders"/>
        <s v="Surfacing Equipment"/>
        <s v="Sweepers/Scrubbers"/>
        <s v="Tractors/Loaders/Backhoes"/>
        <s v="Trenchers"/>
        <s v="Welders"/>
      </sharedItems>
    </cacheField>
    <cacheField name="Hp">
      <sharedItems containsMixedTypes="1" containsNumber="1" containsInteger="1" count="11">
        <n v="15"/>
        <n v="25"/>
        <n v="50"/>
        <n v="120"/>
        <n v="500"/>
        <n v="750"/>
        <s v="Composite"/>
        <n v="175"/>
        <n v="250"/>
        <n v="1000"/>
        <n v="9999"/>
      </sharedItems>
    </cacheField>
    <cacheField name="Pollutant">
      <sharedItems containsMixedTypes="0" count="5">
        <s v="VOC"/>
        <s v="CO"/>
        <s v="NOx"/>
        <s v="SOx"/>
        <s v="PM10"/>
      </sharedItems>
    </cacheField>
    <cacheField name="Ems Factor #/hr">
      <sharedItems containsSemiMixedTypes="0" containsString="0" containsMixedTypes="0" containsNumber="1"/>
    </cacheField>
    <cacheField name="Year">
      <sharedItems containsSemiMixedTypes="0" containsString="0" containsMixedTypes="0" containsNumber="1" containsInteger="1" count="15">
        <n v="2006"/>
        <n v="2007"/>
        <n v="2008"/>
        <n v="2009"/>
        <n v="2010"/>
        <n v="2011"/>
        <n v="2012"/>
        <n v="2013"/>
        <n v="2014"/>
        <n v="2015"/>
        <n v="2016"/>
        <n v="2017"/>
        <n v="2018"/>
        <n v="2019"/>
        <n v="2020"/>
      </sharedItems>
    </cacheField>
    <cacheField name="Composite">
      <sharedItems containsMixedTypes="0" count="2">
        <s v="No"/>
        <s v="Ye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3:G40" firstHeaderRow="1" firstDataRow="3" firstDataCol="2"/>
  <pivotFields count="6">
    <pivotField axis="axisRow" compact="0" outline="0" subtotalTop="0" showAll="0" defaultSubtota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s>
    </pivotField>
    <pivotField axis="axisRow" compact="0" outline="0" subtotalTop="0" showAll="0">
      <items count="12">
        <item h="1" x="0"/>
        <item h="1" x="1"/>
        <item h="1" x="2"/>
        <item h="1" x="3"/>
        <item h="1" x="7"/>
        <item h="1" x="8"/>
        <item h="1" x="4"/>
        <item h="1" x="5"/>
        <item h="1" x="9"/>
        <item h="1" x="10"/>
        <item x="6"/>
        <item t="default"/>
      </items>
    </pivotField>
    <pivotField axis="axisCol" compact="0" outline="0" subtotalTop="0" showAll="0">
      <items count="6">
        <item x="1"/>
        <item x="2"/>
        <item x="4"/>
        <item x="3"/>
        <item x="0"/>
        <item t="default"/>
      </items>
    </pivotField>
    <pivotField dataField="1" compact="0" outline="0" subtotalTop="0" showAll="0"/>
    <pivotField axis="axisCol" compact="0" outline="0" subtotalTop="0" showAll="0" defaultSubtotal="0">
      <items count="15">
        <item h="1" x="0"/>
        <item h="1" x="1"/>
        <item h="1" x="2"/>
        <item x="3"/>
        <item h="1" x="4"/>
        <item h="1" x="5"/>
        <item h="1" x="6"/>
        <item h="1" x="7"/>
        <item h="1" x="8"/>
        <item h="1" x="9"/>
        <item h="1" x="10"/>
        <item h="1" x="11"/>
        <item h="1" x="12"/>
        <item h="1" x="13"/>
        <item h="1" x="14"/>
      </items>
    </pivotField>
    <pivotField compact="0" outline="0" subtotalTop="0" showAll="0"/>
  </pivotFields>
  <rowFields count="2">
    <field x="0"/>
    <field x="1"/>
  </rowFields>
  <rowItems count="35">
    <i>
      <x/>
      <x v="10"/>
    </i>
    <i>
      <x v="1"/>
      <x v="10"/>
    </i>
    <i>
      <x v="2"/>
      <x v="10"/>
    </i>
    <i>
      <x v="3"/>
      <x v="10"/>
    </i>
    <i>
      <x v="4"/>
      <x v="10"/>
    </i>
    <i>
      <x v="5"/>
      <x v="10"/>
    </i>
    <i>
      <x v="6"/>
      <x v="10"/>
    </i>
    <i>
      <x v="7"/>
      <x v="10"/>
    </i>
    <i>
      <x v="8"/>
      <x v="10"/>
    </i>
    <i>
      <x v="9"/>
      <x v="10"/>
    </i>
    <i>
      <x v="10"/>
      <x v="10"/>
    </i>
    <i>
      <x v="11"/>
      <x v="10"/>
    </i>
    <i>
      <x v="12"/>
      <x v="10"/>
    </i>
    <i>
      <x v="13"/>
      <x v="10"/>
    </i>
    <i>
      <x v="14"/>
      <x v="10"/>
    </i>
    <i>
      <x v="15"/>
      <x v="10"/>
    </i>
    <i>
      <x v="16"/>
      <x v="10"/>
    </i>
    <i>
      <x v="17"/>
      <x v="10"/>
    </i>
    <i>
      <x v="18"/>
      <x v="10"/>
    </i>
    <i>
      <x v="19"/>
      <x v="10"/>
    </i>
    <i>
      <x v="20"/>
      <x v="10"/>
    </i>
    <i>
      <x v="21"/>
      <x v="10"/>
    </i>
    <i>
      <x v="22"/>
      <x v="10"/>
    </i>
    <i>
      <x v="23"/>
      <x v="10"/>
    </i>
    <i>
      <x v="24"/>
      <x v="10"/>
    </i>
    <i>
      <x v="25"/>
      <x v="10"/>
    </i>
    <i>
      <x v="26"/>
      <x v="10"/>
    </i>
    <i>
      <x v="27"/>
      <x v="10"/>
    </i>
    <i>
      <x v="28"/>
      <x v="10"/>
    </i>
    <i>
      <x v="29"/>
      <x v="10"/>
    </i>
    <i>
      <x v="30"/>
      <x v="10"/>
    </i>
    <i>
      <x v="31"/>
      <x v="10"/>
    </i>
    <i>
      <x v="32"/>
      <x v="10"/>
    </i>
    <i>
      <x v="33"/>
      <x v="10"/>
    </i>
    <i>
      <x v="34"/>
      <x v="10"/>
    </i>
  </rowItems>
  <colFields count="2">
    <field x="4"/>
    <field x="2"/>
  </colFields>
  <colItems count="5">
    <i>
      <x v="3"/>
      <x/>
    </i>
    <i r="1">
      <x v="1"/>
    </i>
    <i r="1">
      <x v="2"/>
    </i>
    <i r="1">
      <x v="3"/>
    </i>
    <i r="1">
      <x v="4"/>
    </i>
  </colItems>
  <dataFields count="1">
    <dataField name="Sum of Ems Factor #/hr" fld="3" baseField="0" baseItem="0" numFmtId="170"/>
  </dataFields>
  <formats count="17">
    <format dxfId="0">
      <pivotArea outline="0" fieldPosition="0"/>
    </format>
    <format dxfId="1">
      <pivotArea outline="0" fieldPosition="0" dataOnly="0" labelOnly="1">
        <references count="2">
          <reference field="2" count="0"/>
          <reference field="4" count="1">
            <x v="0"/>
          </reference>
        </references>
      </pivotArea>
    </format>
    <format dxfId="1">
      <pivotArea outline="0" fieldPosition="0" dataOnly="0" labelOnly="1">
        <references count="2">
          <reference field="2" count="0"/>
          <reference field="4" count="1">
            <x v="1"/>
          </reference>
        </references>
      </pivotArea>
    </format>
    <format dxfId="1">
      <pivotArea outline="0" fieldPosition="0" dataOnly="0" labelOnly="1">
        <references count="2">
          <reference field="2" count="0"/>
          <reference field="4" count="1">
            <x v="2"/>
          </reference>
        </references>
      </pivotArea>
    </format>
    <format dxfId="1">
      <pivotArea outline="0" fieldPosition="0" dataOnly="0" labelOnly="1">
        <references count="2">
          <reference field="2" count="0"/>
          <reference field="4" count="1">
            <x v="3"/>
          </reference>
        </references>
      </pivotArea>
    </format>
    <format dxfId="1">
      <pivotArea outline="0" fieldPosition="0" dataOnly="0" labelOnly="1">
        <references count="2">
          <reference field="2" count="0"/>
          <reference field="4" count="1">
            <x v="4"/>
          </reference>
        </references>
      </pivotArea>
    </format>
    <format dxfId="1">
      <pivotArea outline="0" fieldPosition="0" dataOnly="0" labelOnly="1">
        <references count="2">
          <reference field="2" count="0"/>
          <reference field="4" count="1">
            <x v="5"/>
          </reference>
        </references>
      </pivotArea>
    </format>
    <format dxfId="1">
      <pivotArea outline="0" fieldPosition="0" dataOnly="0" labelOnly="1">
        <references count="2">
          <reference field="2" count="0"/>
          <reference field="4" count="1">
            <x v="6"/>
          </reference>
        </references>
      </pivotArea>
    </format>
    <format dxfId="1">
      <pivotArea outline="0" fieldPosition="0" dataOnly="0" labelOnly="1">
        <references count="2">
          <reference field="2" count="0"/>
          <reference field="4" count="1">
            <x v="7"/>
          </reference>
        </references>
      </pivotArea>
    </format>
    <format dxfId="1">
      <pivotArea outline="0" fieldPosition="0" dataOnly="0" labelOnly="1">
        <references count="2">
          <reference field="2" count="0"/>
          <reference field="4" count="1">
            <x v="8"/>
          </reference>
        </references>
      </pivotArea>
    </format>
    <format dxfId="1">
      <pivotArea outline="0" fieldPosition="0" dataOnly="0" labelOnly="1">
        <references count="2">
          <reference field="2" count="0"/>
          <reference field="4" count="1">
            <x v="9"/>
          </reference>
        </references>
      </pivotArea>
    </format>
    <format dxfId="1">
      <pivotArea outline="0" fieldPosition="0" dataOnly="0" labelOnly="1">
        <references count="2">
          <reference field="2" count="0"/>
          <reference field="4" count="1">
            <x v="10"/>
          </reference>
        </references>
      </pivotArea>
    </format>
    <format dxfId="1">
      <pivotArea outline="0" fieldPosition="0" dataOnly="0" labelOnly="1">
        <references count="2">
          <reference field="2" count="0"/>
          <reference field="4" count="1">
            <x v="11"/>
          </reference>
        </references>
      </pivotArea>
    </format>
    <format dxfId="1">
      <pivotArea outline="0" fieldPosition="0" dataOnly="0" labelOnly="1">
        <references count="2">
          <reference field="2" count="0"/>
          <reference field="4" count="1">
            <x v="12"/>
          </reference>
        </references>
      </pivotArea>
    </format>
    <format dxfId="1">
      <pivotArea outline="0" fieldPosition="0" dataOnly="0" labelOnly="1">
        <references count="2">
          <reference field="2" count="0"/>
          <reference field="4" count="1">
            <x v="13"/>
          </reference>
        </references>
      </pivotArea>
    </format>
    <format dxfId="1">
      <pivotArea outline="0" fieldPosition="0" dataOnly="0" labelOnly="1">
        <references count="2">
          <reference field="2" count="0"/>
          <reference field="4" count="1">
            <x v="14"/>
          </reference>
        </references>
      </pivotArea>
    </format>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E20"/>
  <sheetViews>
    <sheetView showGridLines="0" tabSelected="1" view="pageBreakPreview" zoomScaleSheetLayoutView="100" workbookViewId="0" topLeftCell="A1">
      <selection activeCell="D16" sqref="D16"/>
    </sheetView>
  </sheetViews>
  <sheetFormatPr defaultColWidth="9.140625" defaultRowHeight="12.75"/>
  <cols>
    <col min="1" max="1" width="29.140625" style="14" customWidth="1"/>
    <col min="2" max="16384" width="9.140625" style="15" customWidth="1"/>
  </cols>
  <sheetData>
    <row r="1" spans="1:4" ht="12.75">
      <c r="A1" s="16" t="s">
        <v>58</v>
      </c>
      <c r="B1" s="17"/>
      <c r="C1" s="17"/>
      <c r="D1" s="17"/>
    </row>
    <row r="2" spans="1:5" ht="12.75">
      <c r="A2" s="18"/>
      <c r="B2" s="19" t="s">
        <v>4</v>
      </c>
      <c r="C2" s="19" t="s">
        <v>59</v>
      </c>
      <c r="D2" s="19" t="s">
        <v>60</v>
      </c>
      <c r="E2" s="19" t="s">
        <v>223</v>
      </c>
    </row>
    <row r="3" spans="1:5" ht="12.75">
      <c r="A3" s="14" t="s">
        <v>61</v>
      </c>
      <c r="B3" s="52">
        <f>'2 Acre Equip_Phase'!F8</f>
        <v>25.094170072721433</v>
      </c>
      <c r="C3" s="52">
        <f>'2 Acre Equip_Phase'!G8</f>
        <v>47.94696741664356</v>
      </c>
      <c r="D3" s="52">
        <f>'2 Acre Equip_Phase'!H8</f>
        <v>3.3272424813334265</v>
      </c>
      <c r="E3" s="52">
        <f>'2 Acre Equip_Phase'!I8</f>
        <v>2.7486630828267526</v>
      </c>
    </row>
    <row r="4" spans="1:5" ht="12.75">
      <c r="A4" s="14" t="s">
        <v>62</v>
      </c>
      <c r="B4" s="52">
        <f>'2 Acre Equip_Phase'!F20</f>
        <v>19.094051659544462</v>
      </c>
      <c r="C4" s="52">
        <f>'2 Acre Equip_Phase'!G20</f>
        <v>40.624276623183675</v>
      </c>
      <c r="D4" s="52">
        <f>'2 Acre Equip_Phase'!H20</f>
        <v>5.084147415458433</v>
      </c>
      <c r="E4" s="52">
        <f>'2 Acre Equip_Phase'!I20</f>
        <v>2.5332156222217583</v>
      </c>
    </row>
    <row r="5" spans="1:5" ht="12.75">
      <c r="A5" s="14" t="s">
        <v>63</v>
      </c>
      <c r="B5" s="52">
        <f>'2 Acre Equip_Phase'!F32</f>
        <v>22.978953678637374</v>
      </c>
      <c r="C5" s="52">
        <f>'2 Acre Equip_Phase'!G32</f>
        <v>48.0437662562393</v>
      </c>
      <c r="D5" s="52">
        <f>'2 Acre Equip_Phase'!H32</f>
        <v>3.51223650765696</v>
      </c>
      <c r="E5" s="52">
        <f>'2 Acre Equip_Phase'!I32</f>
        <v>2.535457587044404</v>
      </c>
    </row>
    <row r="6" spans="1:5" ht="12.75">
      <c r="A6" s="14" t="s">
        <v>64</v>
      </c>
      <c r="B6" s="52">
        <f>'2 Acre Equip_Phase'!F46</f>
        <v>10.270000000000001</v>
      </c>
      <c r="C6" s="52">
        <f>'2 Acre Equip_Phase'!G46</f>
        <v>23.28</v>
      </c>
      <c r="D6" s="52">
        <f>'2 Acre Equip_Phase'!H46</f>
        <v>1.31</v>
      </c>
      <c r="E6" s="52">
        <f>'2 Acre Equip_Phase'!I46</f>
        <v>1.2052</v>
      </c>
    </row>
    <row r="7" spans="1:5" ht="12.75">
      <c r="A7" s="14" t="s">
        <v>65</v>
      </c>
      <c r="B7" s="52">
        <f>'2 Acre Equip_Phase'!F62</f>
        <v>16.98</v>
      </c>
      <c r="C7" s="52">
        <f>'2 Acre Equip_Phase'!G62</f>
        <v>32.199999999999996</v>
      </c>
      <c r="D7" s="52">
        <f>'2 Acre Equip_Phase'!H62</f>
        <v>2.3112</v>
      </c>
      <c r="E7" s="52">
        <f>'2 Acre Equip_Phase'!I62</f>
        <v>2.126304</v>
      </c>
    </row>
    <row r="8" spans="1:5" ht="12.75">
      <c r="A8" s="7" t="s">
        <v>75</v>
      </c>
      <c r="B8" s="44">
        <v>226</v>
      </c>
      <c r="C8" s="44">
        <v>147</v>
      </c>
      <c r="D8" s="44">
        <v>6</v>
      </c>
      <c r="E8" s="15">
        <v>4</v>
      </c>
    </row>
    <row r="9" spans="1:5" ht="12.75">
      <c r="A9" s="21" t="s">
        <v>13</v>
      </c>
      <c r="B9" s="22" t="str">
        <f>IF(OR(F10="YES",F21="YES",F33="YES",F47="YES",F6="YES"),"YES","NO")</f>
        <v>NO</v>
      </c>
      <c r="C9" s="22" t="str">
        <f>IF(OR(G10="YES",G21="YES",G33="YES",G47="YES",G6="YES"),"YES","NO")</f>
        <v>NO</v>
      </c>
      <c r="D9" s="22" t="str">
        <f>IF(OR(H10="YES",H21="YES",H33="YES",H47="YES",H6="YES"),"YES","NO")</f>
        <v>NO</v>
      </c>
      <c r="E9" s="22" t="str">
        <f>IF(OR(I10="YES",I21="YES",I33="YES",I47="YES",I6="YES"),"YES","NO")</f>
        <v>NO</v>
      </c>
    </row>
    <row r="10" ht="12.75">
      <c r="A10" s="46" t="s">
        <v>232</v>
      </c>
    </row>
    <row r="11" ht="12.75">
      <c r="A11" s="46" t="s">
        <v>112</v>
      </c>
    </row>
    <row r="12" ht="12.75">
      <c r="A12" s="15"/>
    </row>
    <row r="13" ht="12.75">
      <c r="A13" s="15"/>
    </row>
    <row r="14" ht="12.75">
      <c r="A14" s="15"/>
    </row>
    <row r="15" ht="12.75">
      <c r="A15" s="15"/>
    </row>
    <row r="16" ht="12.75">
      <c r="A16" s="15"/>
    </row>
    <row r="17" ht="12.75">
      <c r="A17" s="15"/>
    </row>
    <row r="18" ht="12.75">
      <c r="A18" s="15"/>
    </row>
    <row r="19" ht="12.75">
      <c r="A19" s="15"/>
    </row>
    <row r="20" ht="12.75">
      <c r="A20" s="15"/>
    </row>
  </sheetData>
  <printOptions/>
  <pageMargins left="0.75" right="0.75" top="1" bottom="1" header="0.5" footer="0.5"/>
  <pageSetup horizontalDpi="600" verticalDpi="600" orientation="portrait" r:id="rId1"/>
  <headerFooter alignWithMargins="0">
    <oddHeader xml:space="preserve">&amp;C&amp;"Times New Roman,Bold"&amp;12Summary of Two Acre Site Example Results By Phase&amp;"Arial,Regular"&amp;10 </oddHeader>
    <oddFooter>&amp;C&amp;"Times New Roman,Regular"B-&amp;P</oddFooter>
  </headerFooter>
</worksheet>
</file>

<file path=xl/worksheets/sheet2.xml><?xml version="1.0" encoding="utf-8"?>
<worksheet xmlns="http://schemas.openxmlformats.org/spreadsheetml/2006/main" xmlns:r="http://schemas.openxmlformats.org/officeDocument/2006/relationships">
  <sheetPr codeName="Sheet10"/>
  <dimension ref="A1:P65"/>
  <sheetViews>
    <sheetView showGridLines="0" view="pageBreakPreview" zoomScale="75" zoomScaleSheetLayoutView="75" workbookViewId="0" topLeftCell="A1">
      <selection activeCell="A1" sqref="A1"/>
    </sheetView>
  </sheetViews>
  <sheetFormatPr defaultColWidth="9.140625" defaultRowHeight="12.75"/>
  <cols>
    <col min="1" max="1" width="23.140625" style="17" customWidth="1"/>
    <col min="2" max="2" width="11.00390625" style="17" customWidth="1"/>
    <col min="3" max="4" width="8.7109375" style="17" customWidth="1"/>
    <col min="5" max="5" width="11.00390625" style="17" customWidth="1"/>
    <col min="6" max="8" width="8.7109375" style="17" customWidth="1"/>
    <col min="9" max="9" width="9.00390625" style="15" customWidth="1"/>
    <col min="10" max="11" width="14.28125" style="17" customWidth="1"/>
    <col min="12" max="12" width="11.421875" style="17" customWidth="1"/>
    <col min="13" max="15" width="11.140625" style="17" customWidth="1"/>
    <col min="16" max="16384" width="9.140625" style="17" customWidth="1"/>
  </cols>
  <sheetData>
    <row r="1" spans="1:15" ht="12.75">
      <c r="A1" s="16" t="s">
        <v>215</v>
      </c>
      <c r="B1" s="16"/>
      <c r="C1" s="16"/>
      <c r="D1" s="16"/>
      <c r="E1" s="16"/>
      <c r="M1" s="171" t="s">
        <v>227</v>
      </c>
      <c r="N1" s="172"/>
      <c r="O1" s="173"/>
    </row>
    <row r="2" spans="1:15" s="23" customFormat="1" ht="25.5">
      <c r="A2" s="18" t="s">
        <v>128</v>
      </c>
      <c r="B2" s="19" t="s">
        <v>129</v>
      </c>
      <c r="C2" s="19" t="s">
        <v>71</v>
      </c>
      <c r="D2" s="19" t="s">
        <v>72</v>
      </c>
      <c r="E2" s="19" t="s">
        <v>73</v>
      </c>
      <c r="F2" s="19" t="s">
        <v>4</v>
      </c>
      <c r="G2" s="19" t="s">
        <v>59</v>
      </c>
      <c r="H2" s="19" t="s">
        <v>60</v>
      </c>
      <c r="I2" s="19" t="s">
        <v>223</v>
      </c>
      <c r="J2" s="19" t="s">
        <v>66</v>
      </c>
      <c r="K2" s="19" t="s">
        <v>67</v>
      </c>
      <c r="M2" s="149" t="s">
        <v>263</v>
      </c>
      <c r="N2" s="168" t="s">
        <v>264</v>
      </c>
      <c r="O2" s="150" t="s">
        <v>224</v>
      </c>
    </row>
    <row r="3" spans="1:15" ht="12.75">
      <c r="A3" s="24" t="s">
        <v>84</v>
      </c>
      <c r="B3" s="35">
        <f>'Demo '!$B$7</f>
        <v>1</v>
      </c>
      <c r="C3" s="54">
        <f>'Demo '!$C$7</f>
        <v>8</v>
      </c>
      <c r="D3" s="36"/>
      <c r="E3" s="36"/>
      <c r="F3" s="25">
        <f>'Demo '!B48</f>
        <v>3.4722326595226294</v>
      </c>
      <c r="G3" s="25">
        <f>'Demo '!C48</f>
        <v>5.524682993057899</v>
      </c>
      <c r="H3" s="25">
        <f>SUM(J3:K3)</f>
        <v>0.46460904487973065</v>
      </c>
      <c r="I3" s="20">
        <f>J3*$M$3+K3*$O$3</f>
        <v>0.4274403212893522</v>
      </c>
      <c r="J3" s="25">
        <f>'Demo '!D48</f>
        <v>0.46460904487973065</v>
      </c>
      <c r="K3" s="24"/>
      <c r="M3" s="157">
        <v>0.92</v>
      </c>
      <c r="N3" s="157">
        <v>0.964</v>
      </c>
      <c r="O3" s="157">
        <v>0.21</v>
      </c>
    </row>
    <row r="4" spans="1:12" ht="12.75">
      <c r="A4" s="32" t="s">
        <v>96</v>
      </c>
      <c r="B4" s="34">
        <f>'Demo '!$B$8</f>
        <v>1</v>
      </c>
      <c r="C4" s="36">
        <f>'Demo '!$C$8</f>
        <v>8</v>
      </c>
      <c r="D4" s="36"/>
      <c r="E4" s="36"/>
      <c r="F4" s="20">
        <f>'Demo '!B49</f>
        <v>12.015919240802516</v>
      </c>
      <c r="G4" s="20">
        <f>'Demo '!C49</f>
        <v>25.003239262662035</v>
      </c>
      <c r="H4" s="20">
        <f>SUM(J4:K4)</f>
        <v>1.2974037875396116</v>
      </c>
      <c r="I4" s="20">
        <f>J4*$M$3+K4*$O$3</f>
        <v>1.0374114845364426</v>
      </c>
      <c r="J4" s="20">
        <f>'Demo '!D49</f>
        <v>1.0774037875396116</v>
      </c>
      <c r="K4" s="20">
        <f>'Demo '!D59</f>
        <v>0.22</v>
      </c>
      <c r="L4" s="52"/>
    </row>
    <row r="5" spans="1:14" ht="12.75">
      <c r="A5" s="32" t="s">
        <v>102</v>
      </c>
      <c r="B5" s="34">
        <f>'Demo '!$B$9</f>
        <v>3</v>
      </c>
      <c r="C5" s="36">
        <f>'Demo '!$C$9</f>
        <v>8</v>
      </c>
      <c r="D5" s="36"/>
      <c r="E5" s="36"/>
      <c r="F5" s="20">
        <f>'Demo '!B50</f>
        <v>9.582937915574455</v>
      </c>
      <c r="G5" s="20">
        <f>'Demo '!C50</f>
        <v>17.343722528499868</v>
      </c>
      <c r="H5" s="20">
        <f>SUM(J5:K5)</f>
        <v>1.56163735356898</v>
      </c>
      <c r="I5" s="20">
        <f>J5*$M$3+K5*$O$3</f>
        <v>1.2805063652834616</v>
      </c>
      <c r="J5" s="20">
        <f>'Demo '!D50</f>
        <v>1.34163735356898</v>
      </c>
      <c r="K5" s="20">
        <f>'Demo '!D60</f>
        <v>0.22</v>
      </c>
      <c r="L5" s="52"/>
      <c r="M5" s="52"/>
      <c r="N5" s="52"/>
    </row>
    <row r="6" spans="1:16" ht="12.75">
      <c r="A6" s="26" t="s">
        <v>74</v>
      </c>
      <c r="B6" s="34"/>
      <c r="C6" s="36"/>
      <c r="D6" s="44">
        <f>'Demo '!$B$41</f>
        <v>9</v>
      </c>
      <c r="E6" s="44">
        <f>'Demo '!$C$41</f>
        <v>0.1</v>
      </c>
      <c r="F6" s="20">
        <f>'Demo '!B69</f>
        <v>0.02308025682182988</v>
      </c>
      <c r="G6" s="20">
        <f>'Demo '!C69</f>
        <v>0.07532263242375602</v>
      </c>
      <c r="H6" s="132">
        <f>SUM(J6:K6)</f>
        <v>0.0035922953451043346</v>
      </c>
      <c r="I6" s="132">
        <f>H6*$M$3</f>
        <v>0.0033049117174959878</v>
      </c>
      <c r="J6" s="20">
        <f>'Demo '!D69</f>
        <v>0.0035922953451043346</v>
      </c>
      <c r="K6" s="26"/>
      <c r="L6" s="52"/>
      <c r="M6" s="52"/>
      <c r="N6" s="52"/>
      <c r="O6"/>
      <c r="P6"/>
    </row>
    <row r="7" spans="1:16" ht="12.75">
      <c r="A7" s="26"/>
      <c r="B7" s="26"/>
      <c r="C7" s="26"/>
      <c r="D7" s="26"/>
      <c r="E7" s="26"/>
      <c r="F7" s="20"/>
      <c r="G7" s="20"/>
      <c r="H7" s="20"/>
      <c r="I7" s="43"/>
      <c r="J7" s="20"/>
      <c r="K7" s="26"/>
      <c r="L7" s="52"/>
      <c r="M7" s="52"/>
      <c r="N7" s="52"/>
      <c r="P7"/>
    </row>
    <row r="8" spans="1:16" ht="12.75">
      <c r="A8" s="27" t="s">
        <v>68</v>
      </c>
      <c r="B8" s="27"/>
      <c r="C8" s="27"/>
      <c r="D8" s="27"/>
      <c r="E8" s="27"/>
      <c r="F8" s="53">
        <f>SUM(F3:F6)</f>
        <v>25.094170072721433</v>
      </c>
      <c r="G8" s="53">
        <f>SUM(G3:G6)</f>
        <v>47.94696741664356</v>
      </c>
      <c r="H8" s="53">
        <f>SUM(H3:H6)</f>
        <v>3.3272424813334265</v>
      </c>
      <c r="I8" s="53">
        <f>SUM(I3:I6)</f>
        <v>2.7486630828267526</v>
      </c>
      <c r="J8" s="20">
        <f>SUM(J3:J5)</f>
        <v>2.8836501859883223</v>
      </c>
      <c r="K8" s="20">
        <f>SUM(K3:K5)</f>
        <v>0.44</v>
      </c>
      <c r="L8" s="52">
        <f>'Demo '!D85</f>
        <v>3.3272424813334265</v>
      </c>
      <c r="M8" s="52">
        <f>'Demo '!E85</f>
        <v>2.748821143821937</v>
      </c>
      <c r="N8" s="52"/>
      <c r="P8"/>
    </row>
    <row r="9" spans="1:14" ht="12.75">
      <c r="A9" s="141" t="s">
        <v>75</v>
      </c>
      <c r="B9" s="141"/>
      <c r="C9" s="141"/>
      <c r="D9" s="141"/>
      <c r="E9" s="141"/>
      <c r="F9" s="45">
        <f>'Demo '!B77</f>
        <v>226</v>
      </c>
      <c r="G9" s="45">
        <f>'Demo '!C77</f>
        <v>147</v>
      </c>
      <c r="H9" s="45">
        <f>'Demo '!D77</f>
        <v>6</v>
      </c>
      <c r="I9" s="45">
        <v>4</v>
      </c>
      <c r="K9" s="20"/>
      <c r="L9" s="52"/>
      <c r="M9" s="52"/>
      <c r="N9" s="52"/>
    </row>
    <row r="10" spans="1:14" ht="12.75">
      <c r="A10" s="29" t="s">
        <v>13</v>
      </c>
      <c r="B10" s="29"/>
      <c r="C10" s="29"/>
      <c r="D10" s="29"/>
      <c r="E10" s="29"/>
      <c r="F10" s="30" t="str">
        <f>'Demo '!B78</f>
        <v>NO</v>
      </c>
      <c r="G10" s="30" t="str">
        <f>'Demo '!C78</f>
        <v>NO</v>
      </c>
      <c r="H10" s="30" t="str">
        <f>'Demo '!D78</f>
        <v>NO</v>
      </c>
      <c r="I10" s="30" t="str">
        <f>'Demo '!E87</f>
        <v>NO</v>
      </c>
      <c r="K10" s="20"/>
      <c r="L10" s="52"/>
      <c r="M10" s="52"/>
      <c r="N10" s="52"/>
    </row>
    <row r="11" spans="1:14" ht="12.75">
      <c r="A11" s="141"/>
      <c r="B11" s="141"/>
      <c r="C11" s="141"/>
      <c r="D11" s="141"/>
      <c r="E11" s="141"/>
      <c r="F11" s="28"/>
      <c r="G11" s="28"/>
      <c r="H11" s="28"/>
      <c r="I11" s="43"/>
      <c r="K11" s="20"/>
      <c r="L11" s="52"/>
      <c r="M11" s="52"/>
      <c r="N11" s="52"/>
    </row>
    <row r="12" spans="1:14" ht="12.75">
      <c r="A12" s="141" t="s">
        <v>69</v>
      </c>
      <c r="B12" s="141"/>
      <c r="C12" s="141"/>
      <c r="D12" s="141"/>
      <c r="E12" s="141"/>
      <c r="F12" s="26"/>
      <c r="G12" s="26"/>
      <c r="H12" s="26"/>
      <c r="I12" s="43"/>
      <c r="L12" s="52"/>
      <c r="M12" s="52"/>
      <c r="N12" s="52"/>
    </row>
    <row r="13" spans="1:14" ht="25.5">
      <c r="A13" s="18" t="s">
        <v>128</v>
      </c>
      <c r="B13" s="19" t="s">
        <v>129</v>
      </c>
      <c r="C13" s="19" t="s">
        <v>71</v>
      </c>
      <c r="D13" s="19" t="s">
        <v>72</v>
      </c>
      <c r="E13" s="19" t="s">
        <v>73</v>
      </c>
      <c r="F13" s="19" t="s">
        <v>4</v>
      </c>
      <c r="G13" s="19" t="s">
        <v>59</v>
      </c>
      <c r="H13" s="19" t="s">
        <v>60</v>
      </c>
      <c r="I13" s="19" t="s">
        <v>223</v>
      </c>
      <c r="J13" s="19" t="s">
        <v>66</v>
      </c>
      <c r="K13" s="19" t="s">
        <v>67</v>
      </c>
      <c r="L13" s="52"/>
      <c r="M13" s="52"/>
      <c r="N13" s="52"/>
    </row>
    <row r="14" spans="1:14" ht="12.75">
      <c r="A14" s="31" t="s">
        <v>96</v>
      </c>
      <c r="B14" s="35">
        <f>'Site Prep'!$B$7</f>
        <v>1</v>
      </c>
      <c r="C14" s="54">
        <f>'Site Prep'!$C$7</f>
        <v>7</v>
      </c>
      <c r="D14" s="34"/>
      <c r="E14" s="34"/>
      <c r="F14" s="20">
        <f>'Site Prep'!B54</f>
        <v>10.513929335702201</v>
      </c>
      <c r="G14" s="20">
        <f>'Site Prep'!C54</f>
        <v>21.877834354829282</v>
      </c>
      <c r="H14" s="20">
        <f>SUM(J14:K14)</f>
        <v>1.9727283140971603</v>
      </c>
      <c r="I14" s="20">
        <f>J14*$M$3+K14*$O$3</f>
        <v>1.0836100489693874</v>
      </c>
      <c r="J14" s="20">
        <f>'Site Prep'!D54</f>
        <v>0.9427283140971602</v>
      </c>
      <c r="K14" s="20">
        <f>'Site Prep'!D69/2</f>
        <v>1.03</v>
      </c>
      <c r="L14" s="52"/>
      <c r="M14" s="52"/>
      <c r="N14" s="52"/>
    </row>
    <row r="15" spans="1:14" ht="12.75">
      <c r="A15" s="26" t="s">
        <v>89</v>
      </c>
      <c r="B15" s="34">
        <f>'Site Prep'!$B$8</f>
        <v>1</v>
      </c>
      <c r="C15" s="36">
        <f>'Site Prep'!$C$8</f>
        <v>8</v>
      </c>
      <c r="D15" s="34"/>
      <c r="E15" s="34"/>
      <c r="F15" s="20">
        <f>'Site Prep'!B55</f>
        <v>5.142729428495614</v>
      </c>
      <c r="G15" s="20">
        <f>'Site Prep'!C55</f>
        <v>12.189878793097341</v>
      </c>
      <c r="H15" s="20">
        <f>SUM(J15:K15)</f>
        <v>1.6666143548265082</v>
      </c>
      <c r="I15" s="20">
        <f>J15*$M$3+K15*$O$3</f>
        <v>0.8019852064403876</v>
      </c>
      <c r="J15" s="20">
        <f>'Site Prep'!D55</f>
        <v>0.6366143548265083</v>
      </c>
      <c r="K15" s="20">
        <f>'Site Prep'!D69/2</f>
        <v>1.03</v>
      </c>
      <c r="L15" s="52"/>
      <c r="M15" s="52"/>
      <c r="N15" s="52"/>
    </row>
    <row r="16" spans="1:14" ht="12.75">
      <c r="A16" s="32" t="s">
        <v>102</v>
      </c>
      <c r="B16" s="34">
        <f>'Site Prep'!$B$9</f>
        <v>1</v>
      </c>
      <c r="C16" s="36">
        <f>'Site Prep'!$C$9</f>
        <v>8</v>
      </c>
      <c r="D16" s="34"/>
      <c r="E16" s="34"/>
      <c r="F16" s="20">
        <f>'Site Prep'!B56</f>
        <v>3.1943126385248184</v>
      </c>
      <c r="G16" s="20">
        <f>'Site Prep'!C56</f>
        <v>5.781240842833289</v>
      </c>
      <c r="H16" s="20">
        <f>SUM(J16:K16)</f>
        <v>1.4072124511896602</v>
      </c>
      <c r="I16" s="20">
        <f>J16*$M$3+K16*$O$3</f>
        <v>0.6130354550944872</v>
      </c>
      <c r="J16" s="20">
        <f>'Site Prep'!D56</f>
        <v>0.44721245118966</v>
      </c>
      <c r="K16" s="20">
        <f>'Site Prep'!D70+'Site Prep'!D71</f>
        <v>0.9600000000000001</v>
      </c>
      <c r="L16" s="52"/>
      <c r="M16" s="52"/>
      <c r="N16" s="52"/>
    </row>
    <row r="17" spans="1:14" ht="12.75">
      <c r="A17" s="26" t="s">
        <v>74</v>
      </c>
      <c r="B17" s="42"/>
      <c r="C17" s="55"/>
      <c r="D17" s="34">
        <f>'Site Prep'!$B$45</f>
        <v>9</v>
      </c>
      <c r="E17" s="43">
        <f>'Site Prep'!$C$45</f>
        <v>0.1</v>
      </c>
      <c r="F17" s="20">
        <f>'Site Prep'!B80</f>
        <v>0.02308025682182988</v>
      </c>
      <c r="G17" s="20">
        <f>'Site Prep'!C80</f>
        <v>0.07532263242375602</v>
      </c>
      <c r="H17" s="132">
        <f>SUM(J17:K17)</f>
        <v>0.0035922953451043346</v>
      </c>
      <c r="I17" s="132">
        <f>H17*$M$3</f>
        <v>0.0033049117174959878</v>
      </c>
      <c r="J17" s="20">
        <f>'Site Prep'!D80</f>
        <v>0.0035922953451043346</v>
      </c>
      <c r="K17" s="26"/>
      <c r="L17" s="52"/>
      <c r="M17" s="52"/>
      <c r="N17" s="52"/>
    </row>
    <row r="18" spans="1:14" ht="12.75">
      <c r="A18" s="26" t="s">
        <v>115</v>
      </c>
      <c r="B18" s="26"/>
      <c r="C18" s="55"/>
      <c r="D18" s="43">
        <f>'Site Prep'!$B$46</f>
        <v>3</v>
      </c>
      <c r="E18" s="43">
        <f>'Site Prep'!$C$46</f>
        <v>2.8000000000000003</v>
      </c>
      <c r="F18" s="20">
        <f>'Site Prep'!B81</f>
        <v>0.22</v>
      </c>
      <c r="G18" s="20">
        <f>'Site Prep'!C81</f>
        <v>0.7</v>
      </c>
      <c r="H18" s="20">
        <f>SUM(J18:K18)</f>
        <v>0.034</v>
      </c>
      <c r="I18" s="132">
        <f>H18*$M$3</f>
        <v>0.03128</v>
      </c>
      <c r="J18" s="20">
        <f>'Site Prep'!D81</f>
        <v>0.034</v>
      </c>
      <c r="K18" s="26"/>
      <c r="L18" s="52"/>
      <c r="M18" s="52"/>
      <c r="N18" s="52"/>
    </row>
    <row r="19" spans="1:14" ht="12.75">
      <c r="A19" s="26"/>
      <c r="B19" s="26"/>
      <c r="C19" s="26"/>
      <c r="D19" s="26"/>
      <c r="E19" s="26"/>
      <c r="F19" s="26"/>
      <c r="G19" s="26"/>
      <c r="H19" s="26"/>
      <c r="I19" s="43"/>
      <c r="J19" s="26"/>
      <c r="K19" s="26"/>
      <c r="L19" s="52"/>
      <c r="M19" s="52"/>
      <c r="N19" s="52"/>
    </row>
    <row r="20" spans="1:14" ht="12.75">
      <c r="A20" s="27" t="s">
        <v>68</v>
      </c>
      <c r="B20" s="27"/>
      <c r="C20" s="27"/>
      <c r="D20" s="27"/>
      <c r="E20" s="27"/>
      <c r="F20" s="53">
        <f>SUM(F14:F18)</f>
        <v>19.094051659544462</v>
      </c>
      <c r="G20" s="53">
        <f>SUM(G14:G18)</f>
        <v>40.624276623183675</v>
      </c>
      <c r="H20" s="53">
        <f>SUM(H14:H18)</f>
        <v>5.084147415458433</v>
      </c>
      <c r="I20" s="53">
        <f>SUM(I14:I18)</f>
        <v>2.5332156222217583</v>
      </c>
      <c r="J20" s="20">
        <f>SUM(J14:J16)</f>
        <v>2.0265551201133283</v>
      </c>
      <c r="K20" s="20">
        <f>SUM(K14:K16)</f>
        <v>3.02</v>
      </c>
      <c r="L20" s="52">
        <f>'Site Prep'!D97</f>
        <v>5.084147415458433</v>
      </c>
      <c r="M20" s="52">
        <f>'Site Prep'!E97</f>
        <v>2.5348696832169426</v>
      </c>
      <c r="N20" s="52"/>
    </row>
    <row r="21" spans="1:14" ht="12.75">
      <c r="A21" s="141" t="s">
        <v>75</v>
      </c>
      <c r="B21" s="141"/>
      <c r="C21" s="141"/>
      <c r="D21" s="141"/>
      <c r="E21" s="141"/>
      <c r="F21" s="45">
        <f>'Site Prep'!B89</f>
        <v>226</v>
      </c>
      <c r="G21" s="45">
        <f>'Site Prep'!C89</f>
        <v>147</v>
      </c>
      <c r="H21" s="45">
        <f>'Site Prep'!D89</f>
        <v>6</v>
      </c>
      <c r="I21" s="45">
        <v>4</v>
      </c>
      <c r="K21" s="26"/>
      <c r="L21" s="52"/>
      <c r="M21" s="52"/>
      <c r="N21" s="52"/>
    </row>
    <row r="22" spans="1:14" ht="12.75">
      <c r="A22" s="29" t="s">
        <v>13</v>
      </c>
      <c r="B22" s="29"/>
      <c r="C22" s="29"/>
      <c r="D22" s="29"/>
      <c r="E22" s="29"/>
      <c r="F22" s="30" t="str">
        <f>'Site Prep'!B90</f>
        <v>NO</v>
      </c>
      <c r="G22" s="30" t="str">
        <f>'Site Prep'!C90</f>
        <v>NO</v>
      </c>
      <c r="H22" s="30" t="str">
        <f>'Site Prep'!D90</f>
        <v>NO</v>
      </c>
      <c r="I22" s="30" t="str">
        <f>'Site Prep'!E99</f>
        <v>NO</v>
      </c>
      <c r="K22" s="26"/>
      <c r="L22" s="52"/>
      <c r="M22" s="52"/>
      <c r="N22" s="52"/>
    </row>
    <row r="23" spans="1:14" ht="12.75">
      <c r="A23" s="26"/>
      <c r="B23" s="26"/>
      <c r="C23" s="26"/>
      <c r="D23" s="26"/>
      <c r="E23" s="26"/>
      <c r="F23" s="26"/>
      <c r="G23" s="26"/>
      <c r="H23" s="26"/>
      <c r="I23" s="43"/>
      <c r="L23" s="52"/>
      <c r="M23" s="52"/>
      <c r="N23" s="52"/>
    </row>
    <row r="24" spans="1:14" ht="12.75">
      <c r="A24" s="141" t="s">
        <v>63</v>
      </c>
      <c r="B24" s="141"/>
      <c r="C24" s="141"/>
      <c r="D24" s="141"/>
      <c r="E24" s="141"/>
      <c r="F24" s="26"/>
      <c r="G24" s="26"/>
      <c r="H24" s="26"/>
      <c r="I24" s="43"/>
      <c r="L24" s="52"/>
      <c r="M24" s="52"/>
      <c r="N24" s="52"/>
    </row>
    <row r="25" spans="1:14" ht="25.5">
      <c r="A25" s="18" t="s">
        <v>128</v>
      </c>
      <c r="B25" s="19" t="s">
        <v>129</v>
      </c>
      <c r="C25" s="19" t="s">
        <v>71</v>
      </c>
      <c r="D25" s="19" t="s">
        <v>72</v>
      </c>
      <c r="E25" s="19" t="s">
        <v>73</v>
      </c>
      <c r="F25" s="19" t="s">
        <v>4</v>
      </c>
      <c r="G25" s="19" t="s">
        <v>59</v>
      </c>
      <c r="H25" s="19" t="s">
        <v>60</v>
      </c>
      <c r="I25" s="19" t="s">
        <v>223</v>
      </c>
      <c r="J25" s="19" t="s">
        <v>66</v>
      </c>
      <c r="K25" s="139" t="s">
        <v>67</v>
      </c>
      <c r="L25" s="52"/>
      <c r="M25" s="52"/>
      <c r="N25" s="52"/>
    </row>
    <row r="26" spans="1:14" ht="12.75">
      <c r="A26" s="31" t="s">
        <v>76</v>
      </c>
      <c r="B26" s="35">
        <f>Grading!$B$7</f>
        <v>1</v>
      </c>
      <c r="C26" s="54">
        <f>Grading!$C$7</f>
        <v>8</v>
      </c>
      <c r="D26" s="34"/>
      <c r="E26" s="34"/>
      <c r="F26" s="25">
        <f>Grading!B54</f>
        <v>12.015919240802516</v>
      </c>
      <c r="G26" s="25">
        <f>Grading!C54</f>
        <v>25.003239262662035</v>
      </c>
      <c r="H26" s="25">
        <f>SUM(J26:K26)</f>
        <v>1.0974037875396117</v>
      </c>
      <c r="I26" s="20">
        <f>J26*$M$3+K26*$O$3</f>
        <v>0.9954114845364427</v>
      </c>
      <c r="J26" s="25">
        <f>Grading!D54</f>
        <v>1.0774037875396116</v>
      </c>
      <c r="K26" s="25">
        <f>Grading!D69/2</f>
        <v>0.02</v>
      </c>
      <c r="L26" s="52"/>
      <c r="M26" s="52"/>
      <c r="N26" s="52"/>
    </row>
    <row r="27" spans="1:14" ht="12.75">
      <c r="A27" s="32" t="s">
        <v>130</v>
      </c>
      <c r="B27" s="34">
        <f>Grading!$B$8</f>
        <v>1</v>
      </c>
      <c r="C27" s="36">
        <f>Grading!$C$8</f>
        <v>8</v>
      </c>
      <c r="D27" s="34"/>
      <c r="E27" s="34"/>
      <c r="F27" s="20">
        <f>Grading!B55</f>
        <v>5.142729428495614</v>
      </c>
      <c r="G27" s="20">
        <f>Grading!C55</f>
        <v>12.189878793097341</v>
      </c>
      <c r="H27" s="20">
        <f>SUM(J27:K27)</f>
        <v>0.6566143548265083</v>
      </c>
      <c r="I27" s="20">
        <f>J27*$M$3+K27*$O$3</f>
        <v>0.5898852064403877</v>
      </c>
      <c r="J27" s="20">
        <f>Grading!D55</f>
        <v>0.6366143548265083</v>
      </c>
      <c r="K27" s="20">
        <f>Grading!D69/2</f>
        <v>0.02</v>
      </c>
      <c r="L27" s="52"/>
      <c r="M27" s="52"/>
      <c r="N27" s="52"/>
    </row>
    <row r="28" spans="1:14" ht="12.75">
      <c r="A28" s="32" t="s">
        <v>40</v>
      </c>
      <c r="B28" s="34">
        <f>Grading!$B$9</f>
        <v>2</v>
      </c>
      <c r="C28" s="36">
        <f>Grading!$C$9</f>
        <v>7</v>
      </c>
      <c r="D28" s="34"/>
      <c r="E28" s="34"/>
      <c r="F28" s="20">
        <f>Grading!B56</f>
        <v>5.5900471174184325</v>
      </c>
      <c r="G28" s="20">
        <f>Grading!C56</f>
        <v>10.117171474958255</v>
      </c>
      <c r="H28" s="20">
        <f>SUM(J28:K28)</f>
        <v>1.722621789581905</v>
      </c>
      <c r="I28" s="20">
        <f>J28*$M$3+K28*$O$3</f>
        <v>0.9174120464153527</v>
      </c>
      <c r="J28" s="20">
        <f>Grading!D56</f>
        <v>0.782621789581905</v>
      </c>
      <c r="K28" s="20">
        <f>Grading!D70+Grading!D71</f>
        <v>0.9400000000000001</v>
      </c>
      <c r="L28" s="52"/>
      <c r="M28" s="52"/>
      <c r="N28" s="52"/>
    </row>
    <row r="29" spans="1:14" ht="12.75">
      <c r="A29" s="26" t="s">
        <v>116</v>
      </c>
      <c r="B29" s="42"/>
      <c r="C29" s="55"/>
      <c r="D29" s="43">
        <f>Grading!$B$45</f>
        <v>4</v>
      </c>
      <c r="E29" s="43">
        <f>Grading!$C$45</f>
        <v>0.1</v>
      </c>
      <c r="F29" s="20">
        <f>Grading!B80</f>
        <v>0.01025789192081328</v>
      </c>
      <c r="G29" s="20">
        <f>Grading!C80</f>
        <v>0.03347672552166934</v>
      </c>
      <c r="H29" s="20">
        <f>SUM(J29:K29)</f>
        <v>0.0015965757089352597</v>
      </c>
      <c r="I29" s="158">
        <f>J29*$M$3+K29*$O$3</f>
        <v>0.001468849652220439</v>
      </c>
      <c r="J29" s="20">
        <f>Grading!D80</f>
        <v>0.0015965757089352597</v>
      </c>
      <c r="K29" s="26"/>
      <c r="L29" s="52"/>
      <c r="M29" s="52"/>
      <c r="N29" s="52"/>
    </row>
    <row r="30" spans="1:14" ht="12.75">
      <c r="A30" s="26" t="s">
        <v>119</v>
      </c>
      <c r="B30" s="26"/>
      <c r="C30" s="55"/>
      <c r="D30" s="43">
        <f>Grading!$B$46</f>
        <v>3</v>
      </c>
      <c r="E30" s="43">
        <f>Grading!$C$46</f>
        <v>2.8000000000000003</v>
      </c>
      <c r="F30" s="20">
        <f>Grading!B81</f>
        <v>0.22</v>
      </c>
      <c r="G30" s="20">
        <f>Grading!C81</f>
        <v>0.7</v>
      </c>
      <c r="H30" s="20">
        <f>SUM(J30:K30)</f>
        <v>0.034</v>
      </c>
      <c r="I30" s="20">
        <f>J30*$M$3+K30*$O$3</f>
        <v>0.03128</v>
      </c>
      <c r="J30" s="20">
        <f>Grading!D81</f>
        <v>0.034</v>
      </c>
      <c r="K30" s="26"/>
      <c r="L30" s="52"/>
      <c r="M30" s="52"/>
      <c r="N30" s="52"/>
    </row>
    <row r="31" spans="1:14" ht="12.75">
      <c r="A31" s="26"/>
      <c r="B31" s="26"/>
      <c r="C31" s="26"/>
      <c r="D31" s="26"/>
      <c r="E31" s="26"/>
      <c r="F31" s="26"/>
      <c r="G31" s="26"/>
      <c r="H31" s="26"/>
      <c r="I31" s="43"/>
      <c r="J31" s="26"/>
      <c r="K31" s="26"/>
      <c r="L31" s="52"/>
      <c r="M31" s="52"/>
      <c r="N31" s="52"/>
    </row>
    <row r="32" spans="1:14" ht="12.75">
      <c r="A32" s="27" t="s">
        <v>68</v>
      </c>
      <c r="B32" s="27"/>
      <c r="C32" s="27"/>
      <c r="D32" s="27"/>
      <c r="E32" s="27"/>
      <c r="F32" s="53">
        <f>SUM(F26:F30)</f>
        <v>22.978953678637374</v>
      </c>
      <c r="G32" s="53">
        <f>SUM(G26:G30)</f>
        <v>48.0437662562393</v>
      </c>
      <c r="H32" s="53">
        <f>SUM(H26:H30)</f>
        <v>3.51223650765696</v>
      </c>
      <c r="I32" s="53">
        <f>SUM(I26:I30)</f>
        <v>2.535457587044404</v>
      </c>
      <c r="J32" s="20">
        <f>SUM(J26:J28)</f>
        <v>2.496639931948025</v>
      </c>
      <c r="K32" s="20">
        <f>SUM(K26:K28)</f>
        <v>0.9800000000000001</v>
      </c>
      <c r="L32" s="52">
        <f>Grading!D97</f>
        <v>3.515596575708935</v>
      </c>
      <c r="M32" s="52">
        <f>Grading!E97</f>
        <v>2.540115098983414</v>
      </c>
      <c r="N32" s="52"/>
    </row>
    <row r="33" spans="1:14" ht="12.75">
      <c r="A33" s="141" t="s">
        <v>75</v>
      </c>
      <c r="B33" s="141"/>
      <c r="C33" s="141"/>
      <c r="D33" s="141"/>
      <c r="E33" s="141"/>
      <c r="F33" s="45">
        <f>Grading!B89</f>
        <v>226</v>
      </c>
      <c r="G33" s="45">
        <f>Grading!C89</f>
        <v>147</v>
      </c>
      <c r="H33" s="45">
        <f>Grading!D89</f>
        <v>6</v>
      </c>
      <c r="I33" s="45">
        <v>4</v>
      </c>
      <c r="K33" s="26"/>
      <c r="L33" s="52"/>
      <c r="M33" s="52"/>
      <c r="N33" s="52"/>
    </row>
    <row r="34" spans="1:14" ht="12.75">
      <c r="A34" s="29" t="s">
        <v>13</v>
      </c>
      <c r="B34" s="29"/>
      <c r="C34" s="29"/>
      <c r="D34" s="29"/>
      <c r="E34" s="29"/>
      <c r="F34" s="30" t="str">
        <f>Grading!B90</f>
        <v>NO</v>
      </c>
      <c r="G34" s="30" t="str">
        <f>Grading!C90</f>
        <v>NO</v>
      </c>
      <c r="H34" s="30" t="str">
        <f>Grading!D90</f>
        <v>NO</v>
      </c>
      <c r="I34" s="30" t="str">
        <f>Grading!E99</f>
        <v>NO</v>
      </c>
      <c r="K34" s="26"/>
      <c r="L34" s="52"/>
      <c r="M34" s="52"/>
      <c r="N34" s="52"/>
    </row>
    <row r="35" spans="1:14" ht="12.75">
      <c r="A35" s="26"/>
      <c r="B35" s="26"/>
      <c r="C35" s="26"/>
      <c r="D35" s="26"/>
      <c r="E35" s="26"/>
      <c r="F35" s="26"/>
      <c r="G35" s="26"/>
      <c r="H35" s="26"/>
      <c r="I35" s="43"/>
      <c r="L35" s="52"/>
      <c r="M35" s="52"/>
      <c r="N35" s="52"/>
    </row>
    <row r="36" spans="1:14" ht="12.75">
      <c r="A36" s="141" t="s">
        <v>216</v>
      </c>
      <c r="B36" s="141"/>
      <c r="C36" s="141"/>
      <c r="D36" s="141"/>
      <c r="E36" s="141"/>
      <c r="F36" s="26"/>
      <c r="G36" s="26"/>
      <c r="H36" s="26"/>
      <c r="I36" s="43"/>
      <c r="L36" s="52"/>
      <c r="M36" s="52"/>
      <c r="N36" s="52"/>
    </row>
    <row r="37" spans="1:14" ht="25.5">
      <c r="A37" s="18" t="s">
        <v>128</v>
      </c>
      <c r="B37" s="19" t="s">
        <v>129</v>
      </c>
      <c r="C37" s="19" t="s">
        <v>71</v>
      </c>
      <c r="D37" s="19" t="s">
        <v>72</v>
      </c>
      <c r="E37" s="19" t="s">
        <v>73</v>
      </c>
      <c r="F37" s="19" t="s">
        <v>4</v>
      </c>
      <c r="G37" s="19" t="s">
        <v>59</v>
      </c>
      <c r="H37" s="19" t="s">
        <v>60</v>
      </c>
      <c r="I37" s="19" t="s">
        <v>223</v>
      </c>
      <c r="J37" s="33"/>
      <c r="L37" s="52"/>
      <c r="M37" s="52"/>
      <c r="N37" s="52"/>
    </row>
    <row r="38" spans="1:14" ht="12.75">
      <c r="A38" s="32" t="s">
        <v>108</v>
      </c>
      <c r="B38" s="35">
        <f>Building!$B$7</f>
        <v>1</v>
      </c>
      <c r="C38" s="54">
        <f>Building!$C$7</f>
        <v>6</v>
      </c>
      <c r="D38" s="34"/>
      <c r="E38" s="34"/>
      <c r="F38" s="20">
        <f>Building!B42</f>
        <v>1.42</v>
      </c>
      <c r="G38" s="20">
        <f>Building!C42</f>
        <v>3.34</v>
      </c>
      <c r="H38" s="20">
        <f>Building!D42</f>
        <v>0.18</v>
      </c>
      <c r="I38" s="20">
        <f>H38*$M$3</f>
        <v>0.1656</v>
      </c>
      <c r="J38" s="26"/>
      <c r="L38" s="52"/>
      <c r="M38" s="52"/>
      <c r="N38" s="52"/>
    </row>
    <row r="39" spans="1:14" ht="12.75">
      <c r="A39" s="32" t="s">
        <v>85</v>
      </c>
      <c r="B39" s="34">
        <f>Building!$B$8</f>
        <v>1</v>
      </c>
      <c r="C39" s="36">
        <f>Building!$C$8</f>
        <v>6</v>
      </c>
      <c r="D39" s="34"/>
      <c r="E39" s="34"/>
      <c r="F39" s="20">
        <f>Building!B43</f>
        <v>3.42</v>
      </c>
      <c r="G39" s="20">
        <f>Building!C43</f>
        <v>9.18</v>
      </c>
      <c r="H39" s="20">
        <f>Building!D43</f>
        <v>0.41</v>
      </c>
      <c r="I39" s="20">
        <f>H39*$M$3</f>
        <v>0.3772</v>
      </c>
      <c r="J39" s="26"/>
      <c r="L39" s="52"/>
      <c r="M39" s="52"/>
      <c r="N39" s="52"/>
    </row>
    <row r="40" spans="1:14" ht="12.75">
      <c r="A40" s="32" t="s">
        <v>102</v>
      </c>
      <c r="B40" s="34">
        <f>Building!$B$9</f>
        <v>1</v>
      </c>
      <c r="C40" s="36">
        <f>Building!$C$9</f>
        <v>6</v>
      </c>
      <c r="D40" s="34"/>
      <c r="E40" s="34"/>
      <c r="F40" s="20">
        <f>Building!B44</f>
        <v>2.4</v>
      </c>
      <c r="G40" s="20">
        <f>Building!C44</f>
        <v>4.34</v>
      </c>
      <c r="H40" s="20">
        <f>Building!D44</f>
        <v>0.34</v>
      </c>
      <c r="I40" s="20">
        <f>H40*$M$3</f>
        <v>0.3128</v>
      </c>
      <c r="J40" s="26"/>
      <c r="L40" s="52"/>
      <c r="M40" s="52"/>
      <c r="N40" s="52"/>
    </row>
    <row r="41" spans="1:14" ht="12.75">
      <c r="A41" s="32" t="s">
        <v>109</v>
      </c>
      <c r="B41" s="34">
        <f>Building!$B$10</f>
        <v>1</v>
      </c>
      <c r="C41" s="36">
        <f>Building!$C$10</f>
        <v>8</v>
      </c>
      <c r="D41" s="34"/>
      <c r="E41" s="34"/>
      <c r="F41" s="20">
        <f>Building!B45</f>
        <v>2.7</v>
      </c>
      <c r="G41" s="20">
        <f>Building!C45</f>
        <v>5.37</v>
      </c>
      <c r="H41" s="20">
        <f>Building!D45</f>
        <v>0.33</v>
      </c>
      <c r="I41" s="20">
        <f>H41*$M$3</f>
        <v>0.30360000000000004</v>
      </c>
      <c r="J41" s="26"/>
      <c r="L41" s="52"/>
      <c r="M41" s="52"/>
      <c r="N41" s="52"/>
    </row>
    <row r="42" spans="1:14" ht="12.75">
      <c r="A42" s="32" t="s">
        <v>20</v>
      </c>
      <c r="B42" s="34">
        <f>Building!$B$11</f>
        <v>3</v>
      </c>
      <c r="C42" s="36">
        <f>Building!$C$11</f>
        <v>8</v>
      </c>
      <c r="D42" s="34"/>
      <c r="E42" s="34"/>
      <c r="F42" s="20" t="str">
        <f>Building!B46</f>
        <v>N/A</v>
      </c>
      <c r="G42" s="20" t="str">
        <f>Building!C46</f>
        <v>N/A</v>
      </c>
      <c r="H42" s="20" t="str">
        <f>Building!D46</f>
        <v>N/A</v>
      </c>
      <c r="I42" s="34" t="s">
        <v>10</v>
      </c>
      <c r="J42" s="26"/>
      <c r="L42" s="52"/>
      <c r="M42" s="52"/>
      <c r="N42" s="52"/>
    </row>
    <row r="43" spans="1:14" ht="12.75">
      <c r="A43" s="26" t="s">
        <v>74</v>
      </c>
      <c r="B43" s="42"/>
      <c r="C43" s="55"/>
      <c r="D43" s="43">
        <f>Building!$B$33</f>
        <v>30</v>
      </c>
      <c r="E43" s="43">
        <f>Building!$C$33</f>
        <v>0.1</v>
      </c>
      <c r="F43" s="20">
        <f>Building!B55</f>
        <v>0.08</v>
      </c>
      <c r="G43" s="20">
        <f>Building!C55</f>
        <v>0.25</v>
      </c>
      <c r="H43" s="20">
        <f>Building!D55</f>
        <v>0.012</v>
      </c>
      <c r="I43" s="132">
        <f>H43*$M$3</f>
        <v>0.011040000000000001</v>
      </c>
      <c r="J43" s="26"/>
      <c r="L43" s="52"/>
      <c r="M43" s="52"/>
      <c r="N43" s="52"/>
    </row>
    <row r="44" spans="1:14" ht="12.75">
      <c r="A44" s="26" t="s">
        <v>115</v>
      </c>
      <c r="B44" s="26"/>
      <c r="C44" s="55"/>
      <c r="D44" s="43">
        <f>Building!$B$34</f>
        <v>3</v>
      </c>
      <c r="E44" s="43">
        <f>Building!$C$34</f>
        <v>3.2</v>
      </c>
      <c r="F44" s="20">
        <f>Building!B56</f>
        <v>0.25</v>
      </c>
      <c r="G44" s="20">
        <f>Building!C56</f>
        <v>0.8</v>
      </c>
      <c r="H44" s="20">
        <f>Building!D56</f>
        <v>0.038</v>
      </c>
      <c r="I44" s="20">
        <f>H44*$M$3</f>
        <v>0.03496</v>
      </c>
      <c r="J44" s="26"/>
      <c r="L44" s="52"/>
      <c r="M44" s="52"/>
      <c r="N44" s="52"/>
    </row>
    <row r="45" spans="1:14" ht="12.75">
      <c r="A45" s="26"/>
      <c r="B45" s="26"/>
      <c r="C45" s="26"/>
      <c r="D45" s="26"/>
      <c r="E45" s="26"/>
      <c r="F45" s="26"/>
      <c r="G45" s="26"/>
      <c r="H45" s="26"/>
      <c r="I45" s="43"/>
      <c r="J45" s="26"/>
      <c r="L45" s="52"/>
      <c r="M45" s="52"/>
      <c r="N45" s="52"/>
    </row>
    <row r="46" spans="1:14" ht="12.75">
      <c r="A46" s="27" t="s">
        <v>68</v>
      </c>
      <c r="B46" s="27"/>
      <c r="C46" s="27"/>
      <c r="D46" s="27"/>
      <c r="E46" s="27"/>
      <c r="F46" s="53">
        <f>SUM(F38:F45)</f>
        <v>10.270000000000001</v>
      </c>
      <c r="G46" s="53">
        <f>SUM(G38:G44)</f>
        <v>23.28</v>
      </c>
      <c r="H46" s="53">
        <f>SUM(H38:H44)</f>
        <v>1.31</v>
      </c>
      <c r="I46" s="53">
        <f>SUM(I38:I44)</f>
        <v>1.2052</v>
      </c>
      <c r="J46" s="26"/>
      <c r="L46" s="52">
        <f>Building!D72</f>
        <v>1.31</v>
      </c>
      <c r="M46" s="52">
        <f>Building!E72</f>
        <v>1.2074</v>
      </c>
      <c r="N46" s="52"/>
    </row>
    <row r="47" spans="1:14" ht="12.75">
      <c r="A47" s="141" t="s">
        <v>75</v>
      </c>
      <c r="B47" s="141"/>
      <c r="C47" s="141"/>
      <c r="D47" s="141"/>
      <c r="E47" s="141"/>
      <c r="F47" s="45">
        <f>Building!B64</f>
        <v>226</v>
      </c>
      <c r="G47" s="45">
        <f>Building!C64</f>
        <v>147</v>
      </c>
      <c r="H47" s="45">
        <f>Building!D64</f>
        <v>6</v>
      </c>
      <c r="I47" s="45">
        <v>4</v>
      </c>
      <c r="J47" s="26"/>
      <c r="L47" s="52"/>
      <c r="M47" s="52"/>
      <c r="N47" s="52"/>
    </row>
    <row r="48" spans="1:14" ht="12.75">
      <c r="A48" s="29" t="s">
        <v>13</v>
      </c>
      <c r="B48" s="29"/>
      <c r="C48" s="29"/>
      <c r="D48" s="29"/>
      <c r="E48" s="29"/>
      <c r="F48" s="30" t="str">
        <f>Building!B65</f>
        <v>NO</v>
      </c>
      <c r="G48" s="30" t="str">
        <f>Building!C65</f>
        <v>NO</v>
      </c>
      <c r="H48" s="30" t="str">
        <f>Building!D65</f>
        <v>NO</v>
      </c>
      <c r="I48" s="30" t="str">
        <f>Building!E74</f>
        <v>NO</v>
      </c>
      <c r="J48" s="26"/>
      <c r="L48" s="52"/>
      <c r="M48" s="52"/>
      <c r="N48" s="52"/>
    </row>
    <row r="49" spans="1:14" ht="12.75">
      <c r="A49" s="26" t="s">
        <v>111</v>
      </c>
      <c r="B49" s="26"/>
      <c r="C49" s="26"/>
      <c r="D49" s="26"/>
      <c r="E49" s="26"/>
      <c r="F49" s="26"/>
      <c r="G49" s="26"/>
      <c r="H49" s="26"/>
      <c r="I49" s="43"/>
      <c r="L49" s="52"/>
      <c r="M49" s="52"/>
      <c r="N49" s="52"/>
    </row>
    <row r="50" spans="1:14" ht="12.75">
      <c r="A50" s="26" t="s">
        <v>113</v>
      </c>
      <c r="B50" s="26"/>
      <c r="C50" s="26"/>
      <c r="D50" s="26"/>
      <c r="E50" s="26"/>
      <c r="F50" s="26"/>
      <c r="G50" s="26"/>
      <c r="H50" s="26"/>
      <c r="I50" s="43"/>
      <c r="L50" s="52"/>
      <c r="M50" s="52"/>
      <c r="N50" s="52"/>
    </row>
    <row r="51" spans="1:14" ht="12.75">
      <c r="A51" s="26"/>
      <c r="B51" s="26"/>
      <c r="C51" s="26"/>
      <c r="D51" s="26"/>
      <c r="E51" s="26"/>
      <c r="F51" s="26"/>
      <c r="G51" s="26"/>
      <c r="H51" s="26"/>
      <c r="I51" s="43"/>
      <c r="L51" s="52"/>
      <c r="M51" s="52"/>
      <c r="N51" s="52"/>
    </row>
    <row r="52" spans="1:14" ht="12.75">
      <c r="A52" s="141" t="s">
        <v>70</v>
      </c>
      <c r="B52" s="141"/>
      <c r="C52" s="141"/>
      <c r="D52" s="141"/>
      <c r="E52" s="141"/>
      <c r="F52" s="26"/>
      <c r="G52" s="26"/>
      <c r="H52" s="26"/>
      <c r="I52" s="43"/>
      <c r="L52" s="52"/>
      <c r="M52" s="52"/>
      <c r="N52" s="52"/>
    </row>
    <row r="53" spans="1:14" s="23" customFormat="1" ht="25.5">
      <c r="A53" s="18" t="s">
        <v>128</v>
      </c>
      <c r="B53" s="19" t="s">
        <v>129</v>
      </c>
      <c r="C53" s="19" t="s">
        <v>71</v>
      </c>
      <c r="D53" s="19" t="s">
        <v>72</v>
      </c>
      <c r="E53" s="19" t="s">
        <v>73</v>
      </c>
      <c r="F53" s="19" t="s">
        <v>4</v>
      </c>
      <c r="G53" s="19" t="s">
        <v>59</v>
      </c>
      <c r="H53" s="19" t="s">
        <v>60</v>
      </c>
      <c r="I53" s="19" t="s">
        <v>223</v>
      </c>
      <c r="J53" s="3"/>
      <c r="K53" s="3"/>
      <c r="L53" s="152"/>
      <c r="M53" s="152"/>
      <c r="N53" s="152"/>
    </row>
    <row r="54" spans="1:14" ht="12.75">
      <c r="A54" s="32" t="s">
        <v>93</v>
      </c>
      <c r="B54" s="35">
        <f>Asphalt!$B$7</f>
        <v>1</v>
      </c>
      <c r="C54" s="54">
        <f>Asphalt!$C$7</f>
        <v>6</v>
      </c>
      <c r="D54" s="34"/>
      <c r="E54" s="34"/>
      <c r="F54" s="20">
        <f>Asphalt!B42</f>
        <v>3.45</v>
      </c>
      <c r="G54" s="20">
        <f>Asphalt!C42</f>
        <v>6.19</v>
      </c>
      <c r="H54" s="20">
        <f>Asphalt!D42</f>
        <v>0.44</v>
      </c>
      <c r="I54" s="20">
        <f aca="true" t="shared" si="0" ref="I54:I60">H54*$M$3</f>
        <v>0.4048</v>
      </c>
      <c r="J54" s="3"/>
      <c r="K54" s="3"/>
      <c r="L54" s="153"/>
      <c r="M54" s="153"/>
      <c r="N54" s="153"/>
    </row>
    <row r="55" spans="1:14" ht="12.75">
      <c r="A55" s="32" t="s">
        <v>50</v>
      </c>
      <c r="B55" s="34">
        <f>Asphalt!$B$8</f>
        <v>1</v>
      </c>
      <c r="C55" s="36">
        <f>Asphalt!$C$8</f>
        <v>8</v>
      </c>
      <c r="D55" s="34"/>
      <c r="E55" s="34"/>
      <c r="F55" s="20">
        <f>Asphalt!B43</f>
        <v>3.63</v>
      </c>
      <c r="G55" s="20">
        <f>Asphalt!C43</f>
        <v>7.52</v>
      </c>
      <c r="H55" s="20">
        <f>Asphalt!D43</f>
        <v>0.52</v>
      </c>
      <c r="I55" s="20">
        <f t="shared" si="0"/>
        <v>0.47840000000000005</v>
      </c>
      <c r="J55" s="3"/>
      <c r="K55" s="3"/>
      <c r="L55" s="153"/>
      <c r="M55" s="153"/>
      <c r="N55" s="153"/>
    </row>
    <row r="56" spans="1:14" ht="12.75">
      <c r="A56" s="32" t="s">
        <v>94</v>
      </c>
      <c r="B56" s="34">
        <f>Asphalt!$B$9</f>
        <v>1</v>
      </c>
      <c r="C56" s="36">
        <f>Asphalt!$C$9</f>
        <v>7</v>
      </c>
      <c r="D56" s="34"/>
      <c r="E56" s="34"/>
      <c r="F56" s="20">
        <f>Asphalt!B44</f>
        <v>2.99</v>
      </c>
      <c r="G56" s="20">
        <f>Asphalt!C44</f>
        <v>5.72</v>
      </c>
      <c r="H56" s="20">
        <f>Asphalt!D44</f>
        <v>0.4</v>
      </c>
      <c r="I56" s="20">
        <f t="shared" si="0"/>
        <v>0.36800000000000005</v>
      </c>
      <c r="J56" s="3"/>
      <c r="K56" s="3"/>
      <c r="L56" s="153"/>
      <c r="M56" s="153"/>
      <c r="N56" s="153"/>
    </row>
    <row r="57" spans="1:14" ht="12.75">
      <c r="A57" s="32" t="s">
        <v>83</v>
      </c>
      <c r="B57" s="34">
        <f>Asphalt!$B$10</f>
        <v>1</v>
      </c>
      <c r="C57" s="36">
        <f>Asphalt!$C$10</f>
        <v>6</v>
      </c>
      <c r="D57" s="34"/>
      <c r="E57" s="34"/>
      <c r="F57" s="20">
        <f>Asphalt!B45</f>
        <v>0.26</v>
      </c>
      <c r="G57" s="20">
        <f>Asphalt!C45</f>
        <v>0.38</v>
      </c>
      <c r="H57" s="20">
        <f>Asphalt!D45</f>
        <v>0.02</v>
      </c>
      <c r="I57" s="20">
        <f t="shared" si="0"/>
        <v>0.0184</v>
      </c>
      <c r="J57" s="3"/>
      <c r="K57" s="3"/>
      <c r="L57" s="153"/>
      <c r="M57" s="153"/>
      <c r="N57" s="153"/>
    </row>
    <row r="58" spans="1:14" ht="12.75">
      <c r="A58" s="32" t="s">
        <v>102</v>
      </c>
      <c r="B58" s="34">
        <f>Asphalt!$B$11</f>
        <v>2</v>
      </c>
      <c r="C58" s="36">
        <f>Asphalt!$C$11</f>
        <v>8</v>
      </c>
      <c r="D58" s="34"/>
      <c r="E58" s="34"/>
      <c r="F58" s="20">
        <f>Asphalt!B46</f>
        <v>6.39</v>
      </c>
      <c r="G58" s="20">
        <f>Asphalt!C46</f>
        <v>11.56</v>
      </c>
      <c r="H58" s="20">
        <f>Asphalt!D46</f>
        <v>0.89</v>
      </c>
      <c r="I58" s="20">
        <f t="shared" si="0"/>
        <v>0.8188000000000001</v>
      </c>
      <c r="J58" s="3"/>
      <c r="K58" s="3"/>
      <c r="L58" s="153"/>
      <c r="M58" s="153"/>
      <c r="N58" s="153"/>
    </row>
    <row r="59" spans="1:14" ht="12.75">
      <c r="A59" s="26" t="s">
        <v>74</v>
      </c>
      <c r="B59" s="42"/>
      <c r="C59" s="26"/>
      <c r="D59" s="43">
        <f>Asphalt!$B$33</f>
        <v>3</v>
      </c>
      <c r="E59" s="43">
        <f>Asphalt!$C$33</f>
        <v>0.1</v>
      </c>
      <c r="F59" s="20">
        <f>Asphalt!B55</f>
        <v>0.01</v>
      </c>
      <c r="G59" s="20">
        <f>Asphalt!C55</f>
        <v>0.03</v>
      </c>
      <c r="H59" s="158">
        <f>Asphalt!D55</f>
        <v>0.0012</v>
      </c>
      <c r="I59" s="158">
        <f t="shared" si="0"/>
        <v>0.001104</v>
      </c>
      <c r="J59" s="3"/>
      <c r="K59" s="3"/>
      <c r="L59" s="52"/>
      <c r="M59" s="52"/>
      <c r="N59" s="52"/>
    </row>
    <row r="60" spans="1:14" ht="12.75">
      <c r="A60" s="26" t="s">
        <v>115</v>
      </c>
      <c r="B60" s="26"/>
      <c r="C60" s="26"/>
      <c r="D60" s="34">
        <f>Asphalt!B34</f>
        <v>3</v>
      </c>
      <c r="E60" s="36">
        <f>Asphalt!C34</f>
        <v>3.2</v>
      </c>
      <c r="F60" s="20">
        <f>Asphalt!B56</f>
        <v>0.25</v>
      </c>
      <c r="G60" s="20">
        <f>Asphalt!C56</f>
        <v>0.8</v>
      </c>
      <c r="H60" s="20">
        <f>Asphalt!D56</f>
        <v>0.04</v>
      </c>
      <c r="I60" s="20">
        <f t="shared" si="0"/>
        <v>0.0368</v>
      </c>
      <c r="J60" s="3"/>
      <c r="K60" s="3"/>
      <c r="L60" s="52"/>
      <c r="M60" s="52"/>
      <c r="N60" s="52"/>
    </row>
    <row r="61" spans="1:14" ht="12.75">
      <c r="A61" s="26"/>
      <c r="B61" s="26"/>
      <c r="C61" s="26"/>
      <c r="D61" s="26"/>
      <c r="E61" s="26"/>
      <c r="F61" s="26"/>
      <c r="G61" s="26"/>
      <c r="H61" s="26"/>
      <c r="I61" s="43"/>
      <c r="J61" s="3"/>
      <c r="K61" s="3"/>
      <c r="L61" s="52"/>
      <c r="M61" s="52"/>
      <c r="N61" s="52"/>
    </row>
    <row r="62" spans="1:14" ht="12.75">
      <c r="A62" s="27" t="s">
        <v>68</v>
      </c>
      <c r="B62" s="27"/>
      <c r="C62" s="27"/>
      <c r="D62" s="27"/>
      <c r="E62" s="27"/>
      <c r="F62" s="53">
        <f>SUM(F54:F60)</f>
        <v>16.98</v>
      </c>
      <c r="G62" s="53">
        <f>SUM(G54:G60)</f>
        <v>32.199999999999996</v>
      </c>
      <c r="H62" s="53">
        <f>SUM(H54:H60)</f>
        <v>2.3112</v>
      </c>
      <c r="I62" s="53">
        <f>SUM(I54:I60)</f>
        <v>2.126304</v>
      </c>
      <c r="J62" s="3"/>
      <c r="K62" s="3"/>
      <c r="L62" s="52">
        <f>Asphalt!D72</f>
        <v>2.3112</v>
      </c>
      <c r="M62" s="52">
        <f>Asphalt!E72</f>
        <v>2.1281168</v>
      </c>
      <c r="N62" s="52"/>
    </row>
    <row r="63" spans="1:11" ht="12.75">
      <c r="A63" s="141" t="s">
        <v>75</v>
      </c>
      <c r="B63" s="141"/>
      <c r="C63" s="141"/>
      <c r="D63" s="141"/>
      <c r="E63" s="141"/>
      <c r="F63" s="45">
        <f>Asphalt!B64</f>
        <v>226</v>
      </c>
      <c r="G63" s="45">
        <f>Asphalt!C64</f>
        <v>147</v>
      </c>
      <c r="H63" s="45">
        <f>Asphalt!D64</f>
        <v>6</v>
      </c>
      <c r="I63" s="45">
        <v>4</v>
      </c>
      <c r="K63" s="26"/>
    </row>
    <row r="64" spans="1:11" ht="12.75">
      <c r="A64" s="29" t="s">
        <v>13</v>
      </c>
      <c r="B64" s="29"/>
      <c r="C64" s="29"/>
      <c r="D64" s="29"/>
      <c r="E64" s="29"/>
      <c r="F64" s="30" t="str">
        <f>Asphalt!B65</f>
        <v>NO</v>
      </c>
      <c r="G64" s="30" t="str">
        <f>Asphalt!C65</f>
        <v>NO</v>
      </c>
      <c r="H64" s="30" t="str">
        <f>Asphalt!D65</f>
        <v>NO</v>
      </c>
      <c r="I64" s="30" t="str">
        <f>Asphalt!E74</f>
        <v>NO</v>
      </c>
      <c r="K64" s="26"/>
    </row>
    <row r="65" spans="1:9" ht="12.75">
      <c r="A65" s="26" t="s">
        <v>233</v>
      </c>
      <c r="B65" s="26"/>
      <c r="C65" s="26"/>
      <c r="D65" s="26"/>
      <c r="E65" s="26"/>
      <c r="F65" s="26"/>
      <c r="G65" s="26"/>
      <c r="H65" s="26"/>
      <c r="I65" s="43"/>
    </row>
  </sheetData>
  <mergeCells count="1">
    <mergeCell ref="M1:O1"/>
  </mergeCells>
  <printOptions/>
  <pageMargins left="0.75" right="0.75" top="1" bottom="1" header="0.5" footer="0.5"/>
  <pageSetup horizontalDpi="200" verticalDpi="200" orientation="portrait" scale="89" r:id="rId1"/>
  <headerFooter alignWithMargins="0">
    <oddHeader>&amp;C&amp;"Times New Roman,Bold"&amp;12Summary of Two Acre Site Example Results By Phase and Equipment</oddHeader>
    <oddFooter>&amp;C&amp;"Times New Roman,Regular"B-&amp;P</oddFooter>
  </headerFooter>
  <rowBreaks count="1" manualBreakCount="1">
    <brk id="51" max="8" man="1"/>
  </rowBreaks>
</worksheet>
</file>

<file path=xl/worksheets/sheet3.xml><?xml version="1.0" encoding="utf-8"?>
<worksheet xmlns="http://schemas.openxmlformats.org/spreadsheetml/2006/main" xmlns:r="http://schemas.openxmlformats.org/officeDocument/2006/relationships">
  <sheetPr codeName="Sheet4">
    <pageSetUpPr fitToPage="1"/>
  </sheetPr>
  <dimension ref="A1:H109"/>
  <sheetViews>
    <sheetView view="pageBreakPreview" zoomScale="75" zoomScaleSheetLayoutView="75" workbookViewId="0" topLeftCell="A1">
      <selection activeCell="A1" sqref="A1"/>
    </sheetView>
  </sheetViews>
  <sheetFormatPr defaultColWidth="9.140625" defaultRowHeight="12.75"/>
  <cols>
    <col min="1" max="1" width="44.00390625" style="7" customWidth="1"/>
    <col min="2" max="2" width="23.00390625" style="3" customWidth="1"/>
    <col min="3" max="3" width="23.00390625" style="3" bestFit="1" customWidth="1"/>
    <col min="4" max="4" width="20.00390625" style="3" customWidth="1"/>
    <col min="5" max="5" width="21.7109375" style="3" customWidth="1"/>
    <col min="6" max="6" width="14.00390625" style="4" bestFit="1" customWidth="1"/>
    <col min="7" max="7" width="18.28125" style="4" bestFit="1" customWidth="1"/>
    <col min="8" max="8" width="20.00390625" style="4" bestFit="1" customWidth="1"/>
    <col min="9" max="16384" width="9.140625" style="3" customWidth="1"/>
  </cols>
  <sheetData>
    <row r="1" spans="1:5" ht="12.75">
      <c r="A1" s="56" t="s">
        <v>54</v>
      </c>
      <c r="B1" s="57"/>
      <c r="C1" s="58" t="s">
        <v>1</v>
      </c>
      <c r="D1" s="31"/>
      <c r="E1" s="59"/>
    </row>
    <row r="2" spans="1:5" ht="15.75">
      <c r="A2" s="60" t="s">
        <v>55</v>
      </c>
      <c r="B2" s="44"/>
      <c r="C2" s="137" t="s">
        <v>123</v>
      </c>
      <c r="D2" s="61">
        <v>87000</v>
      </c>
      <c r="E2" s="62" t="s">
        <v>140</v>
      </c>
    </row>
    <row r="3" spans="1:5" ht="12.75">
      <c r="A3" s="60"/>
      <c r="B3" s="44"/>
      <c r="C3" s="32"/>
      <c r="D3" s="32"/>
      <c r="E3" s="62"/>
    </row>
    <row r="4" spans="1:5" ht="15.75">
      <c r="A4" s="63" t="s">
        <v>122</v>
      </c>
      <c r="B4" s="64">
        <v>20</v>
      </c>
      <c r="C4" s="65" t="s">
        <v>139</v>
      </c>
      <c r="D4" s="66"/>
      <c r="E4" s="67"/>
    </row>
    <row r="5" ht="12.75">
      <c r="A5" s="6"/>
    </row>
    <row r="6" spans="1:5" ht="15.75">
      <c r="A6" s="68" t="s">
        <v>138</v>
      </c>
      <c r="B6" s="57" t="s">
        <v>17</v>
      </c>
      <c r="C6" s="57" t="s">
        <v>35</v>
      </c>
      <c r="D6" s="57" t="s">
        <v>18</v>
      </c>
      <c r="E6" s="59"/>
    </row>
    <row r="7" spans="1:5" ht="12.75">
      <c r="A7" s="69" t="s">
        <v>84</v>
      </c>
      <c r="B7" s="70">
        <v>1</v>
      </c>
      <c r="C7" s="71">
        <v>8</v>
      </c>
      <c r="D7" s="70">
        <v>8</v>
      </c>
      <c r="E7" s="62"/>
    </row>
    <row r="8" spans="1:5" ht="12.75">
      <c r="A8" s="69" t="s">
        <v>96</v>
      </c>
      <c r="B8" s="72">
        <v>1</v>
      </c>
      <c r="C8" s="71">
        <v>8</v>
      </c>
      <c r="D8" s="44"/>
      <c r="E8" s="62"/>
    </row>
    <row r="9" spans="1:5" ht="12.75">
      <c r="A9" s="73" t="s">
        <v>102</v>
      </c>
      <c r="B9" s="74">
        <v>3</v>
      </c>
      <c r="C9" s="75">
        <v>8</v>
      </c>
      <c r="D9" s="41"/>
      <c r="E9" s="67"/>
    </row>
    <row r="10" spans="3:5" ht="12.75">
      <c r="C10" s="4"/>
      <c r="D10" s="8"/>
      <c r="E10" s="4"/>
    </row>
    <row r="11" spans="1:5" ht="12.75">
      <c r="A11" s="56" t="s">
        <v>19</v>
      </c>
      <c r="B11" s="31"/>
      <c r="C11" s="31"/>
      <c r="D11" s="31"/>
      <c r="E11" s="59"/>
    </row>
    <row r="12" spans="1:5" ht="12.75">
      <c r="A12" s="76"/>
      <c r="B12" s="32"/>
      <c r="C12" s="32"/>
      <c r="D12" s="32"/>
      <c r="E12" s="62"/>
    </row>
    <row r="13" spans="1:5" ht="12.75">
      <c r="A13" s="60"/>
      <c r="B13" s="77" t="s">
        <v>81</v>
      </c>
      <c r="C13" s="77" t="s">
        <v>59</v>
      </c>
      <c r="D13" s="77" t="s">
        <v>60</v>
      </c>
      <c r="E13" s="78"/>
    </row>
    <row r="14" spans="1:5" ht="15.75">
      <c r="A14" s="79" t="s">
        <v>142</v>
      </c>
      <c r="B14" s="44" t="s">
        <v>23</v>
      </c>
      <c r="C14" s="44" t="s">
        <v>23</v>
      </c>
      <c r="D14" s="44" t="s">
        <v>23</v>
      </c>
      <c r="E14" s="80"/>
    </row>
    <row r="15" spans="1:6" ht="12.75">
      <c r="A15" s="60" t="str">
        <f>A7</f>
        <v>Concrete/Industrial Saws</v>
      </c>
      <c r="B15" s="81">
        <f>GETPIVOTDATA("Ems Factor #/hr",'Off-Road Model EF'!$A$4,"Eq Name",$A15,"Hp","Composite","Pollutant",B$13)</f>
        <v>0.4340290824403287</v>
      </c>
      <c r="C15" s="81">
        <f>GETPIVOTDATA("Ems Factor #/hr",'Off-Road Model EF'!$A$4,"Eq Name",$A15,"Hp","Composite","Pollutant",C$13)</f>
        <v>0.6905853741322374</v>
      </c>
      <c r="D15" s="81">
        <f>GETPIVOTDATA("Ems Factor #/hr",'Off-Road Model EF'!$A$4,"Eq Name",$A15,"Hp","Composite","Pollutant",D$13)</f>
        <v>0.05807613060996633</v>
      </c>
      <c r="E15" s="80"/>
      <c r="F15" s="44"/>
    </row>
    <row r="16" spans="1:6" ht="12.75">
      <c r="A16" s="60" t="str">
        <f>A8</f>
        <v>Rubber Tired Dozers</v>
      </c>
      <c r="B16" s="81">
        <f>GETPIVOTDATA("Ems Factor #/hr",'Off-Road Model EF'!$A$4,"Eq Name",$A16,"Hp","Composite","Pollutant",B$13)</f>
        <v>1.5019899051003145</v>
      </c>
      <c r="C16" s="81">
        <f>GETPIVOTDATA("Ems Factor #/hr",'Off-Road Model EF'!$A$4,"Eq Name",$A16,"Hp","Composite","Pollutant",C$13)</f>
        <v>3.1254049078327544</v>
      </c>
      <c r="D16" s="81">
        <f>GETPIVOTDATA("Ems Factor #/hr",'Off-Road Model EF'!$A$4,"Eq Name",$A16,"Hp","Composite","Pollutant",D$13)</f>
        <v>0.13467547344245145</v>
      </c>
      <c r="E16" s="62"/>
      <c r="F16" s="44"/>
    </row>
    <row r="17" spans="1:6" ht="12.75">
      <c r="A17" s="82" t="str">
        <f>A9</f>
        <v>Tractors/Loaders/Backhoes</v>
      </c>
      <c r="B17" s="83">
        <f>GETPIVOTDATA("Ems Factor #/hr",'Off-Road Model EF'!$A$4,"Eq Name",$A17,"Hp","Composite","Pollutant",B$13)</f>
        <v>0.3992890798156023</v>
      </c>
      <c r="C17" s="83">
        <f>GETPIVOTDATA("Ems Factor #/hr",'Off-Road Model EF'!$A$4,"Eq Name",$A17,"Hp","Composite","Pollutant",C$13)</f>
        <v>0.7226551053541611</v>
      </c>
      <c r="D17" s="83">
        <f>GETPIVOTDATA("Ems Factor #/hr",'Off-Road Model EF'!$A$4,"Eq Name",$A17,"Hp","Composite","Pollutant",D$13)</f>
        <v>0.0559015563987075</v>
      </c>
      <c r="E17" s="67"/>
      <c r="F17" s="44"/>
    </row>
    <row r="19" spans="1:5" ht="12.75">
      <c r="A19" s="56" t="s">
        <v>52</v>
      </c>
      <c r="B19" s="31"/>
      <c r="C19" s="31"/>
      <c r="D19" s="31"/>
      <c r="E19" s="59"/>
    </row>
    <row r="20" spans="1:5" ht="12.75">
      <c r="A20" s="84"/>
      <c r="B20" s="32"/>
      <c r="C20" s="32"/>
      <c r="D20" s="32"/>
      <c r="E20" s="62"/>
    </row>
    <row r="21" spans="1:8" s="1" customFormat="1" ht="15.75">
      <c r="A21" s="79" t="s">
        <v>143</v>
      </c>
      <c r="B21" s="77" t="s">
        <v>26</v>
      </c>
      <c r="C21" s="77" t="s">
        <v>27</v>
      </c>
      <c r="D21" s="77" t="s">
        <v>28</v>
      </c>
      <c r="E21" s="78"/>
      <c r="F21" s="2"/>
      <c r="G21" s="2"/>
      <c r="H21" s="2"/>
    </row>
    <row r="22" spans="1:5" ht="12.75">
      <c r="A22" s="60"/>
      <c r="B22" s="44" t="s">
        <v>29</v>
      </c>
      <c r="C22" s="44" t="s">
        <v>29</v>
      </c>
      <c r="D22" s="44" t="s">
        <v>29</v>
      </c>
      <c r="E22" s="85"/>
    </row>
    <row r="23" spans="1:5" ht="12.75">
      <c r="A23" s="82" t="s">
        <v>31</v>
      </c>
      <c r="B23" s="74">
        <v>295</v>
      </c>
      <c r="C23" s="74">
        <v>295</v>
      </c>
      <c r="D23" s="74">
        <v>50</v>
      </c>
      <c r="E23" s="86"/>
    </row>
    <row r="24" ht="12.75">
      <c r="A24" s="47"/>
    </row>
    <row r="25" spans="1:5" ht="12.75">
      <c r="A25" s="56" t="s">
        <v>32</v>
      </c>
      <c r="B25" s="31"/>
      <c r="C25" s="31"/>
      <c r="D25" s="31"/>
      <c r="E25" s="59"/>
    </row>
    <row r="26" spans="1:5" ht="12.75">
      <c r="A26" s="76"/>
      <c r="B26" s="32"/>
      <c r="C26" s="32"/>
      <c r="D26" s="32"/>
      <c r="E26" s="62"/>
    </row>
    <row r="27" spans="1:5" ht="15.75">
      <c r="A27" s="79" t="s">
        <v>144</v>
      </c>
      <c r="B27" s="77" t="s">
        <v>145</v>
      </c>
      <c r="C27" s="77" t="s">
        <v>146</v>
      </c>
      <c r="D27" s="77" t="s">
        <v>147</v>
      </c>
      <c r="E27" s="62"/>
    </row>
    <row r="28" spans="1:5" ht="12.75">
      <c r="A28" s="60"/>
      <c r="B28" s="44" t="s">
        <v>33</v>
      </c>
      <c r="C28" s="44"/>
      <c r="D28" s="44" t="s">
        <v>51</v>
      </c>
      <c r="E28" s="62"/>
    </row>
    <row r="29" spans="1:5" ht="12.75">
      <c r="A29" s="87">
        <v>0.35</v>
      </c>
      <c r="B29" s="74">
        <v>10</v>
      </c>
      <c r="C29" s="75">
        <v>2</v>
      </c>
      <c r="D29" s="88">
        <f>0.046*D2/B4</f>
        <v>200.1</v>
      </c>
      <c r="E29" s="67"/>
    </row>
    <row r="31" spans="1:5" ht="12.75">
      <c r="A31" s="56" t="s">
        <v>15</v>
      </c>
      <c r="B31" s="31"/>
      <c r="C31" s="31"/>
      <c r="D31" s="31"/>
      <c r="E31" s="59"/>
    </row>
    <row r="32" spans="1:7" ht="12.75">
      <c r="A32" s="60"/>
      <c r="B32" s="32"/>
      <c r="C32" s="32"/>
      <c r="D32" s="32"/>
      <c r="E32" s="78"/>
      <c r="F32" s="2"/>
      <c r="G32" s="2"/>
    </row>
    <row r="33" spans="1:5" ht="12.75">
      <c r="A33" s="76"/>
      <c r="B33" s="77" t="s">
        <v>4</v>
      </c>
      <c r="C33" s="77" t="s">
        <v>5</v>
      </c>
      <c r="D33" s="77" t="s">
        <v>6</v>
      </c>
      <c r="E33" s="62"/>
    </row>
    <row r="34" spans="1:5" ht="12.75">
      <c r="A34" s="60"/>
      <c r="B34" s="44" t="s">
        <v>14</v>
      </c>
      <c r="C34" s="44" t="s">
        <v>14</v>
      </c>
      <c r="D34" s="44" t="s">
        <v>14</v>
      </c>
      <c r="E34" s="89"/>
    </row>
    <row r="35" spans="1:5" ht="15.75">
      <c r="A35" s="90" t="s">
        <v>148</v>
      </c>
      <c r="B35" s="91">
        <v>0.0128223649010166</v>
      </c>
      <c r="C35" s="91">
        <v>0.04184590690208667</v>
      </c>
      <c r="D35" s="91">
        <v>0.0019957196361690744</v>
      </c>
      <c r="E35" s="92" t="s">
        <v>7</v>
      </c>
    </row>
    <row r="36" ht="12.75">
      <c r="A36" s="47"/>
    </row>
    <row r="37" spans="1:5" ht="12.75">
      <c r="A37" s="56" t="s">
        <v>16</v>
      </c>
      <c r="B37" s="31"/>
      <c r="C37" s="31"/>
      <c r="D37" s="31"/>
      <c r="E37" s="59"/>
    </row>
    <row r="38" spans="1:5" ht="12.75">
      <c r="A38" s="76"/>
      <c r="B38" s="32"/>
      <c r="C38" s="32"/>
      <c r="D38" s="77"/>
      <c r="E38" s="62"/>
    </row>
    <row r="39" spans="1:5" ht="15.75">
      <c r="A39" s="76" t="s">
        <v>8</v>
      </c>
      <c r="B39" s="77" t="s">
        <v>48</v>
      </c>
      <c r="C39" s="77" t="s">
        <v>262</v>
      </c>
      <c r="D39" s="77"/>
      <c r="E39" s="80"/>
    </row>
    <row r="40" spans="1:5" ht="15.75">
      <c r="A40" s="76"/>
      <c r="B40" s="77" t="s">
        <v>149</v>
      </c>
      <c r="C40" s="77" t="s">
        <v>47</v>
      </c>
      <c r="D40" s="77"/>
      <c r="E40" s="80"/>
    </row>
    <row r="41" spans="1:5" ht="12.75">
      <c r="A41" s="82" t="s">
        <v>116</v>
      </c>
      <c r="B41" s="41">
        <f>ROUNDUP(D29*2000/1620/30,0)</f>
        <v>9</v>
      </c>
      <c r="C41" s="74">
        <v>0.1</v>
      </c>
      <c r="D41" s="41"/>
      <c r="E41" s="67"/>
    </row>
    <row r="42" ht="12.75">
      <c r="A42" s="47"/>
    </row>
    <row r="43" spans="1:5" ht="12.75">
      <c r="A43" s="56" t="s">
        <v>21</v>
      </c>
      <c r="B43" s="31"/>
      <c r="C43" s="31"/>
      <c r="D43" s="31"/>
      <c r="E43" s="59"/>
    </row>
    <row r="44" spans="1:7" ht="12.75">
      <c r="A44" s="60"/>
      <c r="B44" s="77"/>
      <c r="C44" s="77"/>
      <c r="D44" s="77"/>
      <c r="E44" s="80"/>
      <c r="F44" s="2"/>
      <c r="G44" s="2"/>
    </row>
    <row r="45" spans="1:7" ht="12.75">
      <c r="A45" s="76" t="s">
        <v>104</v>
      </c>
      <c r="B45" s="77"/>
      <c r="C45" s="77"/>
      <c r="D45" s="77"/>
      <c r="E45" s="80"/>
      <c r="F45" s="2"/>
      <c r="G45" s="2"/>
    </row>
    <row r="46" spans="1:5" ht="12.75">
      <c r="A46" s="76"/>
      <c r="B46" s="77" t="s">
        <v>4</v>
      </c>
      <c r="C46" s="77" t="s">
        <v>5</v>
      </c>
      <c r="D46" s="77" t="s">
        <v>6</v>
      </c>
      <c r="E46" s="80"/>
    </row>
    <row r="47" spans="1:5" ht="12.75">
      <c r="A47" s="76" t="s">
        <v>3</v>
      </c>
      <c r="B47" s="44" t="s">
        <v>34</v>
      </c>
      <c r="C47" s="44" t="s">
        <v>34</v>
      </c>
      <c r="D47" s="44" t="s">
        <v>34</v>
      </c>
      <c r="E47" s="89"/>
    </row>
    <row r="48" spans="1:5" ht="12.75">
      <c r="A48" s="60" t="str">
        <f>A7</f>
        <v>Concrete/Industrial Saws</v>
      </c>
      <c r="B48" s="93">
        <f aca="true" t="shared" si="0" ref="B48:D50">+B15*$C7*$B7</f>
        <v>3.4722326595226294</v>
      </c>
      <c r="C48" s="93">
        <f t="shared" si="0"/>
        <v>5.524682993057899</v>
      </c>
      <c r="D48" s="93">
        <f t="shared" si="0"/>
        <v>0.46460904487973065</v>
      </c>
      <c r="E48" s="94"/>
    </row>
    <row r="49" spans="1:5" ht="12.75">
      <c r="A49" s="60" t="str">
        <f>A8</f>
        <v>Rubber Tired Dozers</v>
      </c>
      <c r="B49" s="93">
        <f t="shared" si="0"/>
        <v>12.015919240802516</v>
      </c>
      <c r="C49" s="93">
        <f t="shared" si="0"/>
        <v>25.003239262662035</v>
      </c>
      <c r="D49" s="93">
        <f t="shared" si="0"/>
        <v>1.0774037875396116</v>
      </c>
      <c r="E49" s="94"/>
    </row>
    <row r="50" spans="1:5" ht="12.75">
      <c r="A50" s="60" t="str">
        <f>A9</f>
        <v>Tractors/Loaders/Backhoes</v>
      </c>
      <c r="B50" s="93">
        <f t="shared" si="0"/>
        <v>9.582937915574455</v>
      </c>
      <c r="C50" s="93">
        <f t="shared" si="0"/>
        <v>17.343722528499868</v>
      </c>
      <c r="D50" s="93">
        <f t="shared" si="0"/>
        <v>1.34163735356898</v>
      </c>
      <c r="E50" s="94"/>
    </row>
    <row r="51" spans="1:5" ht="12.75">
      <c r="A51" s="63" t="s">
        <v>0</v>
      </c>
      <c r="B51" s="95">
        <f>SUM(B48:B50)</f>
        <v>25.0710898158996</v>
      </c>
      <c r="C51" s="95">
        <f>SUM(C48:C50)</f>
        <v>47.871644784219804</v>
      </c>
      <c r="D51" s="95">
        <f>SUM(D48:D50)</f>
        <v>2.8836501859883223</v>
      </c>
      <c r="E51" s="96"/>
    </row>
    <row r="52" spans="1:6" ht="12.75">
      <c r="A52" s="50"/>
      <c r="B52" s="12"/>
      <c r="C52" s="12"/>
      <c r="D52" s="12"/>
      <c r="E52" s="12"/>
      <c r="F52" s="12"/>
    </row>
    <row r="53" spans="1:6" ht="12.75">
      <c r="A53" s="56" t="s">
        <v>25</v>
      </c>
      <c r="B53" s="97"/>
      <c r="C53" s="97"/>
      <c r="D53" s="97"/>
      <c r="E53" s="98"/>
      <c r="F53" s="147"/>
    </row>
    <row r="54" spans="1:6" ht="12.75">
      <c r="A54" s="76"/>
      <c r="B54" s="99"/>
      <c r="C54" s="99"/>
      <c r="D54" s="99"/>
      <c r="E54" s="100"/>
      <c r="F54" s="147"/>
    </row>
    <row r="55" spans="1:6" ht="15.75">
      <c r="A55" s="101" t="s">
        <v>211</v>
      </c>
      <c r="B55" s="99"/>
      <c r="C55" s="99"/>
      <c r="D55" s="99"/>
      <c r="E55" s="100"/>
      <c r="F55" s="147"/>
    </row>
    <row r="56" spans="1:6" ht="12.75">
      <c r="A56" s="102" t="s">
        <v>210</v>
      </c>
      <c r="B56" s="99"/>
      <c r="C56" s="99"/>
      <c r="D56" s="99"/>
      <c r="E56" s="100"/>
      <c r="F56" s="147"/>
    </row>
    <row r="57" spans="1:6" ht="15.75">
      <c r="A57" s="76" t="s">
        <v>30</v>
      </c>
      <c r="C57" s="77" t="s">
        <v>126</v>
      </c>
      <c r="D57" s="77" t="s">
        <v>214</v>
      </c>
      <c r="E57" s="100"/>
      <c r="F57" s="147"/>
    </row>
    <row r="58" spans="1:6" ht="12.75">
      <c r="A58" s="60"/>
      <c r="C58" s="44" t="s">
        <v>127</v>
      </c>
      <c r="D58" s="44" t="s">
        <v>34</v>
      </c>
      <c r="E58" s="100"/>
      <c r="F58" s="147"/>
    </row>
    <row r="59" spans="1:6" ht="15.75">
      <c r="A59" s="102" t="s">
        <v>187</v>
      </c>
      <c r="C59" s="70">
        <v>61</v>
      </c>
      <c r="D59" s="93">
        <f>ROUND(0.0032*A29*(($B$29/5)^1.3)/(($C$29/2)^1.4)*$D$29*(1-C59/100),2)</f>
        <v>0.22</v>
      </c>
      <c r="E59" s="100"/>
      <c r="F59" s="147"/>
    </row>
    <row r="60" spans="1:6" ht="12.75">
      <c r="A60" s="102" t="s">
        <v>188</v>
      </c>
      <c r="C60" s="70">
        <v>61</v>
      </c>
      <c r="D60" s="93">
        <f>ROUND(0.0032*A29*(($B$29/5)^1.3)/(($C$29/2)^1.4)*$D$29*(1-C60/100),2)</f>
        <v>0.22</v>
      </c>
      <c r="E60" s="100"/>
      <c r="F60" s="147"/>
    </row>
    <row r="61" spans="1:6" ht="12.75">
      <c r="A61" s="63" t="s">
        <v>0</v>
      </c>
      <c r="B61" s="66"/>
      <c r="C61" s="66"/>
      <c r="D61" s="103">
        <f>SUM(D59:D60)</f>
        <v>0.44</v>
      </c>
      <c r="E61" s="96"/>
      <c r="F61" s="147"/>
    </row>
    <row r="63" spans="1:5" ht="12.75">
      <c r="A63" s="56" t="s">
        <v>120</v>
      </c>
      <c r="B63" s="31"/>
      <c r="C63" s="31"/>
      <c r="D63" s="31"/>
      <c r="E63" s="59"/>
    </row>
    <row r="64" spans="1:5" ht="12.75">
      <c r="A64" s="76"/>
      <c r="B64" s="32"/>
      <c r="C64" s="32"/>
      <c r="D64" s="32"/>
      <c r="E64" s="62"/>
    </row>
    <row r="65" spans="1:6" ht="12.75">
      <c r="A65" s="76" t="s">
        <v>121</v>
      </c>
      <c r="B65" s="77"/>
      <c r="C65" s="77"/>
      <c r="D65" s="77"/>
      <c r="E65" s="80"/>
      <c r="F65" s="2"/>
    </row>
    <row r="66" spans="1:6" ht="12.75">
      <c r="A66" s="76"/>
      <c r="B66" s="77"/>
      <c r="C66" s="77"/>
      <c r="D66" s="77"/>
      <c r="E66" s="80"/>
      <c r="F66" s="2"/>
    </row>
    <row r="67" spans="1:5" ht="12.75">
      <c r="A67" s="76"/>
      <c r="B67" s="77" t="s">
        <v>4</v>
      </c>
      <c r="C67" s="77" t="s">
        <v>5</v>
      </c>
      <c r="D67" s="77" t="s">
        <v>6</v>
      </c>
      <c r="E67" s="80"/>
    </row>
    <row r="68" spans="1:5" ht="12.75">
      <c r="A68" s="76" t="s">
        <v>8</v>
      </c>
      <c r="B68" s="44" t="s">
        <v>34</v>
      </c>
      <c r="C68" s="44" t="s">
        <v>34</v>
      </c>
      <c r="D68" s="44" t="s">
        <v>34</v>
      </c>
      <c r="E68" s="89"/>
    </row>
    <row r="69" spans="1:5" ht="12.75">
      <c r="A69" s="60" t="s">
        <v>116</v>
      </c>
      <c r="B69" s="93">
        <f>+B35*$C41*$B41*2</f>
        <v>0.02308025682182988</v>
      </c>
      <c r="C69" s="93">
        <f>+C35*$C41*$B41*2</f>
        <v>0.07532263242375602</v>
      </c>
      <c r="D69" s="81">
        <f>+D35*$C41*$B41*2</f>
        <v>0.0035922953451043346</v>
      </c>
      <c r="E69" s="104"/>
    </row>
    <row r="70" spans="1:5" ht="12.75">
      <c r="A70" s="63" t="s">
        <v>0</v>
      </c>
      <c r="B70" s="103">
        <f>SUM(B69:B69)</f>
        <v>0.02308025682182988</v>
      </c>
      <c r="C70" s="103">
        <f>SUM(C69:C69)</f>
        <v>0.07532263242375602</v>
      </c>
      <c r="D70" s="105">
        <f>SUM(D69:D69)</f>
        <v>0.0035922953451043346</v>
      </c>
      <c r="E70" s="106"/>
    </row>
    <row r="72" spans="1:5" ht="12.75">
      <c r="A72" s="56" t="s">
        <v>24</v>
      </c>
      <c r="B72" s="57"/>
      <c r="C72" s="57"/>
      <c r="D72" s="57"/>
      <c r="E72" s="107"/>
    </row>
    <row r="73" spans="1:5" ht="12.75">
      <c r="A73" s="76"/>
      <c r="B73" s="77"/>
      <c r="C73" s="77"/>
      <c r="D73" s="77"/>
      <c r="E73" s="80"/>
    </row>
    <row r="74" spans="1:5" ht="12.75">
      <c r="A74" s="76"/>
      <c r="B74" s="77" t="s">
        <v>4</v>
      </c>
      <c r="C74" s="77" t="s">
        <v>5</v>
      </c>
      <c r="D74" s="77" t="s">
        <v>6</v>
      </c>
      <c r="E74" s="80"/>
    </row>
    <row r="75" spans="1:5" ht="12.75">
      <c r="A75" s="76" t="s">
        <v>12</v>
      </c>
      <c r="B75" s="44" t="s">
        <v>34</v>
      </c>
      <c r="C75" s="44" t="s">
        <v>34</v>
      </c>
      <c r="D75" s="44" t="s">
        <v>34</v>
      </c>
      <c r="E75" s="89"/>
    </row>
    <row r="76" spans="1:5" ht="12.75">
      <c r="A76" s="60" t="s">
        <v>41</v>
      </c>
      <c r="B76" s="99">
        <f>+B51+B70</f>
        <v>25.094170072721433</v>
      </c>
      <c r="C76" s="99">
        <f>+C51+C70</f>
        <v>47.94696741664356</v>
      </c>
      <c r="D76" s="99">
        <f>+D51+D61+D70</f>
        <v>3.3272424813334265</v>
      </c>
      <c r="E76" s="62"/>
    </row>
    <row r="77" spans="1:5" ht="16.5">
      <c r="A77" s="76" t="s">
        <v>213</v>
      </c>
      <c r="B77" s="108">
        <v>226</v>
      </c>
      <c r="C77" s="108">
        <v>147</v>
      </c>
      <c r="D77" s="108">
        <v>6</v>
      </c>
      <c r="E77" s="109"/>
    </row>
    <row r="78" spans="1:5" ht="12.75">
      <c r="A78" s="63" t="s">
        <v>13</v>
      </c>
      <c r="B78" s="110" t="str">
        <f>IF(B76&gt;=B77,"YES","NO")</f>
        <v>NO</v>
      </c>
      <c r="C78" s="110" t="str">
        <f>IF(C76&gt;=C77,"YES","NO")</f>
        <v>NO</v>
      </c>
      <c r="D78" s="110" t="str">
        <f>IF(D76&gt;=D77,"YES","NO")</f>
        <v>NO</v>
      </c>
      <c r="E78" s="67"/>
    </row>
    <row r="79" spans="1:5" ht="12.75">
      <c r="A79" s="141"/>
      <c r="B79" s="77"/>
      <c r="C79" s="77"/>
      <c r="D79" s="77"/>
      <c r="E79" s="32"/>
    </row>
    <row r="80" spans="1:8" ht="15.75">
      <c r="A80" s="68" t="s">
        <v>222</v>
      </c>
      <c r="B80" s="57"/>
      <c r="C80" s="57" t="s">
        <v>228</v>
      </c>
      <c r="D80" s="57" t="s">
        <v>6</v>
      </c>
      <c r="E80" s="107" t="s">
        <v>223</v>
      </c>
      <c r="F80" s="77" t="s">
        <v>225</v>
      </c>
      <c r="G80" s="2"/>
      <c r="H80" s="2"/>
    </row>
    <row r="81" spans="1:6" ht="12.75">
      <c r="A81" s="79"/>
      <c r="B81" s="77"/>
      <c r="C81" s="77"/>
      <c r="D81" s="44" t="s">
        <v>34</v>
      </c>
      <c r="E81" s="89" t="s">
        <v>34</v>
      </c>
      <c r="F81" s="77" t="s">
        <v>226</v>
      </c>
    </row>
    <row r="82" spans="1:8" ht="12.75">
      <c r="A82" s="102" t="s">
        <v>265</v>
      </c>
      <c r="B82" s="44"/>
      <c r="C82" s="93">
        <f>'2 Acre Equip_Phase'!$M$3</f>
        <v>0.92</v>
      </c>
      <c r="D82" s="142">
        <f>D51</f>
        <v>2.8836501859883223</v>
      </c>
      <c r="E82" s="143">
        <f>D82*C82</f>
        <v>2.6529581711092565</v>
      </c>
      <c r="F82" s="170">
        <f>E82/E85</f>
        <v>0.9651257874932548</v>
      </c>
      <c r="H82" s="148"/>
    </row>
    <row r="83" spans="1:8" ht="12.75">
      <c r="A83" s="102" t="s">
        <v>266</v>
      </c>
      <c r="B83" s="44"/>
      <c r="C83" s="93">
        <f>'2 Acre Equip_Phase'!N3</f>
        <v>0.964</v>
      </c>
      <c r="D83" s="81">
        <f>D70</f>
        <v>0.0035922953451043346</v>
      </c>
      <c r="E83" s="169">
        <f>D83*C83</f>
        <v>0.0034629727126805785</v>
      </c>
      <c r="F83" s="170">
        <f>E83/E85</f>
        <v>0.0012598028505651305</v>
      </c>
      <c r="H83" s="148"/>
    </row>
    <row r="84" spans="1:8" ht="12.75">
      <c r="A84" s="102" t="s">
        <v>224</v>
      </c>
      <c r="B84" s="44"/>
      <c r="C84" s="44">
        <f>'2 Acre Equip_Phase'!$O$3</f>
        <v>0.21</v>
      </c>
      <c r="D84" s="93">
        <f>D61</f>
        <v>0.44</v>
      </c>
      <c r="E84" s="94">
        <f>D84*C84</f>
        <v>0.0924</v>
      </c>
      <c r="F84" s="170">
        <f>E84/E85</f>
        <v>0.033614409656180046</v>
      </c>
      <c r="H84" s="148"/>
    </row>
    <row r="85" spans="1:8" ht="12.75">
      <c r="A85" s="79" t="s">
        <v>0</v>
      </c>
      <c r="B85" s="77"/>
      <c r="C85" s="77"/>
      <c r="D85" s="99">
        <f>SUM(D82:D84)</f>
        <v>3.3272424813334265</v>
      </c>
      <c r="E85" s="100">
        <f>SUM(E82:E84)</f>
        <v>2.748821143821937</v>
      </c>
      <c r="F85" s="44"/>
      <c r="H85" s="148"/>
    </row>
    <row r="86" spans="1:8" ht="15.75">
      <c r="A86" s="76" t="s">
        <v>213</v>
      </c>
      <c r="B86" s="77"/>
      <c r="C86" s="77"/>
      <c r="D86" s="77"/>
      <c r="E86" s="151">
        <v>4</v>
      </c>
      <c r="F86" s="44"/>
      <c r="H86" s="148"/>
    </row>
    <row r="87" spans="1:8" ht="12.75">
      <c r="A87" s="146" t="s">
        <v>13</v>
      </c>
      <c r="B87" s="110"/>
      <c r="C87" s="110"/>
      <c r="D87" s="110"/>
      <c r="E87" s="92" t="str">
        <f>IF(E85&gt;=E86,"YES","NO")</f>
        <v>NO</v>
      </c>
      <c r="F87" s="44"/>
      <c r="H87" s="148"/>
    </row>
    <row r="88" spans="1:5" ht="12.75">
      <c r="A88" s="48"/>
      <c r="B88" s="5"/>
      <c r="C88" s="5"/>
      <c r="D88" s="5"/>
      <c r="E88" s="9"/>
    </row>
    <row r="89" spans="1:5" ht="12.75">
      <c r="A89" s="111" t="s">
        <v>137</v>
      </c>
      <c r="B89" s="31"/>
      <c r="C89" s="31"/>
      <c r="D89" s="31"/>
      <c r="E89" s="59"/>
    </row>
    <row r="90" spans="1:5" ht="12.75">
      <c r="A90" s="113" t="s">
        <v>219</v>
      </c>
      <c r="B90" s="138"/>
      <c r="C90" s="138"/>
      <c r="D90" s="138"/>
      <c r="E90" s="130"/>
    </row>
    <row r="91" spans="1:5" ht="12.75">
      <c r="A91" s="113" t="s">
        <v>220</v>
      </c>
      <c r="B91" s="138"/>
      <c r="C91" s="138"/>
      <c r="D91" s="138"/>
      <c r="E91" s="130"/>
    </row>
    <row r="92" spans="1:5" ht="12.75">
      <c r="A92" s="112" t="s">
        <v>131</v>
      </c>
      <c r="B92" s="32"/>
      <c r="C92" s="32"/>
      <c r="D92" s="32"/>
      <c r="E92" s="62"/>
    </row>
    <row r="93" spans="1:5" ht="12.75">
      <c r="A93" s="112" t="s">
        <v>221</v>
      </c>
      <c r="B93" s="32"/>
      <c r="C93" s="32"/>
      <c r="D93" s="32"/>
      <c r="E93" s="62"/>
    </row>
    <row r="94" spans="1:5" ht="12.75">
      <c r="A94" s="112" t="s">
        <v>246</v>
      </c>
      <c r="B94" s="32"/>
      <c r="C94" s="32"/>
      <c r="D94" s="32"/>
      <c r="E94" s="62"/>
    </row>
    <row r="95" spans="1:5" ht="12.75">
      <c r="A95" s="112" t="s">
        <v>249</v>
      </c>
      <c r="B95" s="32"/>
      <c r="C95" s="32"/>
      <c r="D95" s="32"/>
      <c r="E95" s="62"/>
    </row>
    <row r="96" spans="1:5" ht="12.75">
      <c r="A96" s="112" t="s">
        <v>132</v>
      </c>
      <c r="B96" s="32"/>
      <c r="C96" s="32"/>
      <c r="D96" s="32"/>
      <c r="E96" s="62"/>
    </row>
    <row r="97" spans="1:5" ht="12.75">
      <c r="A97" s="112" t="s">
        <v>200</v>
      </c>
      <c r="B97" s="32"/>
      <c r="C97" s="32"/>
      <c r="D97" s="32"/>
      <c r="E97" s="62"/>
    </row>
    <row r="98" spans="1:5" ht="12.75">
      <c r="A98" s="112" t="s">
        <v>133</v>
      </c>
      <c r="B98" s="32"/>
      <c r="C98" s="32"/>
      <c r="D98" s="32"/>
      <c r="E98" s="62"/>
    </row>
    <row r="99" spans="1:5" ht="12.75">
      <c r="A99" s="112" t="str">
        <f>"    ("&amp;TEXT(D2,"0,000")&amp;" sq ft x 0.046 ton/sq ft)/"&amp;B4&amp;" days = "&amp;ROUND(D29,0)&amp;" ton/day"</f>
        <v>    (87,000 sq ft x 0.046 ton/sq ft)/20 days = 200 ton/day</v>
      </c>
      <c r="B99" s="32"/>
      <c r="C99" s="32"/>
      <c r="D99" s="32"/>
      <c r="E99" s="62"/>
    </row>
    <row r="100" spans="1:5" ht="12.75">
      <c r="A100" s="112" t="s">
        <v>269</v>
      </c>
      <c r="B100" s="32"/>
      <c r="C100" s="32"/>
      <c r="D100" s="32"/>
      <c r="E100" s="62"/>
    </row>
    <row r="101" spans="1:5" ht="12.75">
      <c r="A101" s="112" t="str">
        <f>"i) Assumed 30 cubic yd truck capacity [("&amp;D29&amp;" ton/day x 2,000 lb/ton x cyd/1,620 lb = "&amp;ROUND(D29*2000/1620,0)&amp;" cyd)/30 cyd/truck = "&amp;B41&amp;" one-way truck trips/day, building debris density is assumed to be 1,620 lb/cyd]"</f>
        <v>i) Assumed 30 cubic yd truck capacity [(200.1 ton/day x 2,000 lb/ton x cyd/1,620 lb = 247 cyd)/30 cyd/truck = 9 one-way truck trips/day, building debris density is assumed to be 1,620 lb/cyd]</v>
      </c>
      <c r="B101" s="32"/>
      <c r="C101" s="32"/>
      <c r="D101" s="32"/>
      <c r="E101" s="62"/>
    </row>
    <row r="102" spans="1:5" ht="12.75">
      <c r="A102" s="113" t="s">
        <v>134</v>
      </c>
      <c r="B102" s="32"/>
      <c r="C102" s="32"/>
      <c r="D102" s="32"/>
      <c r="E102" s="62"/>
    </row>
    <row r="103" spans="1:5" ht="12.75">
      <c r="A103" s="112" t="s">
        <v>135</v>
      </c>
      <c r="B103" s="32"/>
      <c r="C103" s="32"/>
      <c r="D103" s="32"/>
      <c r="E103" s="62"/>
    </row>
    <row r="104" spans="1:5" ht="12.75">
      <c r="A104" s="112" t="s">
        <v>250</v>
      </c>
      <c r="B104" s="32"/>
      <c r="C104" s="32"/>
      <c r="D104" s="32"/>
      <c r="E104" s="62"/>
    </row>
    <row r="105" spans="1:5" ht="12.75">
      <c r="A105" s="112" t="s">
        <v>136</v>
      </c>
      <c r="B105" s="32"/>
      <c r="C105" s="32"/>
      <c r="D105" s="32"/>
      <c r="E105" s="62"/>
    </row>
    <row r="106" spans="1:5" ht="12.75">
      <c r="A106" s="84" t="s">
        <v>251</v>
      </c>
      <c r="B106" s="32"/>
      <c r="C106" s="32"/>
      <c r="D106" s="32"/>
      <c r="E106" s="62"/>
    </row>
    <row r="107" spans="1:5" ht="12.75">
      <c r="A107" s="112" t="s">
        <v>212</v>
      </c>
      <c r="B107" s="32"/>
      <c r="C107" s="32"/>
      <c r="D107" s="32"/>
      <c r="E107" s="62"/>
    </row>
    <row r="108" spans="1:5" ht="12.75">
      <c r="A108" s="84" t="s">
        <v>234</v>
      </c>
      <c r="B108" s="32"/>
      <c r="C108" s="32"/>
      <c r="D108" s="32"/>
      <c r="E108" s="62"/>
    </row>
    <row r="109" spans="1:5" ht="12.75">
      <c r="A109" s="114" t="s">
        <v>252</v>
      </c>
      <c r="B109" s="66"/>
      <c r="C109" s="66"/>
      <c r="D109" s="66"/>
      <c r="E109" s="67"/>
    </row>
  </sheetData>
  <printOptions/>
  <pageMargins left="0.75" right="0.75" top="1" bottom="1" header="0.5" footer="0.5"/>
  <pageSetup fitToHeight="0" fitToWidth="1" horizontalDpi="600" verticalDpi="600" orientation="landscape" scale="93" r:id="rId1"/>
  <headerFooter alignWithMargins="0">
    <oddHeader>&amp;C&amp;"Times New Roman,Bold"Two Acre Site Example - Demolition Phase</oddHeader>
    <oddFooter>&amp;C&amp;"Times New Roman,Regular"B-&amp;P</oddFooter>
  </headerFooter>
  <rowBreaks count="3" manualBreakCount="3">
    <brk id="36" max="4" man="1"/>
    <brk id="71" max="4" man="1"/>
    <brk id="140" max="255" man="1"/>
  </rowBreaks>
</worksheet>
</file>

<file path=xl/worksheets/sheet4.xml><?xml version="1.0" encoding="utf-8"?>
<worksheet xmlns="http://schemas.openxmlformats.org/spreadsheetml/2006/main" xmlns:r="http://schemas.openxmlformats.org/officeDocument/2006/relationships">
  <sheetPr codeName="Sheet5">
    <pageSetUpPr fitToPage="1"/>
  </sheetPr>
  <dimension ref="A1:I122"/>
  <sheetViews>
    <sheetView view="pageBreakPreview" zoomScale="75" zoomScaleSheetLayoutView="75" workbookViewId="0" topLeftCell="A1">
      <selection activeCell="A1" sqref="A1"/>
    </sheetView>
  </sheetViews>
  <sheetFormatPr defaultColWidth="9.140625" defaultRowHeight="12.75"/>
  <cols>
    <col min="1" max="1" width="31.140625" style="7" customWidth="1"/>
    <col min="2" max="2" width="22.140625" style="3" customWidth="1"/>
    <col min="3" max="3" width="22.28125" style="3" customWidth="1"/>
    <col min="4" max="6" width="19.421875" style="3" customWidth="1"/>
    <col min="7" max="7" width="14.00390625" style="4" bestFit="1" customWidth="1"/>
    <col min="8" max="8" width="18.28125" style="4" bestFit="1" customWidth="1"/>
    <col min="9" max="9" width="20.00390625" style="4" bestFit="1" customWidth="1"/>
    <col min="10" max="16384" width="9.140625" style="3" customWidth="1"/>
  </cols>
  <sheetData>
    <row r="1" spans="1:6" ht="12.75">
      <c r="A1" s="56" t="s">
        <v>54</v>
      </c>
      <c r="B1" s="57"/>
      <c r="C1" s="58" t="s">
        <v>1</v>
      </c>
      <c r="D1" s="31"/>
      <c r="E1" s="31"/>
      <c r="F1" s="59"/>
    </row>
    <row r="2" spans="1:6" ht="15.75">
      <c r="A2" s="60" t="s">
        <v>55</v>
      </c>
      <c r="B2" s="44"/>
      <c r="C2" s="137" t="s">
        <v>62</v>
      </c>
      <c r="D2" s="140">
        <v>87000</v>
      </c>
      <c r="E2" s="32" t="s">
        <v>141</v>
      </c>
      <c r="F2" s="62"/>
    </row>
    <row r="3" spans="1:6" ht="12.75">
      <c r="A3" s="60"/>
      <c r="B3" s="44"/>
      <c r="C3" s="32"/>
      <c r="D3" s="32"/>
      <c r="E3" s="32"/>
      <c r="F3" s="62"/>
    </row>
    <row r="4" spans="1:6" ht="15.75">
      <c r="A4" s="63" t="s">
        <v>124</v>
      </c>
      <c r="B4" s="64">
        <v>2</v>
      </c>
      <c r="C4" s="65" t="s">
        <v>139</v>
      </c>
      <c r="D4" s="66"/>
      <c r="E4" s="66"/>
      <c r="F4" s="67"/>
    </row>
    <row r="5" ht="12.75">
      <c r="A5" s="6"/>
    </row>
    <row r="6" spans="1:6" ht="15.75">
      <c r="A6" s="68" t="s">
        <v>138</v>
      </c>
      <c r="B6" s="57" t="s">
        <v>17</v>
      </c>
      <c r="C6" s="57" t="s">
        <v>35</v>
      </c>
      <c r="D6" s="57" t="s">
        <v>18</v>
      </c>
      <c r="E6" s="31"/>
      <c r="F6" s="59"/>
    </row>
    <row r="7" spans="1:6" ht="12.75">
      <c r="A7" s="69" t="s">
        <v>96</v>
      </c>
      <c r="B7" s="72">
        <v>1</v>
      </c>
      <c r="C7" s="71">
        <v>7</v>
      </c>
      <c r="D7" s="70">
        <v>5</v>
      </c>
      <c r="E7" s="32"/>
      <c r="F7" s="62"/>
    </row>
    <row r="8" spans="1:6" ht="12.75">
      <c r="A8" s="69" t="s">
        <v>89</v>
      </c>
      <c r="B8" s="70">
        <v>1</v>
      </c>
      <c r="C8" s="71">
        <v>8</v>
      </c>
      <c r="D8" s="44"/>
      <c r="E8" s="32"/>
      <c r="F8" s="62"/>
    </row>
    <row r="9" spans="1:6" ht="12.75">
      <c r="A9" s="73" t="s">
        <v>102</v>
      </c>
      <c r="B9" s="74">
        <v>1</v>
      </c>
      <c r="C9" s="75">
        <v>8</v>
      </c>
      <c r="D9" s="41"/>
      <c r="E9" s="66"/>
      <c r="F9" s="67"/>
    </row>
    <row r="11" spans="1:6" ht="12.75">
      <c r="A11" s="56" t="s">
        <v>19</v>
      </c>
      <c r="B11" s="31"/>
      <c r="C11" s="31"/>
      <c r="D11" s="31"/>
      <c r="E11" s="31"/>
      <c r="F11" s="59"/>
    </row>
    <row r="12" spans="1:6" ht="12.75">
      <c r="A12" s="76"/>
      <c r="B12" s="32"/>
      <c r="C12" s="32"/>
      <c r="D12" s="32"/>
      <c r="E12" s="32"/>
      <c r="F12" s="62"/>
    </row>
    <row r="13" spans="1:6" ht="12.75">
      <c r="A13" s="60"/>
      <c r="B13" s="77" t="s">
        <v>81</v>
      </c>
      <c r="C13" s="77" t="s">
        <v>59</v>
      </c>
      <c r="D13" s="77" t="s">
        <v>60</v>
      </c>
      <c r="E13" s="115"/>
      <c r="F13" s="62"/>
    </row>
    <row r="14" spans="1:6" ht="15.75">
      <c r="A14" s="79" t="s">
        <v>142</v>
      </c>
      <c r="B14" s="44" t="s">
        <v>23</v>
      </c>
      <c r="C14" s="44" t="s">
        <v>23</v>
      </c>
      <c r="D14" s="44" t="s">
        <v>23</v>
      </c>
      <c r="E14" s="77"/>
      <c r="F14" s="62"/>
    </row>
    <row r="15" spans="1:6" ht="12.75">
      <c r="A15" s="60" t="str">
        <f>A7</f>
        <v>Rubber Tired Dozers</v>
      </c>
      <c r="B15" s="81">
        <f>GETPIVOTDATA("Ems Factor #/hr",'Off-Road Model EF'!$A$4,"Eq Name",$A15,"Hp","Composite","Pollutant",B$13)</f>
        <v>1.5019899051003145</v>
      </c>
      <c r="C15" s="81">
        <f>GETPIVOTDATA("Ems Factor #/hr",'Off-Road Model EF'!$A$4,"Eq Name",$A15,"Hp","Composite","Pollutant",C$13)</f>
        <v>3.1254049078327544</v>
      </c>
      <c r="D15" s="81">
        <f>GETPIVOTDATA("Ems Factor #/hr",'Off-Road Model EF'!$A$4,"Eq Name",$A15,"Hp","Composite","Pollutant",D$13)</f>
        <v>0.13467547344245145</v>
      </c>
      <c r="E15" s="32"/>
      <c r="F15" s="62"/>
    </row>
    <row r="16" spans="1:6" ht="12.75">
      <c r="A16" s="60" t="str">
        <f>A8</f>
        <v>Graders</v>
      </c>
      <c r="B16" s="81">
        <f>GETPIVOTDATA("Ems Factor #/hr",'Off-Road Model EF'!$A$4,"Eq Name",$A16,"Hp","Composite","Pollutant",B$13)</f>
        <v>0.6428411785619518</v>
      </c>
      <c r="C16" s="81">
        <f>GETPIVOTDATA("Ems Factor #/hr",'Off-Road Model EF'!$A$4,"Eq Name",$A16,"Hp","Composite","Pollutant",C$13)</f>
        <v>1.5237348491371676</v>
      </c>
      <c r="D16" s="81">
        <f>GETPIVOTDATA("Ems Factor #/hr",'Off-Road Model EF'!$A$4,"Eq Name",$A16,"Hp","Composite","Pollutant",D$13)</f>
        <v>0.07957679435331354</v>
      </c>
      <c r="E16" s="32"/>
      <c r="F16" s="62"/>
    </row>
    <row r="17" spans="1:6" ht="12.75">
      <c r="A17" s="82" t="str">
        <f>A9</f>
        <v>Tractors/Loaders/Backhoes</v>
      </c>
      <c r="B17" s="83">
        <f>GETPIVOTDATA("Ems Factor #/hr",'Off-Road Model EF'!$A$4,"Eq Name",$A17,"Hp","Composite","Pollutant",B$13)</f>
        <v>0.3992890798156023</v>
      </c>
      <c r="C17" s="83">
        <f>GETPIVOTDATA("Ems Factor #/hr",'Off-Road Model EF'!$A$4,"Eq Name",$A17,"Hp","Composite","Pollutant",C$13)</f>
        <v>0.7226551053541611</v>
      </c>
      <c r="D17" s="83">
        <f>GETPIVOTDATA("Ems Factor #/hr",'Off-Road Model EF'!$A$4,"Eq Name",$A17,"Hp","Composite","Pollutant",D$13)</f>
        <v>0.0559015563987075</v>
      </c>
      <c r="E17" s="110"/>
      <c r="F17" s="67"/>
    </row>
    <row r="19" spans="1:6" ht="12.75">
      <c r="A19" s="56" t="s">
        <v>56</v>
      </c>
      <c r="B19" s="31"/>
      <c r="C19" s="31"/>
      <c r="D19" s="31"/>
      <c r="E19" s="31"/>
      <c r="F19" s="59"/>
    </row>
    <row r="20" spans="1:6" ht="12.75">
      <c r="A20" s="76"/>
      <c r="B20" s="32"/>
      <c r="C20" s="32"/>
      <c r="D20" s="32"/>
      <c r="E20" s="32"/>
      <c r="F20" s="62"/>
    </row>
    <row r="21" spans="1:6" ht="15.75">
      <c r="A21" s="76" t="s">
        <v>150</v>
      </c>
      <c r="B21" s="77" t="s">
        <v>151</v>
      </c>
      <c r="C21" s="77"/>
      <c r="D21" s="32"/>
      <c r="E21" s="32"/>
      <c r="F21" s="62"/>
    </row>
    <row r="22" spans="1:6" ht="12.75">
      <c r="A22" s="87">
        <v>6.9</v>
      </c>
      <c r="B22" s="75">
        <v>7.9</v>
      </c>
      <c r="C22" s="66"/>
      <c r="D22" s="66"/>
      <c r="E22" s="66"/>
      <c r="F22" s="67"/>
    </row>
    <row r="23" ht="12.75">
      <c r="A23" s="47"/>
    </row>
    <row r="24" spans="1:6" ht="12.75">
      <c r="A24" s="56" t="s">
        <v>44</v>
      </c>
      <c r="B24" s="31"/>
      <c r="C24" s="31"/>
      <c r="D24" s="31"/>
      <c r="E24" s="31"/>
      <c r="F24" s="59"/>
    </row>
    <row r="25" spans="1:6" ht="12.75">
      <c r="A25" s="117"/>
      <c r="B25" s="32"/>
      <c r="C25" s="32"/>
      <c r="D25" s="32"/>
      <c r="E25" s="32"/>
      <c r="F25" s="62"/>
    </row>
    <row r="26" spans="1:6" s="2" customFormat="1" ht="15.75">
      <c r="A26" s="76" t="s">
        <v>150</v>
      </c>
      <c r="B26" s="77" t="s">
        <v>156</v>
      </c>
      <c r="C26" s="77" t="s">
        <v>157</v>
      </c>
      <c r="D26" s="77" t="s">
        <v>45</v>
      </c>
      <c r="E26" s="77" t="s">
        <v>158</v>
      </c>
      <c r="F26" s="80"/>
    </row>
    <row r="27" spans="1:6" ht="12.75">
      <c r="A27" s="87">
        <v>6.9</v>
      </c>
      <c r="B27" s="74">
        <v>10</v>
      </c>
      <c r="C27" s="74">
        <v>100</v>
      </c>
      <c r="D27" s="74">
        <v>0.5</v>
      </c>
      <c r="E27" s="74">
        <v>0.06</v>
      </c>
      <c r="F27" s="67"/>
    </row>
    <row r="29" spans="1:6" ht="12.75">
      <c r="A29" s="56" t="s">
        <v>32</v>
      </c>
      <c r="B29" s="31"/>
      <c r="C29" s="31"/>
      <c r="D29" s="31"/>
      <c r="E29" s="31"/>
      <c r="F29" s="59"/>
    </row>
    <row r="30" spans="1:6" ht="12.75">
      <c r="A30" s="76"/>
      <c r="B30" s="32"/>
      <c r="C30" s="32"/>
      <c r="D30" s="32"/>
      <c r="E30" s="32"/>
      <c r="F30" s="62"/>
    </row>
    <row r="31" spans="1:6" ht="15.75">
      <c r="A31" s="76" t="s">
        <v>161</v>
      </c>
      <c r="B31" s="77" t="s">
        <v>189</v>
      </c>
      <c r="C31" s="77" t="s">
        <v>151</v>
      </c>
      <c r="D31" s="77" t="s">
        <v>152</v>
      </c>
      <c r="E31" s="77" t="s">
        <v>153</v>
      </c>
      <c r="F31" s="80" t="s">
        <v>190</v>
      </c>
    </row>
    <row r="32" spans="1:6" ht="12.75">
      <c r="A32" s="60"/>
      <c r="B32" s="44" t="s">
        <v>33</v>
      </c>
      <c r="C32" s="44"/>
      <c r="D32" s="44" t="s">
        <v>77</v>
      </c>
      <c r="E32" s="44" t="s">
        <v>77</v>
      </c>
      <c r="F32" s="89" t="s">
        <v>34</v>
      </c>
    </row>
    <row r="33" spans="1:6" ht="12.75">
      <c r="A33" s="87">
        <v>0.35</v>
      </c>
      <c r="B33" s="74">
        <v>10</v>
      </c>
      <c r="C33" s="75">
        <v>7.9</v>
      </c>
      <c r="D33" s="116">
        <f>ROUND(12000/27,0)</f>
        <v>444</v>
      </c>
      <c r="E33" s="74">
        <v>48</v>
      </c>
      <c r="F33" s="118">
        <f>ROUND(D33*2500/B4,0)</f>
        <v>555000</v>
      </c>
    </row>
    <row r="35" spans="1:6" ht="12.75">
      <c r="A35" s="56" t="s">
        <v>15</v>
      </c>
      <c r="B35" s="31"/>
      <c r="C35" s="31"/>
      <c r="D35" s="31"/>
      <c r="E35" s="31"/>
      <c r="F35" s="59"/>
    </row>
    <row r="36" spans="1:7" ht="12.75">
      <c r="A36" s="60"/>
      <c r="B36" s="32"/>
      <c r="C36" s="32"/>
      <c r="D36" s="32"/>
      <c r="E36" s="115"/>
      <c r="F36" s="80"/>
      <c r="G36" s="2"/>
    </row>
    <row r="37" spans="1:6" ht="12.75">
      <c r="A37" s="76"/>
      <c r="B37" s="77" t="s">
        <v>4</v>
      </c>
      <c r="C37" s="77" t="s">
        <v>5</v>
      </c>
      <c r="D37" s="77" t="s">
        <v>6</v>
      </c>
      <c r="E37" s="32"/>
      <c r="F37" s="62"/>
    </row>
    <row r="38" spans="1:6" ht="12.75">
      <c r="A38" s="60"/>
      <c r="B38" s="44" t="s">
        <v>14</v>
      </c>
      <c r="C38" s="44" t="s">
        <v>14</v>
      </c>
      <c r="D38" s="44" t="s">
        <v>14</v>
      </c>
      <c r="E38" s="44"/>
      <c r="F38" s="62"/>
    </row>
    <row r="39" spans="1:6" ht="15.75">
      <c r="A39" s="82" t="s">
        <v>163</v>
      </c>
      <c r="B39" s="91">
        <v>0.0128223649010166</v>
      </c>
      <c r="C39" s="91">
        <v>0.04184590690208667</v>
      </c>
      <c r="D39" s="91">
        <v>0.0019957196361690744</v>
      </c>
      <c r="E39" s="110" t="s">
        <v>7</v>
      </c>
      <c r="F39" s="67"/>
    </row>
    <row r="40" spans="1:5" ht="12.75">
      <c r="A40" s="47"/>
      <c r="E40" s="4"/>
    </row>
    <row r="41" spans="1:6" ht="12.75">
      <c r="A41" s="56" t="s">
        <v>16</v>
      </c>
      <c r="B41" s="31"/>
      <c r="C41" s="31"/>
      <c r="D41" s="31"/>
      <c r="E41" s="31"/>
      <c r="F41" s="59"/>
    </row>
    <row r="42" spans="1:6" ht="12.75">
      <c r="A42" s="76"/>
      <c r="B42" s="32"/>
      <c r="C42" s="32"/>
      <c r="D42" s="32"/>
      <c r="E42" s="32"/>
      <c r="F42" s="62"/>
    </row>
    <row r="43" spans="1:6" ht="12.75">
      <c r="A43" s="76" t="s">
        <v>8</v>
      </c>
      <c r="B43" s="77" t="s">
        <v>48</v>
      </c>
      <c r="C43" s="77" t="s">
        <v>260</v>
      </c>
      <c r="D43" s="77"/>
      <c r="E43" s="77"/>
      <c r="F43" s="62"/>
    </row>
    <row r="44" spans="1:6" ht="12.75">
      <c r="A44" s="76"/>
      <c r="B44" s="77" t="s">
        <v>49</v>
      </c>
      <c r="C44" s="77" t="s">
        <v>47</v>
      </c>
      <c r="D44" s="77"/>
      <c r="E44" s="77"/>
      <c r="F44" s="62"/>
    </row>
    <row r="45" spans="1:6" ht="15.75">
      <c r="A45" s="60" t="s">
        <v>191</v>
      </c>
      <c r="B45" s="119">
        <f>ROUNDUP((D33+E33)/30/B4,0)</f>
        <v>9</v>
      </c>
      <c r="C45" s="70">
        <v>0.1</v>
      </c>
      <c r="D45" s="44"/>
      <c r="E45" s="32"/>
      <c r="F45" s="62"/>
    </row>
    <row r="46" spans="1:6" ht="15.75">
      <c r="A46" s="82" t="s">
        <v>192</v>
      </c>
      <c r="B46" s="74">
        <v>3</v>
      </c>
      <c r="C46" s="41">
        <f>ROUNDUP(D2/6/5280,1)</f>
        <v>2.8000000000000003</v>
      </c>
      <c r="D46" s="41"/>
      <c r="E46" s="66"/>
      <c r="F46" s="67"/>
    </row>
    <row r="47" ht="12.75">
      <c r="A47" s="47"/>
    </row>
    <row r="48" spans="1:6" ht="12.75">
      <c r="A48" s="56" t="s">
        <v>21</v>
      </c>
      <c r="B48" s="31"/>
      <c r="C48" s="31"/>
      <c r="D48" s="31"/>
      <c r="E48" s="31"/>
      <c r="F48" s="59"/>
    </row>
    <row r="49" spans="1:6" ht="12.75">
      <c r="A49" s="76"/>
      <c r="B49" s="32"/>
      <c r="C49" s="32"/>
      <c r="D49" s="32"/>
      <c r="E49" s="32"/>
      <c r="F49" s="62"/>
    </row>
    <row r="50" spans="1:6" ht="12.75">
      <c r="A50" s="76" t="s">
        <v>104</v>
      </c>
      <c r="B50" s="32"/>
      <c r="C50" s="32"/>
      <c r="D50" s="32"/>
      <c r="E50" s="32"/>
      <c r="F50" s="62"/>
    </row>
    <row r="51" spans="1:7" ht="12.75">
      <c r="A51" s="60"/>
      <c r="B51" s="77"/>
      <c r="C51" s="77"/>
      <c r="D51" s="77"/>
      <c r="E51" s="77"/>
      <c r="F51" s="80"/>
      <c r="G51" s="2"/>
    </row>
    <row r="52" spans="1:6" ht="12.75">
      <c r="A52" s="76"/>
      <c r="B52" s="77" t="s">
        <v>4</v>
      </c>
      <c r="C52" s="77" t="s">
        <v>5</v>
      </c>
      <c r="D52" s="77" t="s">
        <v>6</v>
      </c>
      <c r="E52" s="77"/>
      <c r="F52" s="62"/>
    </row>
    <row r="53" spans="1:6" ht="12.75">
      <c r="A53" s="76" t="s">
        <v>3</v>
      </c>
      <c r="B53" s="44" t="s">
        <v>34</v>
      </c>
      <c r="C53" s="44" t="s">
        <v>34</v>
      </c>
      <c r="D53" s="44" t="s">
        <v>34</v>
      </c>
      <c r="E53" s="44"/>
      <c r="F53" s="62"/>
    </row>
    <row r="54" spans="1:6" ht="12.75">
      <c r="A54" s="60" t="str">
        <f>A7</f>
        <v>Rubber Tired Dozers</v>
      </c>
      <c r="B54" s="93">
        <f aca="true" t="shared" si="0" ref="B54:D56">+B15*$C7*$B7</f>
        <v>10.513929335702201</v>
      </c>
      <c r="C54" s="93">
        <f t="shared" si="0"/>
        <v>21.877834354829282</v>
      </c>
      <c r="D54" s="93">
        <f t="shared" si="0"/>
        <v>0.9427283140971602</v>
      </c>
      <c r="E54" s="32"/>
      <c r="F54" s="62"/>
    </row>
    <row r="55" spans="1:6" ht="12.75">
      <c r="A55" s="60" t="str">
        <f>A8</f>
        <v>Graders</v>
      </c>
      <c r="B55" s="93">
        <f t="shared" si="0"/>
        <v>5.142729428495614</v>
      </c>
      <c r="C55" s="93">
        <f t="shared" si="0"/>
        <v>12.189878793097341</v>
      </c>
      <c r="D55" s="93">
        <f t="shared" si="0"/>
        <v>0.6366143548265083</v>
      </c>
      <c r="E55" s="32"/>
      <c r="F55" s="62"/>
    </row>
    <row r="56" spans="1:6" ht="12.75">
      <c r="A56" s="60" t="str">
        <f>A9</f>
        <v>Tractors/Loaders/Backhoes</v>
      </c>
      <c r="B56" s="93">
        <f t="shared" si="0"/>
        <v>3.1943126385248184</v>
      </c>
      <c r="C56" s="93">
        <f t="shared" si="0"/>
        <v>5.781240842833289</v>
      </c>
      <c r="D56" s="93">
        <f t="shared" si="0"/>
        <v>0.44721245118966</v>
      </c>
      <c r="E56" s="120"/>
      <c r="F56" s="62"/>
    </row>
    <row r="57" spans="1:6" ht="12.75">
      <c r="A57" s="63" t="s">
        <v>0</v>
      </c>
      <c r="B57" s="95">
        <f>SUM(B54:B56)</f>
        <v>18.85097140272263</v>
      </c>
      <c r="C57" s="95">
        <f>SUM(C54:C56)</f>
        <v>39.84895399075992</v>
      </c>
      <c r="D57" s="95">
        <f>SUM(D54:D56)</f>
        <v>2.0265551201133283</v>
      </c>
      <c r="E57" s="121"/>
      <c r="F57" s="67"/>
    </row>
    <row r="59" spans="1:6" ht="12.75">
      <c r="A59" s="56" t="s">
        <v>36</v>
      </c>
      <c r="B59" s="31"/>
      <c r="C59" s="31"/>
      <c r="D59" s="31"/>
      <c r="E59" s="31"/>
      <c r="F59" s="59"/>
    </row>
    <row r="60" spans="1:6" ht="12.75">
      <c r="A60" s="60"/>
      <c r="B60" s="32"/>
      <c r="C60" s="32"/>
      <c r="D60" s="32"/>
      <c r="E60" s="32"/>
      <c r="F60" s="62"/>
    </row>
    <row r="61" spans="1:6" ht="12.75">
      <c r="A61" s="76" t="s">
        <v>22</v>
      </c>
      <c r="B61" s="32"/>
      <c r="C61" s="32"/>
      <c r="D61" s="32"/>
      <c r="E61" s="32"/>
      <c r="F61" s="62"/>
    </row>
    <row r="62" spans="1:6" ht="15.75">
      <c r="A62" s="101" t="s">
        <v>204</v>
      </c>
      <c r="B62" s="32"/>
      <c r="C62" s="32"/>
      <c r="D62" s="32"/>
      <c r="E62" s="32"/>
      <c r="F62" s="62"/>
    </row>
    <row r="63" spans="1:6" ht="15.75">
      <c r="A63" s="122" t="s">
        <v>205</v>
      </c>
      <c r="B63" s="32"/>
      <c r="C63" s="32"/>
      <c r="D63" s="32"/>
      <c r="E63" s="32"/>
      <c r="F63" s="62"/>
    </row>
    <row r="64" spans="1:6" ht="15.75">
      <c r="A64" s="122" t="s">
        <v>206</v>
      </c>
      <c r="B64" s="32"/>
      <c r="C64" s="32"/>
      <c r="D64" s="32"/>
      <c r="E64" s="32"/>
      <c r="F64" s="62"/>
    </row>
    <row r="65" spans="1:6" ht="12.75">
      <c r="A65" s="122" t="s">
        <v>208</v>
      </c>
      <c r="B65" s="32"/>
      <c r="C65" s="32"/>
      <c r="D65" s="32"/>
      <c r="E65" s="32"/>
      <c r="F65" s="62"/>
    </row>
    <row r="66" spans="1:6" ht="12.75">
      <c r="A66" s="122"/>
      <c r="B66" s="32"/>
      <c r="C66" s="32"/>
      <c r="D66" s="32"/>
      <c r="E66" s="32"/>
      <c r="F66" s="62"/>
    </row>
    <row r="67" spans="1:6" ht="15.75">
      <c r="A67" s="60"/>
      <c r="C67" s="77" t="s">
        <v>126</v>
      </c>
      <c r="D67" s="77" t="s">
        <v>198</v>
      </c>
      <c r="E67" s="32"/>
      <c r="F67" s="62"/>
    </row>
    <row r="68" spans="1:6" ht="12.75">
      <c r="A68" s="76" t="s">
        <v>30</v>
      </c>
      <c r="C68" s="44" t="s">
        <v>127</v>
      </c>
      <c r="D68" s="44" t="s">
        <v>34</v>
      </c>
      <c r="E68" s="32"/>
      <c r="F68" s="62"/>
    </row>
    <row r="69" spans="1:6" ht="12.75">
      <c r="A69" s="60" t="s">
        <v>57</v>
      </c>
      <c r="C69" s="70">
        <v>61</v>
      </c>
      <c r="D69" s="93">
        <f>ROUND(0.75*$A22^1.5/$B22^1.4*C7*(1-C69/100),2)</f>
        <v>2.06</v>
      </c>
      <c r="E69" s="32"/>
      <c r="F69" s="62"/>
    </row>
    <row r="70" spans="1:6" ht="12.75">
      <c r="A70" s="60" t="s">
        <v>46</v>
      </c>
      <c r="C70" s="70">
        <v>61</v>
      </c>
      <c r="D70" s="93">
        <f>ROUND(1.7*(A27/1.5)*((365-B27)/235)*(C27/15)*D27*E27*(1-C70/100),2)</f>
        <v>0.92</v>
      </c>
      <c r="E70" s="32"/>
      <c r="F70" s="62"/>
    </row>
    <row r="71" spans="1:6" ht="12.75">
      <c r="A71" s="60" t="s">
        <v>37</v>
      </c>
      <c r="C71" s="70">
        <v>61</v>
      </c>
      <c r="D71" s="93">
        <f>ROUND(0.00112*(($B33/5)^1.3)/(($C33/2)^1.4)*$F33/2000*(1-C71/100),2)</f>
        <v>0.04</v>
      </c>
      <c r="E71" s="32"/>
      <c r="F71" s="62"/>
    </row>
    <row r="72" spans="1:6" ht="12.75">
      <c r="A72" s="63" t="s">
        <v>0</v>
      </c>
      <c r="B72" s="66"/>
      <c r="C72" s="66"/>
      <c r="D72" s="103">
        <f>ROUND(SUM(D69:D71),2)</f>
        <v>3.02</v>
      </c>
      <c r="E72" s="66"/>
      <c r="F72" s="67"/>
    </row>
    <row r="73" spans="1:3" ht="12.75">
      <c r="A73" s="47"/>
      <c r="B73" s="11"/>
      <c r="C73" s="11"/>
    </row>
    <row r="74" spans="1:6" ht="12.75">
      <c r="A74" s="56" t="s">
        <v>120</v>
      </c>
      <c r="B74" s="31"/>
      <c r="C74" s="31"/>
      <c r="D74" s="31"/>
      <c r="E74" s="31"/>
      <c r="F74" s="59"/>
    </row>
    <row r="75" spans="1:6" ht="12.75">
      <c r="A75" s="76"/>
      <c r="B75" s="32"/>
      <c r="C75" s="32"/>
      <c r="D75" s="32"/>
      <c r="E75" s="32"/>
      <c r="F75" s="62"/>
    </row>
    <row r="76" spans="1:7" ht="12.75">
      <c r="A76" s="76" t="s">
        <v>121</v>
      </c>
      <c r="B76" s="77"/>
      <c r="C76" s="77"/>
      <c r="D76" s="77"/>
      <c r="E76" s="77"/>
      <c r="F76" s="80"/>
      <c r="G76" s="2"/>
    </row>
    <row r="77" spans="1:7" ht="12.75">
      <c r="A77" s="76"/>
      <c r="B77" s="77"/>
      <c r="C77" s="77"/>
      <c r="D77" s="77"/>
      <c r="E77" s="77"/>
      <c r="F77" s="80"/>
      <c r="G77" s="2"/>
    </row>
    <row r="78" spans="1:6" ht="12.75">
      <c r="A78" s="76"/>
      <c r="B78" s="77" t="s">
        <v>4</v>
      </c>
      <c r="C78" s="77" t="s">
        <v>5</v>
      </c>
      <c r="D78" s="77" t="s">
        <v>6</v>
      </c>
      <c r="E78" s="77"/>
      <c r="F78" s="62"/>
    </row>
    <row r="79" spans="1:6" ht="12.75">
      <c r="A79" s="76" t="s">
        <v>8</v>
      </c>
      <c r="B79" s="44" t="s">
        <v>34</v>
      </c>
      <c r="C79" s="44" t="s">
        <v>34</v>
      </c>
      <c r="D79" s="44" t="s">
        <v>34</v>
      </c>
      <c r="E79" s="44"/>
      <c r="F79" s="62"/>
    </row>
    <row r="80" spans="1:6" ht="12.75">
      <c r="A80" s="60" t="s">
        <v>116</v>
      </c>
      <c r="B80" s="93">
        <f>+B39*$C45*$B45*2</f>
        <v>0.02308025682182988</v>
      </c>
      <c r="C80" s="93">
        <f>+C39*$C45*$B45*2</f>
        <v>0.07532263242375602</v>
      </c>
      <c r="D80" s="93">
        <f>+D39*$C45*$B45*2</f>
        <v>0.0035922953451043346</v>
      </c>
      <c r="E80" s="123"/>
      <c r="F80" s="62"/>
    </row>
    <row r="81" spans="1:6" ht="12.75">
      <c r="A81" s="60" t="s">
        <v>119</v>
      </c>
      <c r="B81" s="44">
        <f>ROUND(+B39*$C46*$B46*2,2)</f>
        <v>0.22</v>
      </c>
      <c r="C81" s="44">
        <f>ROUND(+C39*$C46*$B46*2,2)</f>
        <v>0.7</v>
      </c>
      <c r="D81" s="44">
        <f>ROUND(+D39*$C46*$B46*2,3)</f>
        <v>0.034</v>
      </c>
      <c r="E81" s="44"/>
      <c r="F81" s="62"/>
    </row>
    <row r="82" spans="1:6" ht="12.75">
      <c r="A82" s="63" t="s">
        <v>0</v>
      </c>
      <c r="B82" s="103">
        <f>SUM(B80:B81)</f>
        <v>0.24308025682182988</v>
      </c>
      <c r="C82" s="103">
        <f>SUM(C80:C81)</f>
        <v>0.775322632423756</v>
      </c>
      <c r="D82" s="103">
        <f>SUM(D80:D81)</f>
        <v>0.03759229534510434</v>
      </c>
      <c r="E82" s="121"/>
      <c r="F82" s="67"/>
    </row>
    <row r="83" spans="1:5" ht="12.75">
      <c r="A83" s="6"/>
      <c r="B83" s="11"/>
      <c r="C83" s="11"/>
      <c r="D83" s="11"/>
      <c r="E83" s="10"/>
    </row>
    <row r="84" spans="1:6" ht="12.75">
      <c r="A84" s="56" t="s">
        <v>24</v>
      </c>
      <c r="B84" s="57"/>
      <c r="C84" s="57"/>
      <c r="D84" s="57"/>
      <c r="E84" s="57"/>
      <c r="F84" s="59"/>
    </row>
    <row r="85" spans="1:6" ht="12.75">
      <c r="A85" s="76"/>
      <c r="B85" s="77"/>
      <c r="C85" s="77"/>
      <c r="D85" s="77"/>
      <c r="E85" s="77"/>
      <c r="F85" s="62"/>
    </row>
    <row r="86" spans="1:6" ht="12.75">
      <c r="A86" s="76"/>
      <c r="B86" s="77" t="s">
        <v>4</v>
      </c>
      <c r="C86" s="77" t="s">
        <v>5</v>
      </c>
      <c r="D86" s="77" t="s">
        <v>6</v>
      </c>
      <c r="E86" s="77"/>
      <c r="F86" s="62"/>
    </row>
    <row r="87" spans="1:6" ht="12.75">
      <c r="A87" s="76" t="s">
        <v>12</v>
      </c>
      <c r="B87" s="44" t="s">
        <v>34</v>
      </c>
      <c r="C87" s="44" t="s">
        <v>34</v>
      </c>
      <c r="D87" s="44" t="s">
        <v>34</v>
      </c>
      <c r="E87" s="44"/>
      <c r="F87" s="62"/>
    </row>
    <row r="88" spans="1:6" ht="12.75">
      <c r="A88" s="60" t="s">
        <v>42</v>
      </c>
      <c r="B88" s="99">
        <f>+B57+B82</f>
        <v>19.094051659544462</v>
      </c>
      <c r="C88" s="99">
        <f>+C57+C82</f>
        <v>40.624276623183675</v>
      </c>
      <c r="D88" s="99">
        <f>+D57+D82+D72</f>
        <v>5.084147415458433</v>
      </c>
      <c r="E88" s="32"/>
      <c r="F88" s="62"/>
    </row>
    <row r="89" spans="1:6" ht="16.5">
      <c r="A89" s="76" t="s">
        <v>196</v>
      </c>
      <c r="B89" s="108">
        <v>226</v>
      </c>
      <c r="C89" s="108">
        <v>147</v>
      </c>
      <c r="D89" s="108">
        <v>6</v>
      </c>
      <c r="E89" s="124"/>
      <c r="F89" s="62"/>
    </row>
    <row r="90" spans="1:6" ht="12.75">
      <c r="A90" s="63" t="s">
        <v>13</v>
      </c>
      <c r="B90" s="110" t="str">
        <f>IF(B88&gt;=B89,"YES","NO")</f>
        <v>NO</v>
      </c>
      <c r="C90" s="110" t="str">
        <f>IF(C88&gt;=C89,"YES","NO")</f>
        <v>NO</v>
      </c>
      <c r="D90" s="110" t="str">
        <f>IF(D88&gt;=D89,"YES","NO")</f>
        <v>NO</v>
      </c>
      <c r="E90" s="66"/>
      <c r="F90" s="67"/>
    </row>
    <row r="91" spans="1:5" ht="12.75">
      <c r="A91" s="141"/>
      <c r="B91" s="77"/>
      <c r="C91" s="77"/>
      <c r="D91" s="77"/>
      <c r="E91" s="32"/>
    </row>
    <row r="92" spans="1:9" ht="15.75">
      <c r="A92" s="68" t="s">
        <v>222</v>
      </c>
      <c r="B92" s="57"/>
      <c r="C92" s="57" t="s">
        <v>229</v>
      </c>
      <c r="D92" s="57" t="s">
        <v>6</v>
      </c>
      <c r="E92" s="57" t="s">
        <v>223</v>
      </c>
      <c r="F92" s="59"/>
      <c r="G92" s="77" t="s">
        <v>225</v>
      </c>
      <c r="H92" s="2"/>
      <c r="I92" s="2"/>
    </row>
    <row r="93" spans="1:7" ht="12.75">
      <c r="A93" s="79"/>
      <c r="B93" s="77"/>
      <c r="C93" s="77"/>
      <c r="D93" s="44" t="s">
        <v>34</v>
      </c>
      <c r="E93" s="44" t="s">
        <v>34</v>
      </c>
      <c r="F93" s="62"/>
      <c r="G93" s="77" t="s">
        <v>226</v>
      </c>
    </row>
    <row r="94" spans="1:9" ht="12.75">
      <c r="A94" s="102" t="s">
        <v>265</v>
      </c>
      <c r="B94" s="44"/>
      <c r="C94" s="93">
        <f>'2 Acre Equip_Phase'!$M$3</f>
        <v>0.92</v>
      </c>
      <c r="D94" s="142">
        <f>D57</f>
        <v>2.0265551201133283</v>
      </c>
      <c r="E94" s="142">
        <f>D94*C94</f>
        <v>1.8644307105042621</v>
      </c>
      <c r="F94" s="62"/>
      <c r="G94" s="144">
        <f>E94/E97</f>
        <v>0.7355134359957146</v>
      </c>
      <c r="H94" s="44"/>
      <c r="I94" s="148"/>
    </row>
    <row r="95" spans="1:9" ht="12.75">
      <c r="A95" s="102" t="s">
        <v>266</v>
      </c>
      <c r="B95" s="44"/>
      <c r="C95" s="93">
        <f>'2 Acre Equip_Phase'!$N$3</f>
        <v>0.964</v>
      </c>
      <c r="D95" s="93">
        <f>D82</f>
        <v>0.03759229534510434</v>
      </c>
      <c r="E95" s="93">
        <f>D95*C95</f>
        <v>0.03623897271268058</v>
      </c>
      <c r="F95" s="62"/>
      <c r="G95" s="144">
        <f>E95/E97</f>
        <v>0.014296187670953786</v>
      </c>
      <c r="H95" s="44"/>
      <c r="I95" s="148"/>
    </row>
    <row r="96" spans="1:9" ht="12.75">
      <c r="A96" s="102" t="s">
        <v>224</v>
      </c>
      <c r="B96" s="44"/>
      <c r="C96" s="44">
        <f>'2 Acre Equip_Phase'!$O$3</f>
        <v>0.21</v>
      </c>
      <c r="D96" s="119">
        <f>D72</f>
        <v>3.02</v>
      </c>
      <c r="E96" s="93">
        <f>D96*C96</f>
        <v>0.6342</v>
      </c>
      <c r="F96" s="62"/>
      <c r="G96" s="144">
        <f>E96/E97</f>
        <v>0.25019037633333163</v>
      </c>
      <c r="H96" s="44"/>
      <c r="I96" s="148"/>
    </row>
    <row r="97" spans="1:6" ht="12.75">
      <c r="A97" s="79" t="s">
        <v>0</v>
      </c>
      <c r="B97" s="77"/>
      <c r="C97" s="77"/>
      <c r="D97" s="99">
        <f>SUM(D94:D96)</f>
        <v>5.084147415458433</v>
      </c>
      <c r="E97" s="99">
        <f>SUM(E94:E96)</f>
        <v>2.5348696832169426</v>
      </c>
      <c r="F97" s="62"/>
    </row>
    <row r="98" spans="1:9" ht="15.75">
      <c r="A98" s="76" t="s">
        <v>196</v>
      </c>
      <c r="B98" s="77"/>
      <c r="C98" s="77"/>
      <c r="D98" s="77"/>
      <c r="E98" s="45">
        <v>4</v>
      </c>
      <c r="F98" s="62"/>
      <c r="I98" s="3"/>
    </row>
    <row r="99" spans="1:9" ht="12.75">
      <c r="A99" s="146" t="s">
        <v>13</v>
      </c>
      <c r="B99" s="110"/>
      <c r="C99" s="110"/>
      <c r="D99" s="110"/>
      <c r="E99" s="110" t="str">
        <f>IF(E97&gt;=E98,"YES","NO")</f>
        <v>NO</v>
      </c>
      <c r="F99" s="67"/>
      <c r="I99" s="3"/>
    </row>
    <row r="100" spans="1:8" ht="13.5">
      <c r="A100" s="49"/>
      <c r="H100" s="148"/>
    </row>
    <row r="101" spans="1:8" ht="12.75">
      <c r="A101" s="111" t="s">
        <v>137</v>
      </c>
      <c r="B101" s="31"/>
      <c r="C101" s="31"/>
      <c r="D101" s="31"/>
      <c r="E101" s="31"/>
      <c r="F101" s="59"/>
      <c r="H101" s="148"/>
    </row>
    <row r="102" spans="1:6" ht="12.75">
      <c r="A102" s="113" t="s">
        <v>219</v>
      </c>
      <c r="B102" s="138"/>
      <c r="C102" s="138"/>
      <c r="D102" s="138"/>
      <c r="E102" s="120"/>
      <c r="F102" s="62"/>
    </row>
    <row r="103" spans="1:6" ht="12.75">
      <c r="A103" s="113" t="s">
        <v>220</v>
      </c>
      <c r="B103" s="138"/>
      <c r="C103" s="138"/>
      <c r="D103" s="138"/>
      <c r="E103" s="120"/>
      <c r="F103" s="62"/>
    </row>
    <row r="104" spans="1:6" ht="12.75">
      <c r="A104" s="112" t="s">
        <v>131</v>
      </c>
      <c r="B104" s="32"/>
      <c r="C104" s="32"/>
      <c r="D104" s="32"/>
      <c r="E104" s="32"/>
      <c r="F104" s="62"/>
    </row>
    <row r="105" spans="1:6" ht="12.75">
      <c r="A105" s="112" t="s">
        <v>221</v>
      </c>
      <c r="B105" s="32"/>
      <c r="C105" s="32"/>
      <c r="D105" s="32"/>
      <c r="E105" s="32"/>
      <c r="F105" s="62"/>
    </row>
    <row r="106" spans="1:6" ht="12.75">
      <c r="A106" s="112" t="s">
        <v>246</v>
      </c>
      <c r="B106" s="32"/>
      <c r="C106" s="32"/>
      <c r="D106" s="32"/>
      <c r="E106" s="32"/>
      <c r="F106" s="62"/>
    </row>
    <row r="107" spans="1:6" ht="12.75">
      <c r="A107" s="84" t="s">
        <v>248</v>
      </c>
      <c r="B107" s="32"/>
      <c r="C107" s="32"/>
      <c r="D107" s="32"/>
      <c r="E107" s="32"/>
      <c r="F107" s="62"/>
    </row>
    <row r="108" spans="1:6" ht="12.75">
      <c r="A108" s="84" t="s">
        <v>159</v>
      </c>
      <c r="B108" s="32"/>
      <c r="C108" s="32"/>
      <c r="D108" s="32"/>
      <c r="E108" s="32"/>
      <c r="F108" s="62"/>
    </row>
    <row r="109" spans="1:6" ht="12.75">
      <c r="A109" s="84" t="s">
        <v>160</v>
      </c>
      <c r="B109" s="32"/>
      <c r="C109" s="32"/>
      <c r="D109" s="32"/>
      <c r="E109" s="32"/>
      <c r="F109" s="62"/>
    </row>
    <row r="110" spans="1:6" ht="12.75">
      <c r="A110" s="112" t="s">
        <v>162</v>
      </c>
      <c r="B110" s="44"/>
      <c r="C110" s="125"/>
      <c r="D110" s="44"/>
      <c r="E110" s="32"/>
      <c r="F110" s="62"/>
    </row>
    <row r="111" spans="1:6" ht="12.75">
      <c r="A111" s="84" t="s">
        <v>253</v>
      </c>
      <c r="B111" s="32"/>
      <c r="C111" s="32"/>
      <c r="D111" s="32"/>
      <c r="E111" s="32"/>
      <c r="F111" s="62"/>
    </row>
    <row r="112" spans="1:6" ht="12.75">
      <c r="A112" s="84" t="s">
        <v>155</v>
      </c>
      <c r="B112" s="32"/>
      <c r="C112" s="32"/>
      <c r="D112" s="32"/>
      <c r="E112" s="32"/>
      <c r="F112" s="62"/>
    </row>
    <row r="113" spans="1:6" ht="12.75">
      <c r="A113" s="154" t="str">
        <f>"j) Assuming "&amp;D33&amp;" cubic yards of dirt handled [("&amp;D33&amp;" cyd x  2,500 lb/cyd)/"&amp;B4&amp;" days = "&amp;TEXT(F33,"0,000")&amp;" lb/day]"</f>
        <v>j) Assuming 444 cubic yards of dirt handled [(444 cyd x  2,500 lb/cyd)/2 days = 555,000 lb/day]</v>
      </c>
      <c r="B113" s="66"/>
      <c r="C113" s="66"/>
      <c r="D113" s="66"/>
      <c r="E113" s="66"/>
      <c r="F113" s="67"/>
    </row>
    <row r="114" spans="1:6" ht="12.75">
      <c r="A114" s="155" t="s">
        <v>270</v>
      </c>
      <c r="B114" s="31"/>
      <c r="C114" s="31"/>
      <c r="D114" s="31"/>
      <c r="E114" s="31"/>
      <c r="F114" s="59"/>
    </row>
    <row r="115" spans="1:6" ht="12.75">
      <c r="A115" s="84" t="str">
        <f>"l) Assumed 30 cubic yd truck capacity for "&amp;D33&amp;" cyd of dirt and "&amp;E33&amp;" cyd of debris [("&amp;D33+E33&amp;" cy x truck/30 cy)/"&amp;B4&amp;" days = "&amp;B45&amp;" one-way truck trips/day]"</f>
        <v>l) Assumed 30 cubic yd truck capacity for 444 cyd of dirt and 48 cyd of debris [(492 cy x truck/30 cy)/2 days = 9 one-way truck trips/day]</v>
      </c>
      <c r="B115" s="32"/>
      <c r="C115" s="32"/>
      <c r="D115" s="32"/>
      <c r="E115" s="32"/>
      <c r="F115" s="62"/>
    </row>
    <row r="116" spans="1:6" ht="12.75">
      <c r="A116" s="112" t="str">
        <f>"m) Assumed six foot wide water truck traverses over "&amp;TEXT(D2,"0,000")&amp;" square feet of disturbed area"</f>
        <v>m) Assumed six foot wide water truck traverses over 87,000 square feet of disturbed area</v>
      </c>
      <c r="B116" s="32"/>
      <c r="C116" s="32"/>
      <c r="D116" s="32"/>
      <c r="E116" s="32"/>
      <c r="F116" s="62"/>
    </row>
    <row r="117" spans="1:6" ht="12.75">
      <c r="A117" s="84" t="s">
        <v>201</v>
      </c>
      <c r="B117" s="126"/>
      <c r="C117" s="126"/>
      <c r="D117" s="32"/>
      <c r="E117" s="32"/>
      <c r="F117" s="62"/>
    </row>
    <row r="118" spans="1:6" ht="12.75">
      <c r="A118" s="84" t="s">
        <v>193</v>
      </c>
      <c r="B118" s="32"/>
      <c r="C118" s="32"/>
      <c r="D118" s="32"/>
      <c r="E118" s="32"/>
      <c r="F118" s="62"/>
    </row>
    <row r="119" spans="1:6" ht="12.75">
      <c r="A119" s="84" t="s">
        <v>254</v>
      </c>
      <c r="B119" s="126"/>
      <c r="C119" s="126"/>
      <c r="D119" s="32"/>
      <c r="E119" s="32"/>
      <c r="F119" s="62"/>
    </row>
    <row r="120" spans="1:6" ht="12.75">
      <c r="A120" s="84" t="s">
        <v>267</v>
      </c>
      <c r="B120" s="126"/>
      <c r="C120" s="126"/>
      <c r="D120" s="32"/>
      <c r="E120" s="32"/>
      <c r="F120" s="62"/>
    </row>
    <row r="121" spans="1:6" ht="12.75">
      <c r="A121" s="84" t="s">
        <v>235</v>
      </c>
      <c r="B121" s="126"/>
      <c r="C121" s="126"/>
      <c r="D121" s="32"/>
      <c r="E121" s="32"/>
      <c r="F121" s="62"/>
    </row>
    <row r="122" spans="1:6" ht="12.75">
      <c r="A122" s="114" t="s">
        <v>255</v>
      </c>
      <c r="B122" s="66"/>
      <c r="C122" s="66"/>
      <c r="D122" s="66"/>
      <c r="E122" s="66"/>
      <c r="F122" s="67"/>
    </row>
  </sheetData>
  <printOptions/>
  <pageMargins left="0.75" right="0.75" top="1" bottom="1" header="0.5" footer="0.5"/>
  <pageSetup fitToHeight="0" fitToWidth="1" horizontalDpi="600" verticalDpi="600" orientation="landscape" scale="92" r:id="rId1"/>
  <headerFooter alignWithMargins="0">
    <oddHeader>&amp;C&amp;"Times New Roman,Bold"Two Acre Site Example - Site Preparation Phase</oddHeader>
    <oddFooter>&amp;C&amp;"Times New Roman,Regular"B-&amp;P</oddFooter>
  </headerFooter>
  <rowBreaks count="3" manualBreakCount="3">
    <brk id="34" max="5" man="1"/>
    <brk id="72" max="5" man="1"/>
    <brk id="122" max="5" man="1"/>
  </rowBreaks>
</worksheet>
</file>

<file path=xl/worksheets/sheet5.xml><?xml version="1.0" encoding="utf-8"?>
<worksheet xmlns="http://schemas.openxmlformats.org/spreadsheetml/2006/main" xmlns:r="http://schemas.openxmlformats.org/officeDocument/2006/relationships">
  <sheetPr codeName="Sheet6">
    <pageSetUpPr fitToPage="1"/>
  </sheetPr>
  <dimension ref="A1:I125"/>
  <sheetViews>
    <sheetView view="pageBreakPreview" zoomScale="75" zoomScaleSheetLayoutView="75" workbookViewId="0" topLeftCell="A1">
      <selection activeCell="A1" sqref="A1"/>
    </sheetView>
  </sheetViews>
  <sheetFormatPr defaultColWidth="9.140625" defaultRowHeight="12.75"/>
  <cols>
    <col min="1" max="1" width="31.140625" style="7" customWidth="1"/>
    <col min="2" max="2" width="22.140625" style="3" customWidth="1"/>
    <col min="3" max="3" width="22.28125" style="3" customWidth="1"/>
    <col min="4" max="6" width="19.8515625" style="3" customWidth="1"/>
    <col min="7" max="7" width="14.00390625" style="4" bestFit="1" customWidth="1"/>
    <col min="8" max="8" width="18.28125" style="4" bestFit="1" customWidth="1"/>
    <col min="9" max="9" width="20.00390625" style="4" bestFit="1" customWidth="1"/>
    <col min="10" max="16384" width="9.140625" style="3" customWidth="1"/>
  </cols>
  <sheetData>
    <row r="1" spans="1:6" ht="12.75">
      <c r="A1" s="56" t="s">
        <v>54</v>
      </c>
      <c r="B1" s="57"/>
      <c r="C1" s="58" t="s">
        <v>1</v>
      </c>
      <c r="D1" s="31"/>
      <c r="E1" s="31"/>
      <c r="F1" s="59"/>
    </row>
    <row r="2" spans="1:6" ht="15.75">
      <c r="A2" s="60" t="s">
        <v>55</v>
      </c>
      <c r="B2" s="44"/>
      <c r="C2" s="137" t="s">
        <v>63</v>
      </c>
      <c r="D2" s="61">
        <v>87000</v>
      </c>
      <c r="E2" s="32" t="s">
        <v>141</v>
      </c>
      <c r="F2" s="62"/>
    </row>
    <row r="3" spans="1:6" ht="12.75">
      <c r="A3" s="60"/>
      <c r="B3" s="44"/>
      <c r="C3" s="32"/>
      <c r="D3" s="32"/>
      <c r="E3" s="32"/>
      <c r="F3" s="62"/>
    </row>
    <row r="4" spans="1:6" ht="15.75">
      <c r="A4" s="63" t="s">
        <v>124</v>
      </c>
      <c r="B4" s="64">
        <v>4</v>
      </c>
      <c r="C4" s="65" t="s">
        <v>139</v>
      </c>
      <c r="D4" s="66"/>
      <c r="E4" s="66"/>
      <c r="F4" s="67"/>
    </row>
    <row r="5" ht="12.75">
      <c r="A5" s="6"/>
    </row>
    <row r="6" spans="1:6" ht="15.75">
      <c r="A6" s="68" t="s">
        <v>138</v>
      </c>
      <c r="B6" s="57" t="s">
        <v>17</v>
      </c>
      <c r="C6" s="57" t="s">
        <v>35</v>
      </c>
      <c r="D6" s="57" t="s">
        <v>18</v>
      </c>
      <c r="E6" s="31"/>
      <c r="F6" s="59"/>
    </row>
    <row r="7" spans="1:6" ht="12.75">
      <c r="A7" s="69" t="s">
        <v>96</v>
      </c>
      <c r="B7" s="72">
        <v>1</v>
      </c>
      <c r="C7" s="71">
        <v>8</v>
      </c>
      <c r="D7" s="70">
        <v>5</v>
      </c>
      <c r="E7" s="32"/>
      <c r="F7" s="62"/>
    </row>
    <row r="8" spans="1:6" ht="12.75">
      <c r="A8" s="69" t="s">
        <v>89</v>
      </c>
      <c r="B8" s="70">
        <v>1</v>
      </c>
      <c r="C8" s="71">
        <v>8</v>
      </c>
      <c r="D8" s="44"/>
      <c r="E8" s="32"/>
      <c r="F8" s="62"/>
    </row>
    <row r="9" spans="1:6" ht="12.75">
      <c r="A9" s="73" t="s">
        <v>102</v>
      </c>
      <c r="B9" s="74">
        <v>2</v>
      </c>
      <c r="C9" s="75">
        <v>7</v>
      </c>
      <c r="D9" s="41"/>
      <c r="E9" s="66"/>
      <c r="F9" s="67"/>
    </row>
    <row r="10" spans="3:5" ht="12.75">
      <c r="C10" s="4"/>
      <c r="D10" s="8"/>
      <c r="E10" s="4"/>
    </row>
    <row r="11" spans="1:6" ht="12.75">
      <c r="A11" s="56" t="s">
        <v>19</v>
      </c>
      <c r="B11" s="31"/>
      <c r="C11" s="31"/>
      <c r="D11" s="31"/>
      <c r="E11" s="31"/>
      <c r="F11" s="59"/>
    </row>
    <row r="12" spans="1:6" ht="12.75">
      <c r="A12" s="76"/>
      <c r="B12" s="32"/>
      <c r="C12" s="32"/>
      <c r="D12" s="32"/>
      <c r="E12" s="32"/>
      <c r="F12" s="62"/>
    </row>
    <row r="13" spans="1:6" ht="12.75">
      <c r="A13" s="60"/>
      <c r="B13" s="77" t="s">
        <v>81</v>
      </c>
      <c r="C13" s="77" t="s">
        <v>59</v>
      </c>
      <c r="D13" s="77" t="s">
        <v>60</v>
      </c>
      <c r="E13" s="115"/>
      <c r="F13" s="62"/>
    </row>
    <row r="14" spans="1:6" ht="15.75">
      <c r="A14" s="79" t="s">
        <v>142</v>
      </c>
      <c r="B14" s="44" t="s">
        <v>23</v>
      </c>
      <c r="C14" s="44" t="s">
        <v>23</v>
      </c>
      <c r="D14" s="44" t="s">
        <v>23</v>
      </c>
      <c r="E14" s="77"/>
      <c r="F14" s="62"/>
    </row>
    <row r="15" spans="1:6" ht="12.75">
      <c r="A15" s="60" t="str">
        <f>A7</f>
        <v>Rubber Tired Dozers</v>
      </c>
      <c r="B15" s="81">
        <f>GETPIVOTDATA("Ems Factor #/hr",'Off-Road Model EF'!$A$4,"Eq Name",$A15,"Hp","Composite","Pollutant",B$13)</f>
        <v>1.5019899051003145</v>
      </c>
      <c r="C15" s="81">
        <f>GETPIVOTDATA("Ems Factor #/hr",'Off-Road Model EF'!$A$4,"Eq Name",$A15,"Hp","Composite","Pollutant",C$13)</f>
        <v>3.1254049078327544</v>
      </c>
      <c r="D15" s="81">
        <f>GETPIVOTDATA("Ems Factor #/hr",'Off-Road Model EF'!$A$4,"Eq Name",$A15,"Hp","Composite","Pollutant",D$13)</f>
        <v>0.13467547344245145</v>
      </c>
      <c r="E15" s="32"/>
      <c r="F15" s="62"/>
    </row>
    <row r="16" spans="1:6" ht="12.75">
      <c r="A16" s="60" t="str">
        <f>A8</f>
        <v>Graders</v>
      </c>
      <c r="B16" s="81">
        <f>GETPIVOTDATA("Ems Factor #/hr",'Off-Road Model EF'!$A$4,"Eq Name",$A16,"Hp","Composite","Pollutant",B$13)</f>
        <v>0.6428411785619518</v>
      </c>
      <c r="C16" s="81">
        <f>GETPIVOTDATA("Ems Factor #/hr",'Off-Road Model EF'!$A$4,"Eq Name",$A16,"Hp","Composite","Pollutant",C$13)</f>
        <v>1.5237348491371676</v>
      </c>
      <c r="D16" s="81">
        <f>GETPIVOTDATA("Ems Factor #/hr",'Off-Road Model EF'!$A$4,"Eq Name",$A16,"Hp","Composite","Pollutant",D$13)</f>
        <v>0.07957679435331354</v>
      </c>
      <c r="E16" s="32"/>
      <c r="F16" s="62"/>
    </row>
    <row r="17" spans="1:6" ht="12.75">
      <c r="A17" s="82" t="str">
        <f>A9</f>
        <v>Tractors/Loaders/Backhoes</v>
      </c>
      <c r="B17" s="83">
        <f>GETPIVOTDATA("Ems Factor #/hr",'Off-Road Model EF'!$A$4,"Eq Name",$A17,"Hp","Composite","Pollutant",B$13)</f>
        <v>0.3992890798156023</v>
      </c>
      <c r="C17" s="83">
        <f>GETPIVOTDATA("Ems Factor #/hr",'Off-Road Model EF'!$A$4,"Eq Name",$A17,"Hp","Composite","Pollutant",C$13)</f>
        <v>0.7226551053541611</v>
      </c>
      <c r="D17" s="83">
        <f>GETPIVOTDATA("Ems Factor #/hr",'Off-Road Model EF'!$A$4,"Eq Name",$A17,"Hp","Composite","Pollutant",D$13)</f>
        <v>0.0559015563987075</v>
      </c>
      <c r="E17" s="66"/>
      <c r="F17" s="67"/>
    </row>
    <row r="19" spans="1:6" ht="12.75">
      <c r="A19" s="56" t="s">
        <v>53</v>
      </c>
      <c r="B19" s="31"/>
      <c r="C19" s="31"/>
      <c r="D19" s="31"/>
      <c r="E19" s="31"/>
      <c r="F19" s="59"/>
    </row>
    <row r="20" spans="1:6" ht="12.75">
      <c r="A20" s="76"/>
      <c r="B20" s="32"/>
      <c r="C20" s="32"/>
      <c r="D20" s="32"/>
      <c r="E20" s="32"/>
      <c r="F20" s="62"/>
    </row>
    <row r="21" spans="1:6" ht="15.75">
      <c r="A21" s="76" t="s">
        <v>165</v>
      </c>
      <c r="B21" s="77" t="s">
        <v>166</v>
      </c>
      <c r="C21" s="32"/>
      <c r="D21" s="32"/>
      <c r="E21" s="32"/>
      <c r="F21" s="62"/>
    </row>
    <row r="22" spans="1:6" ht="12.75">
      <c r="A22" s="87">
        <v>3</v>
      </c>
      <c r="B22" s="127">
        <f>ROUND(D2/11/5280/B4,2)</f>
        <v>0.37</v>
      </c>
      <c r="C22" s="66"/>
      <c r="D22" s="66"/>
      <c r="E22" s="66"/>
      <c r="F22" s="67"/>
    </row>
    <row r="23" ht="12.75">
      <c r="A23" s="47"/>
    </row>
    <row r="24" spans="1:6" ht="12.75">
      <c r="A24" s="56" t="s">
        <v>44</v>
      </c>
      <c r="B24" s="31"/>
      <c r="C24" s="31"/>
      <c r="D24" s="31"/>
      <c r="E24" s="31"/>
      <c r="F24" s="59"/>
    </row>
    <row r="25" spans="1:6" ht="12.75">
      <c r="A25" s="117"/>
      <c r="B25" s="32"/>
      <c r="C25" s="32"/>
      <c r="D25" s="32"/>
      <c r="E25" s="32"/>
      <c r="F25" s="62"/>
    </row>
    <row r="26" spans="1:6" s="2" customFormat="1" ht="15.75">
      <c r="A26" s="76" t="s">
        <v>169</v>
      </c>
      <c r="B26" s="77" t="s">
        <v>170</v>
      </c>
      <c r="C26" s="77" t="s">
        <v>171</v>
      </c>
      <c r="D26" s="77" t="s">
        <v>45</v>
      </c>
      <c r="E26" s="77" t="s">
        <v>172</v>
      </c>
      <c r="F26" s="80"/>
    </row>
    <row r="27" spans="1:6" ht="12.75">
      <c r="A27" s="87">
        <v>6.9</v>
      </c>
      <c r="B27" s="74">
        <v>10</v>
      </c>
      <c r="C27" s="74">
        <v>100</v>
      </c>
      <c r="D27" s="74">
        <v>0.5</v>
      </c>
      <c r="E27" s="74">
        <v>0.06</v>
      </c>
      <c r="F27" s="67"/>
    </row>
    <row r="28" spans="2:4" ht="12.75">
      <c r="B28" s="4"/>
      <c r="C28" s="13"/>
      <c r="D28" s="4"/>
    </row>
    <row r="29" spans="1:6" ht="12.75">
      <c r="A29" s="56" t="s">
        <v>32</v>
      </c>
      <c r="B29" s="31"/>
      <c r="C29" s="31"/>
      <c r="D29" s="31"/>
      <c r="E29" s="31"/>
      <c r="F29" s="59"/>
    </row>
    <row r="30" spans="1:6" ht="12.75">
      <c r="A30" s="76"/>
      <c r="B30" s="32"/>
      <c r="C30" s="32"/>
      <c r="D30" s="32"/>
      <c r="E30" s="32"/>
      <c r="F30" s="62"/>
    </row>
    <row r="31" spans="1:6" ht="15.75">
      <c r="A31" s="76" t="s">
        <v>174</v>
      </c>
      <c r="B31" s="77" t="s">
        <v>175</v>
      </c>
      <c r="C31" s="77" t="s">
        <v>146</v>
      </c>
      <c r="D31" s="77" t="s">
        <v>152</v>
      </c>
      <c r="E31" s="77" t="s">
        <v>154</v>
      </c>
      <c r="F31" s="78"/>
    </row>
    <row r="32" spans="1:6" ht="12.75">
      <c r="A32" s="60"/>
      <c r="B32" s="44" t="s">
        <v>33</v>
      </c>
      <c r="C32" s="44"/>
      <c r="D32" s="44" t="s">
        <v>77</v>
      </c>
      <c r="E32" s="44" t="s">
        <v>34</v>
      </c>
      <c r="F32" s="62"/>
    </row>
    <row r="33" spans="1:6" ht="12.75">
      <c r="A33" s="87">
        <v>0.35</v>
      </c>
      <c r="B33" s="74">
        <v>10</v>
      </c>
      <c r="C33" s="75">
        <v>7.9</v>
      </c>
      <c r="D33" s="116">
        <f>ROUND(12000/27,0)</f>
        <v>444</v>
      </c>
      <c r="E33" s="88">
        <f>ROUND(D33*2500/B4,0)</f>
        <v>277500</v>
      </c>
      <c r="F33" s="67"/>
    </row>
    <row r="35" spans="1:6" ht="12.75">
      <c r="A35" s="56" t="s">
        <v>15</v>
      </c>
      <c r="B35" s="31"/>
      <c r="C35" s="31"/>
      <c r="D35" s="31"/>
      <c r="E35" s="31"/>
      <c r="F35" s="59"/>
    </row>
    <row r="36" spans="1:7" ht="12.75">
      <c r="A36" s="60"/>
      <c r="B36" s="32"/>
      <c r="C36" s="32"/>
      <c r="D36" s="32"/>
      <c r="E36" s="115"/>
      <c r="F36" s="80"/>
      <c r="G36" s="2"/>
    </row>
    <row r="37" spans="1:6" ht="12.75">
      <c r="A37" s="76"/>
      <c r="B37" s="77" t="s">
        <v>4</v>
      </c>
      <c r="C37" s="77" t="s">
        <v>5</v>
      </c>
      <c r="D37" s="77" t="s">
        <v>6</v>
      </c>
      <c r="E37" s="32"/>
      <c r="F37" s="62"/>
    </row>
    <row r="38" spans="1:6" ht="12.75">
      <c r="A38" s="60"/>
      <c r="B38" s="44" t="s">
        <v>14</v>
      </c>
      <c r="C38" s="44" t="s">
        <v>14</v>
      </c>
      <c r="D38" s="44" t="s">
        <v>14</v>
      </c>
      <c r="E38" s="44"/>
      <c r="F38" s="62"/>
    </row>
    <row r="39" spans="1:6" ht="15.75">
      <c r="A39" s="82" t="s">
        <v>177</v>
      </c>
      <c r="B39" s="91">
        <v>0.0128223649010166</v>
      </c>
      <c r="C39" s="91">
        <v>0.04184590690208667</v>
      </c>
      <c r="D39" s="91">
        <v>0.0019957196361690744</v>
      </c>
      <c r="E39" s="110" t="s">
        <v>7</v>
      </c>
      <c r="F39" s="67"/>
    </row>
    <row r="40" spans="1:5" ht="12.75">
      <c r="A40" s="3"/>
      <c r="E40" s="4" t="s">
        <v>7</v>
      </c>
    </row>
    <row r="41" spans="1:6" ht="12.75">
      <c r="A41" s="56" t="s">
        <v>16</v>
      </c>
      <c r="B41" s="31"/>
      <c r="C41" s="31"/>
      <c r="D41" s="31"/>
      <c r="E41" s="31"/>
      <c r="F41" s="59"/>
    </row>
    <row r="42" spans="1:6" ht="12.75">
      <c r="A42" s="76"/>
      <c r="B42" s="32"/>
      <c r="C42" s="32"/>
      <c r="D42" s="32"/>
      <c r="E42" s="32"/>
      <c r="F42" s="62"/>
    </row>
    <row r="43" spans="1:6" ht="12.75">
      <c r="A43" s="76" t="s">
        <v>8</v>
      </c>
      <c r="B43" s="77" t="s">
        <v>48</v>
      </c>
      <c r="C43" s="77" t="s">
        <v>260</v>
      </c>
      <c r="D43" s="77"/>
      <c r="E43" s="77"/>
      <c r="F43" s="62"/>
    </row>
    <row r="44" spans="1:6" ht="12.75">
      <c r="A44" s="76"/>
      <c r="B44" s="77" t="s">
        <v>49</v>
      </c>
      <c r="C44" s="77" t="s">
        <v>47</v>
      </c>
      <c r="D44" s="77"/>
      <c r="E44" s="77"/>
      <c r="F44" s="62"/>
    </row>
    <row r="45" spans="1:6" ht="15.75">
      <c r="A45" s="60" t="s">
        <v>178</v>
      </c>
      <c r="B45" s="44">
        <f>ROUNDUP(D33/30/4,0)</f>
        <v>4</v>
      </c>
      <c r="C45" s="70">
        <v>0.1</v>
      </c>
      <c r="D45" s="44"/>
      <c r="E45" s="32"/>
      <c r="F45" s="62"/>
    </row>
    <row r="46" spans="1:6" ht="15.75">
      <c r="A46" s="82" t="s">
        <v>179</v>
      </c>
      <c r="B46" s="74">
        <v>3</v>
      </c>
      <c r="C46" s="41">
        <f>ROUNDUP(D2/6/5280,1)</f>
        <v>2.8000000000000003</v>
      </c>
      <c r="D46" s="41"/>
      <c r="E46" s="66"/>
      <c r="F46" s="67"/>
    </row>
    <row r="47" spans="1:4" ht="12.75">
      <c r="A47" s="47"/>
      <c r="B47" s="4"/>
      <c r="C47" s="4"/>
      <c r="D47" s="4"/>
    </row>
    <row r="48" spans="1:6" ht="12.75">
      <c r="A48" s="56" t="s">
        <v>21</v>
      </c>
      <c r="B48" s="31"/>
      <c r="C48" s="31"/>
      <c r="D48" s="31"/>
      <c r="E48" s="31"/>
      <c r="F48" s="59"/>
    </row>
    <row r="49" spans="1:6" ht="12.75">
      <c r="A49" s="76"/>
      <c r="B49" s="32"/>
      <c r="C49" s="32"/>
      <c r="D49" s="32"/>
      <c r="E49" s="32"/>
      <c r="F49" s="62"/>
    </row>
    <row r="50" spans="1:6" ht="12.75">
      <c r="A50" s="76" t="s">
        <v>104</v>
      </c>
      <c r="B50" s="32"/>
      <c r="C50" s="32"/>
      <c r="D50" s="32"/>
      <c r="E50" s="32"/>
      <c r="F50" s="62"/>
    </row>
    <row r="51" spans="1:7" ht="12.75">
      <c r="A51" s="60"/>
      <c r="B51" s="77"/>
      <c r="C51" s="77"/>
      <c r="D51" s="77"/>
      <c r="E51" s="77"/>
      <c r="F51" s="80"/>
      <c r="G51" s="2"/>
    </row>
    <row r="52" spans="1:6" ht="12.75">
      <c r="A52" s="76"/>
      <c r="B52" s="77" t="s">
        <v>4</v>
      </c>
      <c r="C52" s="77" t="s">
        <v>5</v>
      </c>
      <c r="D52" s="77" t="s">
        <v>6</v>
      </c>
      <c r="E52" s="77"/>
      <c r="F52" s="62"/>
    </row>
    <row r="53" spans="1:6" ht="12.75">
      <c r="A53" s="76" t="s">
        <v>3</v>
      </c>
      <c r="B53" s="44" t="s">
        <v>34</v>
      </c>
      <c r="C53" s="44" t="s">
        <v>34</v>
      </c>
      <c r="D53" s="44" t="s">
        <v>34</v>
      </c>
      <c r="E53" s="44"/>
      <c r="F53" s="62"/>
    </row>
    <row r="54" spans="1:6" ht="12.75">
      <c r="A54" s="60" t="str">
        <f>A7</f>
        <v>Rubber Tired Dozers</v>
      </c>
      <c r="B54" s="93">
        <f aca="true" t="shared" si="0" ref="B54:D56">+B15*$C7*$B7</f>
        <v>12.015919240802516</v>
      </c>
      <c r="C54" s="93">
        <f t="shared" si="0"/>
        <v>25.003239262662035</v>
      </c>
      <c r="D54" s="93">
        <f t="shared" si="0"/>
        <v>1.0774037875396116</v>
      </c>
      <c r="E54" s="32"/>
      <c r="F54" s="62"/>
    </row>
    <row r="55" spans="1:6" ht="12.75">
      <c r="A55" s="60" t="str">
        <f>A8</f>
        <v>Graders</v>
      </c>
      <c r="B55" s="93">
        <f t="shared" si="0"/>
        <v>5.142729428495614</v>
      </c>
      <c r="C55" s="93">
        <f t="shared" si="0"/>
        <v>12.189878793097341</v>
      </c>
      <c r="D55" s="93">
        <f t="shared" si="0"/>
        <v>0.6366143548265083</v>
      </c>
      <c r="E55" s="32"/>
      <c r="F55" s="62"/>
    </row>
    <row r="56" spans="1:6" ht="12.75">
      <c r="A56" s="60" t="str">
        <f>A9</f>
        <v>Tractors/Loaders/Backhoes</v>
      </c>
      <c r="B56" s="93">
        <f t="shared" si="0"/>
        <v>5.5900471174184325</v>
      </c>
      <c r="C56" s="93">
        <f t="shared" si="0"/>
        <v>10.117171474958255</v>
      </c>
      <c r="D56" s="93">
        <f t="shared" si="0"/>
        <v>0.782621789581905</v>
      </c>
      <c r="E56" s="120"/>
      <c r="F56" s="62"/>
    </row>
    <row r="57" spans="1:6" ht="12.75">
      <c r="A57" s="63" t="s">
        <v>0</v>
      </c>
      <c r="B57" s="95">
        <f>SUM(B54:B56)</f>
        <v>22.748695786716564</v>
      </c>
      <c r="C57" s="95">
        <f>SUM(C54:C56)</f>
        <v>47.31028953071763</v>
      </c>
      <c r="D57" s="103">
        <f>ROUND(SUM(D54:D56),2)</f>
        <v>2.5</v>
      </c>
      <c r="E57" s="121"/>
      <c r="F57" s="67"/>
    </row>
    <row r="59" spans="1:6" ht="12.75">
      <c r="A59" s="56" t="s">
        <v>36</v>
      </c>
      <c r="B59" s="31"/>
      <c r="C59" s="31"/>
      <c r="D59" s="31"/>
      <c r="E59" s="31"/>
      <c r="F59" s="59"/>
    </row>
    <row r="60" spans="1:6" ht="12.75">
      <c r="A60" s="60"/>
      <c r="B60" s="32"/>
      <c r="C60" s="32"/>
      <c r="D60" s="32"/>
      <c r="E60" s="32"/>
      <c r="F60" s="62"/>
    </row>
    <row r="61" spans="1:6" ht="12.75">
      <c r="A61" s="76" t="s">
        <v>22</v>
      </c>
      <c r="B61" s="32"/>
      <c r="C61" s="32"/>
      <c r="D61" s="32"/>
      <c r="E61" s="32"/>
      <c r="F61" s="62"/>
    </row>
    <row r="62" spans="1:6" ht="15.75">
      <c r="A62" s="122" t="s">
        <v>217</v>
      </c>
      <c r="B62" s="32"/>
      <c r="C62" s="32"/>
      <c r="D62" s="32"/>
      <c r="E62" s="32"/>
      <c r="F62" s="62"/>
    </row>
    <row r="63" spans="1:6" ht="15.75">
      <c r="A63" s="122" t="s">
        <v>202</v>
      </c>
      <c r="B63" s="32"/>
      <c r="C63" s="32"/>
      <c r="D63" s="32"/>
      <c r="E63" s="32"/>
      <c r="F63" s="62"/>
    </row>
    <row r="64" spans="1:6" ht="15.75">
      <c r="A64" s="122" t="s">
        <v>203</v>
      </c>
      <c r="B64" s="32"/>
      <c r="C64" s="32"/>
      <c r="D64" s="32"/>
      <c r="E64" s="32"/>
      <c r="F64" s="62"/>
    </row>
    <row r="65" spans="1:6" ht="12.75">
      <c r="A65" s="122" t="s">
        <v>207</v>
      </c>
      <c r="B65" s="32"/>
      <c r="C65" s="32"/>
      <c r="D65" s="32"/>
      <c r="E65" s="32"/>
      <c r="F65" s="62"/>
    </row>
    <row r="66" spans="1:6" ht="12.75">
      <c r="A66" s="122"/>
      <c r="B66" s="32"/>
      <c r="C66" s="32"/>
      <c r="D66" s="32"/>
      <c r="E66" s="32"/>
      <c r="F66" s="62"/>
    </row>
    <row r="67" spans="1:6" ht="15.75">
      <c r="A67" s="60"/>
      <c r="C67" s="77" t="s">
        <v>126</v>
      </c>
      <c r="D67" s="77" t="s">
        <v>197</v>
      </c>
      <c r="E67" s="32"/>
      <c r="F67" s="62"/>
    </row>
    <row r="68" spans="1:6" ht="12.75">
      <c r="A68" s="76" t="s">
        <v>30</v>
      </c>
      <c r="C68" s="44" t="s">
        <v>127</v>
      </c>
      <c r="D68" s="44" t="s">
        <v>34</v>
      </c>
      <c r="E68" s="32"/>
      <c r="F68" s="62"/>
    </row>
    <row r="69" spans="1:6" ht="12.75">
      <c r="A69" s="60" t="s">
        <v>38</v>
      </c>
      <c r="C69" s="70">
        <v>61</v>
      </c>
      <c r="D69" s="93">
        <f>ROUND(0.6*0.051*$A22^2*$B22*(1-C69/100),2)</f>
        <v>0.04</v>
      </c>
      <c r="E69" s="32"/>
      <c r="F69" s="62"/>
    </row>
    <row r="70" spans="1:6" ht="12.75">
      <c r="A70" s="60" t="s">
        <v>46</v>
      </c>
      <c r="C70" s="70">
        <v>61</v>
      </c>
      <c r="D70" s="93">
        <f>ROUND(1.7*(A27/1.5)*((365-B27)/235)*(C27/15)*D27*E27*(1-C70/100),2)</f>
        <v>0.92</v>
      </c>
      <c r="E70" s="32"/>
      <c r="F70" s="62"/>
    </row>
    <row r="71" spans="1:6" ht="12.75">
      <c r="A71" s="60" t="s">
        <v>37</v>
      </c>
      <c r="C71" s="70">
        <v>61</v>
      </c>
      <c r="D71" s="93">
        <f>ROUND(0.00112*(($B33/5)^1.3)/(($C33/2)^1.4)*$E33/2000*(1-C71/100),2)</f>
        <v>0.02</v>
      </c>
      <c r="E71" s="32"/>
      <c r="F71" s="62"/>
    </row>
    <row r="72" spans="1:6" ht="12.75">
      <c r="A72" s="63" t="s">
        <v>0</v>
      </c>
      <c r="B72" s="66"/>
      <c r="C72" s="66"/>
      <c r="D72" s="103">
        <f>ROUND(SUM(D69:D71),2)</f>
        <v>0.98</v>
      </c>
      <c r="E72" s="66"/>
      <c r="F72" s="67"/>
    </row>
    <row r="73" ht="12.75">
      <c r="A73" s="47"/>
    </row>
    <row r="74" spans="1:6" ht="12.75">
      <c r="A74" s="56" t="s">
        <v>120</v>
      </c>
      <c r="B74" s="31"/>
      <c r="C74" s="31"/>
      <c r="D74" s="31"/>
      <c r="E74" s="31"/>
      <c r="F74" s="59"/>
    </row>
    <row r="75" spans="1:6" ht="12.75">
      <c r="A75" s="76"/>
      <c r="B75" s="32"/>
      <c r="C75" s="32"/>
      <c r="D75" s="32"/>
      <c r="E75" s="32"/>
      <c r="F75" s="62"/>
    </row>
    <row r="76" spans="1:7" ht="12.75">
      <c r="A76" s="76" t="s">
        <v>121</v>
      </c>
      <c r="B76" s="77"/>
      <c r="C76" s="77"/>
      <c r="D76" s="77"/>
      <c r="E76" s="77"/>
      <c r="F76" s="80"/>
      <c r="G76" s="2"/>
    </row>
    <row r="77" spans="1:6" ht="12.75">
      <c r="A77" s="76"/>
      <c r="B77" s="77"/>
      <c r="C77" s="77"/>
      <c r="D77" s="77"/>
      <c r="E77" s="77"/>
      <c r="F77" s="80"/>
    </row>
    <row r="78" spans="1:6" ht="12.75">
      <c r="A78" s="76"/>
      <c r="B78" s="77" t="s">
        <v>4</v>
      </c>
      <c r="C78" s="77" t="s">
        <v>5</v>
      </c>
      <c r="D78" s="77" t="s">
        <v>6</v>
      </c>
      <c r="E78" s="77"/>
      <c r="F78" s="62"/>
    </row>
    <row r="79" spans="1:6" ht="12.75">
      <c r="A79" s="76" t="s">
        <v>8</v>
      </c>
      <c r="B79" s="44" t="s">
        <v>34</v>
      </c>
      <c r="C79" s="44" t="s">
        <v>34</v>
      </c>
      <c r="D79" s="44" t="s">
        <v>34</v>
      </c>
      <c r="E79" s="44"/>
      <c r="F79" s="62"/>
    </row>
    <row r="80" spans="1:6" ht="12.75">
      <c r="A80" s="60" t="s">
        <v>116</v>
      </c>
      <c r="B80" s="93">
        <f>+B39*$C45*$B45*2</f>
        <v>0.01025789192081328</v>
      </c>
      <c r="C80" s="93">
        <f>+C39*$C45*$B45*2</f>
        <v>0.03347672552166934</v>
      </c>
      <c r="D80" s="93">
        <f>+D39*$C45*$B45*2</f>
        <v>0.0015965757089352597</v>
      </c>
      <c r="E80" s="123"/>
      <c r="F80" s="62"/>
    </row>
    <row r="81" spans="1:6" ht="12.75">
      <c r="A81" s="60" t="s">
        <v>119</v>
      </c>
      <c r="B81" s="44">
        <f>ROUND(+B39*$C46*$B46*2,2)</f>
        <v>0.22</v>
      </c>
      <c r="C81" s="44">
        <f>ROUND(+C39*$C46*$B46*2,2)</f>
        <v>0.7</v>
      </c>
      <c r="D81" s="44">
        <f>ROUND(+D39*$C46*$B46*2,3)</f>
        <v>0.034</v>
      </c>
      <c r="E81" s="123"/>
      <c r="F81" s="62"/>
    </row>
    <row r="82" spans="1:6" ht="12.75">
      <c r="A82" s="63" t="s">
        <v>0</v>
      </c>
      <c r="B82" s="103">
        <f>SUM(B80:B81)</f>
        <v>0.23025789192081328</v>
      </c>
      <c r="C82" s="103">
        <f>SUM(C80:C81)</f>
        <v>0.7334767255216693</v>
      </c>
      <c r="D82" s="103">
        <f>SUM(D80:D81)</f>
        <v>0.03559657570893526</v>
      </c>
      <c r="E82" s="121"/>
      <c r="F82" s="67"/>
    </row>
    <row r="83" spans="1:5" ht="12.75">
      <c r="A83" s="6"/>
      <c r="B83" s="11"/>
      <c r="C83" s="11"/>
      <c r="D83" s="11"/>
      <c r="E83" s="10"/>
    </row>
    <row r="84" spans="1:6" ht="12.75">
      <c r="A84" s="56" t="s">
        <v>24</v>
      </c>
      <c r="B84" s="57"/>
      <c r="C84" s="57"/>
      <c r="D84" s="57"/>
      <c r="E84" s="57"/>
      <c r="F84" s="59"/>
    </row>
    <row r="85" spans="1:6" ht="12.75">
      <c r="A85" s="76"/>
      <c r="B85" s="77"/>
      <c r="C85" s="77"/>
      <c r="D85" s="77"/>
      <c r="E85" s="77"/>
      <c r="F85" s="62"/>
    </row>
    <row r="86" spans="1:6" ht="12.75">
      <c r="A86" s="76"/>
      <c r="B86" s="77" t="s">
        <v>4</v>
      </c>
      <c r="C86" s="77" t="s">
        <v>5</v>
      </c>
      <c r="D86" s="77" t="s">
        <v>6</v>
      </c>
      <c r="E86" s="77"/>
      <c r="F86" s="62"/>
    </row>
    <row r="87" spans="1:6" ht="12.75">
      <c r="A87" s="76" t="s">
        <v>12</v>
      </c>
      <c r="B87" s="44" t="s">
        <v>34</v>
      </c>
      <c r="C87" s="44" t="s">
        <v>34</v>
      </c>
      <c r="D87" s="44" t="s">
        <v>34</v>
      </c>
      <c r="E87" s="44"/>
      <c r="F87" s="62"/>
    </row>
    <row r="88" spans="1:6" ht="12.75">
      <c r="A88" s="60" t="s">
        <v>42</v>
      </c>
      <c r="B88" s="99">
        <f>+B57+B82</f>
        <v>22.978953678637378</v>
      </c>
      <c r="C88" s="99">
        <f>+C57+C82</f>
        <v>48.0437662562393</v>
      </c>
      <c r="D88" s="99">
        <f>+D57+D72+D82</f>
        <v>3.515596575708935</v>
      </c>
      <c r="E88" s="32"/>
      <c r="F88" s="62"/>
    </row>
    <row r="89" spans="1:6" ht="16.5">
      <c r="A89" s="76" t="s">
        <v>199</v>
      </c>
      <c r="B89" s="108">
        <v>226</v>
      </c>
      <c r="C89" s="108">
        <v>147</v>
      </c>
      <c r="D89" s="108">
        <v>6</v>
      </c>
      <c r="E89" s="124"/>
      <c r="F89" s="62"/>
    </row>
    <row r="90" spans="1:6" ht="12.75">
      <c r="A90" s="63" t="s">
        <v>13</v>
      </c>
      <c r="B90" s="110" t="str">
        <f>IF(B88&gt;=B89,"YES","NO")</f>
        <v>NO</v>
      </c>
      <c r="C90" s="110" t="str">
        <f>IF(C88&gt;=C89,"YES","NO")</f>
        <v>NO</v>
      </c>
      <c r="D90" s="110" t="str">
        <f>IF(D88&gt;=D89,"YES","NO")</f>
        <v>NO</v>
      </c>
      <c r="E90" s="66"/>
      <c r="F90" s="67"/>
    </row>
    <row r="91" spans="1:5" ht="12.75">
      <c r="A91" s="141"/>
      <c r="B91" s="77"/>
      <c r="C91" s="77"/>
      <c r="D91" s="77"/>
      <c r="E91" s="32"/>
    </row>
    <row r="92" spans="1:9" ht="15.75">
      <c r="A92" s="68" t="s">
        <v>222</v>
      </c>
      <c r="B92" s="57"/>
      <c r="C92" s="57" t="s">
        <v>230</v>
      </c>
      <c r="D92" s="57" t="s">
        <v>6</v>
      </c>
      <c r="E92" s="57" t="s">
        <v>223</v>
      </c>
      <c r="F92" s="59"/>
      <c r="G92" s="77" t="s">
        <v>225</v>
      </c>
      <c r="H92" s="2"/>
      <c r="I92" s="2"/>
    </row>
    <row r="93" spans="1:7" ht="12.75">
      <c r="A93" s="79"/>
      <c r="B93" s="77"/>
      <c r="C93" s="77"/>
      <c r="D93" s="44" t="s">
        <v>34</v>
      </c>
      <c r="E93" s="44" t="s">
        <v>34</v>
      </c>
      <c r="F93" s="62"/>
      <c r="G93" s="77" t="s">
        <v>226</v>
      </c>
    </row>
    <row r="94" spans="1:8" ht="12.75">
      <c r="A94" s="102" t="s">
        <v>265</v>
      </c>
      <c r="B94" s="44"/>
      <c r="C94" s="93">
        <f>'2 Acre Equip_Phase'!$M$3</f>
        <v>0.92</v>
      </c>
      <c r="D94" s="142">
        <f>D57</f>
        <v>2.5</v>
      </c>
      <c r="E94" s="142">
        <f>D94*C94</f>
        <v>2.3000000000000003</v>
      </c>
      <c r="F94" s="62"/>
      <c r="G94" s="170">
        <f>E94/E97</f>
        <v>0.9054707800132715</v>
      </c>
      <c r="H94" s="44"/>
    </row>
    <row r="95" spans="1:8" ht="12.75">
      <c r="A95" s="102" t="s">
        <v>266</v>
      </c>
      <c r="B95" s="44"/>
      <c r="C95" s="93">
        <f>'2 Acre Equip_Phase'!$N$3</f>
        <v>0.964</v>
      </c>
      <c r="D95" s="93">
        <f>D82</f>
        <v>0.03559657570893526</v>
      </c>
      <c r="E95" s="93">
        <f>D95*C95</f>
        <v>0.034315098983413596</v>
      </c>
      <c r="F95" s="62"/>
      <c r="G95" s="170">
        <f>E95/E97</f>
        <v>0.013509269322932229</v>
      </c>
      <c r="H95" s="44"/>
    </row>
    <row r="96" spans="1:8" ht="12.75">
      <c r="A96" s="102" t="s">
        <v>224</v>
      </c>
      <c r="B96" s="44"/>
      <c r="C96" s="44">
        <f>'2 Acre Equip_Phase'!$O$3</f>
        <v>0.21</v>
      </c>
      <c r="D96" s="119">
        <f>D72</f>
        <v>0.98</v>
      </c>
      <c r="E96" s="119">
        <f>D96*C96</f>
        <v>0.20579999999999998</v>
      </c>
      <c r="F96" s="62"/>
      <c r="G96" s="170">
        <f>E96/E97</f>
        <v>0.08101995066379619</v>
      </c>
      <c r="H96" s="44"/>
    </row>
    <row r="97" spans="1:6" ht="12.75">
      <c r="A97" s="79" t="s">
        <v>0</v>
      </c>
      <c r="B97" s="77"/>
      <c r="C97" s="77"/>
      <c r="D97" s="99">
        <f>SUM(D94:D96)</f>
        <v>3.515596575708935</v>
      </c>
      <c r="E97" s="99">
        <f>SUM(E94:E96)</f>
        <v>2.540115098983414</v>
      </c>
      <c r="F97" s="62"/>
    </row>
    <row r="98" spans="1:9" ht="15.75">
      <c r="A98" s="76" t="s">
        <v>199</v>
      </c>
      <c r="B98" s="77"/>
      <c r="C98" s="77"/>
      <c r="D98" s="77"/>
      <c r="E98" s="45">
        <v>4</v>
      </c>
      <c r="F98" s="62"/>
      <c r="I98" s="3"/>
    </row>
    <row r="99" spans="1:9" ht="12.75">
      <c r="A99" s="146" t="s">
        <v>13</v>
      </c>
      <c r="B99" s="110"/>
      <c r="C99" s="110"/>
      <c r="D99" s="110"/>
      <c r="E99" s="110" t="str">
        <f>IF(E97&gt;=E98,"YES","NO")</f>
        <v>NO</v>
      </c>
      <c r="F99" s="67"/>
      <c r="I99" s="3"/>
    </row>
    <row r="100" spans="1:5" ht="12.75">
      <c r="A100" s="48"/>
      <c r="B100" s="5"/>
      <c r="C100" s="5"/>
      <c r="D100" s="5"/>
      <c r="E100" s="9"/>
    </row>
    <row r="101" spans="1:5" ht="12.75">
      <c r="A101" s="48"/>
      <c r="B101" s="5"/>
      <c r="C101" s="5"/>
      <c r="D101" s="5"/>
      <c r="E101" s="9"/>
    </row>
    <row r="102" spans="1:6" ht="12.75">
      <c r="A102" s="111" t="s">
        <v>137</v>
      </c>
      <c r="B102" s="31"/>
      <c r="C102" s="31"/>
      <c r="D102" s="31"/>
      <c r="E102" s="31"/>
      <c r="F102" s="59"/>
    </row>
    <row r="103" spans="1:6" ht="12.75">
      <c r="A103" s="113" t="s">
        <v>219</v>
      </c>
      <c r="B103" s="138"/>
      <c r="C103" s="138"/>
      <c r="D103" s="138"/>
      <c r="E103" s="120"/>
      <c r="F103" s="62"/>
    </row>
    <row r="104" spans="1:6" ht="12.75">
      <c r="A104" s="113" t="s">
        <v>220</v>
      </c>
      <c r="B104" s="138"/>
      <c r="C104" s="138"/>
      <c r="D104" s="138"/>
      <c r="E104" s="120"/>
      <c r="F104" s="62"/>
    </row>
    <row r="105" spans="1:6" ht="12.75">
      <c r="A105" s="112" t="s">
        <v>131</v>
      </c>
      <c r="B105" s="32"/>
      <c r="C105" s="32"/>
      <c r="D105" s="32"/>
      <c r="E105" s="32"/>
      <c r="F105" s="62"/>
    </row>
    <row r="106" spans="1:6" ht="12.75">
      <c r="A106" s="112" t="s">
        <v>221</v>
      </c>
      <c r="B106" s="32"/>
      <c r="C106" s="32"/>
      <c r="D106" s="32"/>
      <c r="E106" s="32"/>
      <c r="F106" s="62"/>
    </row>
    <row r="107" spans="1:6" ht="12.75">
      <c r="A107" s="112" t="s">
        <v>246</v>
      </c>
      <c r="B107" s="32"/>
      <c r="C107" s="32"/>
      <c r="D107" s="32"/>
      <c r="E107" s="32"/>
      <c r="F107" s="62"/>
    </row>
    <row r="108" spans="1:6" ht="12.75">
      <c r="A108" s="112" t="s">
        <v>164</v>
      </c>
      <c r="B108" s="32"/>
      <c r="C108" s="32"/>
      <c r="D108" s="32"/>
      <c r="E108" s="32"/>
      <c r="F108" s="62"/>
    </row>
    <row r="109" spans="1:6" ht="12.75">
      <c r="A109" s="84" t="str">
        <f>"e) Assumed 13 foot wide blade with 2 foot overlap (11 foot wide).  Vehicle miles traveled (VMT) = ("&amp;TEXT(D2,"0,000")&amp;" sq ft/11 foot x mile/5,280 ft)/"&amp;B4&amp;" days = "&amp;B22&amp;"miles"</f>
        <v>e) Assumed 13 foot wide blade with 2 foot overlap (11 foot wide).  Vehicle miles traveled (VMT) = (87,000 sq ft/11 foot x mile/5,280 ft)/4 days = 0.37miles</v>
      </c>
      <c r="B109" s="32"/>
      <c r="C109" s="32"/>
      <c r="D109" s="32"/>
      <c r="E109" s="32"/>
      <c r="F109" s="62"/>
    </row>
    <row r="110" spans="1:6" ht="12.75">
      <c r="A110" s="84" t="s">
        <v>256</v>
      </c>
      <c r="B110" s="32"/>
      <c r="C110" s="32"/>
      <c r="D110" s="32"/>
      <c r="E110" s="32"/>
      <c r="F110" s="62"/>
    </row>
    <row r="111" spans="1:6" ht="12.75">
      <c r="A111" s="84" t="s">
        <v>167</v>
      </c>
      <c r="B111" s="32"/>
      <c r="C111" s="32"/>
      <c r="D111" s="32"/>
      <c r="E111" s="32"/>
      <c r="F111" s="62"/>
    </row>
    <row r="112" spans="1:6" ht="12.75">
      <c r="A112" s="84" t="s">
        <v>168</v>
      </c>
      <c r="B112" s="32"/>
      <c r="C112" s="32"/>
      <c r="D112" s="32"/>
      <c r="E112" s="32"/>
      <c r="F112" s="62"/>
    </row>
    <row r="113" spans="1:6" ht="12.75">
      <c r="A113" s="112" t="s">
        <v>173</v>
      </c>
      <c r="B113" s="32"/>
      <c r="C113" s="32"/>
      <c r="D113" s="32"/>
      <c r="E113" s="32"/>
      <c r="F113" s="62"/>
    </row>
    <row r="114" spans="1:6" ht="12.75">
      <c r="A114" s="84" t="s">
        <v>257</v>
      </c>
      <c r="B114" s="32"/>
      <c r="C114" s="32"/>
      <c r="D114" s="32"/>
      <c r="E114" s="32"/>
      <c r="F114" s="62"/>
    </row>
    <row r="115" spans="1:6" ht="12.75">
      <c r="A115" s="154" t="s">
        <v>176</v>
      </c>
      <c r="B115" s="66"/>
      <c r="C115" s="66"/>
      <c r="D115" s="66"/>
      <c r="E115" s="66"/>
      <c r="F115" s="67"/>
    </row>
    <row r="116" spans="1:6" ht="12.75">
      <c r="A116" s="156" t="str">
        <f>"l) Assuming "&amp;D33&amp;" cubic yards of dirt handled [("&amp;D33&amp;" cyd x  2,500 lb/cyd)/"&amp;B4&amp;" days = "&amp;TEXT(E33,"0,000")&amp;" lb/day]"</f>
        <v>l) Assuming 444 cubic yards of dirt handled [(444 cyd x  2,500 lb/cyd)/4 days = 277,500 lb/day]</v>
      </c>
      <c r="B116" s="31"/>
      <c r="C116" s="31"/>
      <c r="D116" s="31"/>
      <c r="E116" s="31"/>
      <c r="F116" s="59"/>
    </row>
    <row r="117" spans="1:6" ht="12.75">
      <c r="A117" s="84" t="s">
        <v>271</v>
      </c>
      <c r="B117" s="32"/>
      <c r="C117" s="32"/>
      <c r="D117" s="32"/>
      <c r="E117" s="32"/>
      <c r="F117" s="62"/>
    </row>
    <row r="118" spans="1:6" ht="12.75">
      <c r="A118" s="84" t="str">
        <f>"n) Assumed 30 cubic yd truck capacity for "&amp;D33&amp;" cyd of dirt [("&amp;D33&amp;" cyd x truck/30 cyd)/"&amp;B4&amp;" days = "&amp;B45&amp;" one-way truck trips/day]. Multiple trucks may be used."</f>
        <v>n) Assumed 30 cubic yd truck capacity for 444 cyd of dirt [(444 cyd x truck/30 cyd)/4 days = 4 one-way truck trips/day]. Multiple trucks may be used.</v>
      </c>
      <c r="B118" s="32"/>
      <c r="C118" s="32"/>
      <c r="D118" s="32"/>
      <c r="E118" s="32"/>
      <c r="F118" s="62"/>
    </row>
    <row r="119" spans="1:6" ht="12.75">
      <c r="A119" s="112" t="str">
        <f>"o) Assumed six foot wide water truck traverses over "&amp;TEXT(D2,"0,000")&amp;" square feet of disturbed area"</f>
        <v>o) Assumed six foot wide water truck traverses over 87,000 square feet of disturbed area</v>
      </c>
      <c r="B119" s="32"/>
      <c r="C119" s="32"/>
      <c r="D119" s="32"/>
      <c r="E119" s="32"/>
      <c r="F119" s="62"/>
    </row>
    <row r="120" spans="1:6" ht="12.75">
      <c r="A120" s="84" t="s">
        <v>180</v>
      </c>
      <c r="B120" s="32"/>
      <c r="C120" s="32"/>
      <c r="D120" s="32"/>
      <c r="E120" s="32"/>
      <c r="F120" s="62"/>
    </row>
    <row r="121" spans="1:6" ht="12.75">
      <c r="A121" s="84" t="s">
        <v>181</v>
      </c>
      <c r="B121" s="32"/>
      <c r="C121" s="32"/>
      <c r="D121" s="32"/>
      <c r="E121" s="32"/>
      <c r="F121" s="62"/>
    </row>
    <row r="122" spans="1:6" ht="12.75">
      <c r="A122" s="84" t="s">
        <v>258</v>
      </c>
      <c r="B122" s="32"/>
      <c r="C122" s="32"/>
      <c r="D122" s="32"/>
      <c r="E122" s="32"/>
      <c r="F122" s="62"/>
    </row>
    <row r="123" spans="1:6" ht="12.75">
      <c r="A123" s="84" t="s">
        <v>268</v>
      </c>
      <c r="B123" s="32"/>
      <c r="C123" s="32"/>
      <c r="D123" s="32"/>
      <c r="E123" s="32"/>
      <c r="F123" s="62"/>
    </row>
    <row r="124" spans="1:6" ht="12.75">
      <c r="A124" s="84" t="s">
        <v>236</v>
      </c>
      <c r="B124" s="32"/>
      <c r="C124" s="32"/>
      <c r="D124" s="32"/>
      <c r="E124" s="32"/>
      <c r="F124" s="62"/>
    </row>
    <row r="125" spans="1:6" ht="12.75">
      <c r="A125" s="114" t="s">
        <v>259</v>
      </c>
      <c r="B125" s="66"/>
      <c r="C125" s="66"/>
      <c r="D125" s="66"/>
      <c r="E125" s="66"/>
      <c r="F125" s="67"/>
    </row>
  </sheetData>
  <printOptions/>
  <pageMargins left="0.75" right="0.75" top="0.92" bottom="0.87" header="0.5" footer="0.5"/>
  <pageSetup fitToHeight="0" fitToWidth="1" horizontalDpi="600" verticalDpi="600" orientation="landscape" scale="91" r:id="rId1"/>
  <headerFooter alignWithMargins="0">
    <oddHeader>&amp;C&amp;"Times New Roman,Bold"Two Acre Site Example  - Grading Phase</oddHeader>
    <oddFooter>&amp;C&amp;"Times New Roman,Regular"B-&amp;P</oddFooter>
  </headerFooter>
  <rowBreaks count="3" manualBreakCount="3">
    <brk id="34" max="5" man="1"/>
    <brk id="72" max="5" man="1"/>
    <brk id="125" max="5" man="1"/>
  </rowBreaks>
</worksheet>
</file>

<file path=xl/worksheets/sheet6.xml><?xml version="1.0" encoding="utf-8"?>
<worksheet xmlns="http://schemas.openxmlformats.org/spreadsheetml/2006/main" xmlns:r="http://schemas.openxmlformats.org/officeDocument/2006/relationships">
  <sheetPr codeName="Sheet7">
    <pageSetUpPr fitToPage="1"/>
  </sheetPr>
  <dimension ref="A1:H85"/>
  <sheetViews>
    <sheetView view="pageBreakPreview" zoomScale="75" zoomScaleSheetLayoutView="75" workbookViewId="0" topLeftCell="A1">
      <selection activeCell="A1" sqref="A1"/>
    </sheetView>
  </sheetViews>
  <sheetFormatPr defaultColWidth="9.140625" defaultRowHeight="12.75"/>
  <cols>
    <col min="1" max="1" width="31.140625" style="7" customWidth="1"/>
    <col min="2" max="2" width="25.8515625" style="3" customWidth="1"/>
    <col min="3" max="3" width="25.57421875" style="3" customWidth="1"/>
    <col min="4" max="5" width="19.8515625" style="3" customWidth="1"/>
    <col min="6" max="6" width="14.00390625" style="4" bestFit="1" customWidth="1"/>
    <col min="7" max="7" width="18.28125" style="4" bestFit="1" customWidth="1"/>
    <col min="8" max="8" width="20.00390625" style="4" bestFit="1" customWidth="1"/>
    <col min="9" max="16384" width="9.140625" style="3" customWidth="1"/>
  </cols>
  <sheetData>
    <row r="1" spans="1:5" ht="12.75">
      <c r="A1" s="56" t="s">
        <v>54</v>
      </c>
      <c r="B1" s="57"/>
      <c r="C1" s="58" t="s">
        <v>1</v>
      </c>
      <c r="D1" s="31"/>
      <c r="E1" s="59"/>
    </row>
    <row r="2" spans="1:5" ht="15.75">
      <c r="A2" s="60" t="s">
        <v>55</v>
      </c>
      <c r="B2" s="44"/>
      <c r="C2" s="137" t="s">
        <v>218</v>
      </c>
      <c r="D2" s="61">
        <v>87000</v>
      </c>
      <c r="E2" s="62" t="s">
        <v>140</v>
      </c>
    </row>
    <row r="3" spans="1:5" ht="12.75">
      <c r="A3" s="60"/>
      <c r="B3" s="44"/>
      <c r="C3" s="32"/>
      <c r="D3" s="32"/>
      <c r="E3" s="62"/>
    </row>
    <row r="4" spans="1:5" ht="12.75">
      <c r="A4" s="63" t="s">
        <v>110</v>
      </c>
      <c r="B4" s="66"/>
      <c r="C4" s="66"/>
      <c r="D4" s="66"/>
      <c r="E4" s="67"/>
    </row>
    <row r="5" ht="12.75">
      <c r="A5" s="6"/>
    </row>
    <row r="6" spans="1:5" ht="15.75">
      <c r="A6" s="68" t="s">
        <v>138</v>
      </c>
      <c r="B6" s="57" t="s">
        <v>17</v>
      </c>
      <c r="C6" s="57" t="s">
        <v>35</v>
      </c>
      <c r="D6" s="57" t="s">
        <v>18</v>
      </c>
      <c r="E6" s="59"/>
    </row>
    <row r="7" spans="1:5" ht="12.75">
      <c r="A7" s="69" t="s">
        <v>108</v>
      </c>
      <c r="B7" s="70">
        <v>1</v>
      </c>
      <c r="C7" s="71">
        <v>6</v>
      </c>
      <c r="D7" s="70">
        <v>8</v>
      </c>
      <c r="E7" s="62"/>
    </row>
    <row r="8" spans="1:5" ht="12.75">
      <c r="A8" s="69" t="s">
        <v>85</v>
      </c>
      <c r="B8" s="70">
        <v>1</v>
      </c>
      <c r="C8" s="71">
        <v>6</v>
      </c>
      <c r="D8" s="128"/>
      <c r="E8" s="62"/>
    </row>
    <row r="9" spans="1:5" ht="12.75">
      <c r="A9" s="69" t="s">
        <v>102</v>
      </c>
      <c r="B9" s="70">
        <v>1</v>
      </c>
      <c r="C9" s="71">
        <v>6</v>
      </c>
      <c r="D9" s="70"/>
      <c r="E9" s="62"/>
    </row>
    <row r="10" spans="1:5" ht="12.75">
      <c r="A10" s="69" t="s">
        <v>109</v>
      </c>
      <c r="B10" s="70">
        <v>1</v>
      </c>
      <c r="C10" s="71">
        <v>8</v>
      </c>
      <c r="D10" s="70"/>
      <c r="E10" s="62"/>
    </row>
    <row r="11" spans="1:5" ht="12.75">
      <c r="A11" s="73" t="s">
        <v>20</v>
      </c>
      <c r="B11" s="74">
        <v>3</v>
      </c>
      <c r="C11" s="75">
        <v>8</v>
      </c>
      <c r="D11" s="74"/>
      <c r="E11" s="67"/>
    </row>
    <row r="12" ht="12.75">
      <c r="E12" s="4"/>
    </row>
    <row r="13" spans="1:5" ht="12.75">
      <c r="A13" s="56" t="s">
        <v>2</v>
      </c>
      <c r="B13" s="31"/>
      <c r="C13" s="31"/>
      <c r="D13" s="31"/>
      <c r="E13" s="59"/>
    </row>
    <row r="14" spans="1:5" ht="12.75">
      <c r="A14" s="76"/>
      <c r="B14" s="32"/>
      <c r="C14" s="32"/>
      <c r="D14" s="32"/>
      <c r="E14" s="62"/>
    </row>
    <row r="15" spans="1:5" ht="12.75">
      <c r="A15" s="60"/>
      <c r="B15" s="77" t="s">
        <v>81</v>
      </c>
      <c r="C15" s="77" t="s">
        <v>59</v>
      </c>
      <c r="D15" s="77" t="s">
        <v>60</v>
      </c>
      <c r="E15" s="78"/>
    </row>
    <row r="16" spans="1:5" ht="15.75">
      <c r="A16" s="79" t="s">
        <v>142</v>
      </c>
      <c r="B16" s="44" t="s">
        <v>23</v>
      </c>
      <c r="C16" s="44" t="s">
        <v>23</v>
      </c>
      <c r="D16" s="44" t="s">
        <v>23</v>
      </c>
      <c r="E16" s="80"/>
    </row>
    <row r="17" spans="1:5" ht="12.75">
      <c r="A17" s="60" t="str">
        <f>A7</f>
        <v>Forklifts</v>
      </c>
      <c r="B17" s="81">
        <f>GETPIVOTDATA("Ems Factor #/hr",'Off-Road Model EF'!$A$4,"Eq Name",$A17,"Hp","Composite","Pollutant",B$15)</f>
        <v>0.23660199085490774</v>
      </c>
      <c r="C17" s="81">
        <f>GETPIVOTDATA("Ems Factor #/hr",'Off-Road Model EF'!$A$4,"Eq Name",$A17,"Hp","Composite","Pollutant",C$15)</f>
        <v>0.5560190053207631</v>
      </c>
      <c r="D17" s="81">
        <f>GETPIVOTDATA("Ems Factor #/hr",'Off-Road Model EF'!$A$4,"Eq Name",$A17,"Hp","Composite","Pollutant",D$15)</f>
        <v>0.030237709294514626</v>
      </c>
      <c r="E17" s="80"/>
    </row>
    <row r="18" spans="1:5" ht="12.75">
      <c r="A18" s="60" t="str">
        <f>A8</f>
        <v>Cranes</v>
      </c>
      <c r="B18" s="81">
        <f>GETPIVOTDATA("Ems Factor #/hr",'Off-Road Model EF'!$A$4,"Eq Name",$A18,"Hp","Composite","Pollutant",B$15)</f>
        <v>0.5705244357334118</v>
      </c>
      <c r="C18" s="81">
        <f>GETPIVOTDATA("Ems Factor #/hr",'Off-Road Model EF'!$A$4,"Eq Name",$A18,"Hp","Composite","Pollutant",C$15)</f>
        <v>1.529343946950683</v>
      </c>
      <c r="D18" s="81">
        <f>GETPIVOTDATA("Ems Factor #/hr",'Off-Road Model EF'!$A$4,"Eq Name",$A18,"Hp","Composite","Pollutant",D$15)</f>
        <v>0.06779838606269213</v>
      </c>
      <c r="E18" s="80"/>
    </row>
    <row r="19" spans="1:5" ht="12.75">
      <c r="A19" s="60" t="str">
        <f>A9</f>
        <v>Tractors/Loaders/Backhoes</v>
      </c>
      <c r="B19" s="81">
        <f>GETPIVOTDATA("Ems Factor #/hr",'Off-Road Model EF'!$A$4,"Eq Name",$A19,"Hp","Composite","Pollutant",B$15)</f>
        <v>0.3992890798156023</v>
      </c>
      <c r="C19" s="81">
        <f>GETPIVOTDATA("Ems Factor #/hr",'Off-Road Model EF'!$A$4,"Eq Name",$A19,"Hp","Composite","Pollutant",C$15)</f>
        <v>0.7226551053541611</v>
      </c>
      <c r="D19" s="81">
        <f>GETPIVOTDATA("Ems Factor #/hr",'Off-Road Model EF'!$A$4,"Eq Name",$A19,"Hp","Composite","Pollutant",D$15)</f>
        <v>0.0559015563987075</v>
      </c>
      <c r="E19" s="62"/>
    </row>
    <row r="20" spans="1:5" ht="12.75">
      <c r="A20" s="60" t="str">
        <f>A10</f>
        <v>Generator Sets</v>
      </c>
      <c r="B20" s="81">
        <f>GETPIVOTDATA("Ems Factor #/hr",'Off-Road Model EF'!$A$4,"Eq Name",$A20,"Hp","Composite","Pollutant",B$15)</f>
        <v>0.33784734114160253</v>
      </c>
      <c r="C20" s="81">
        <f>GETPIVOTDATA("Ems Factor #/hr",'Off-Road Model EF'!$A$4,"Eq Name",$A20,"Hp","Composite","Pollutant",C$15)</f>
        <v>0.6718260150564884</v>
      </c>
      <c r="D20" s="81">
        <f>GETPIVOTDATA("Ems Factor #/hr",'Off-Road Model EF'!$A$4,"Eq Name",$A20,"Hp","Composite","Pollutant",D$15)</f>
        <v>0.04139039741683303</v>
      </c>
      <c r="E20" s="62"/>
    </row>
    <row r="21" spans="1:5" ht="12.75">
      <c r="A21" s="82" t="str">
        <f>A11</f>
        <v>Electric Welders</v>
      </c>
      <c r="B21" s="129" t="s">
        <v>10</v>
      </c>
      <c r="C21" s="129" t="s">
        <v>10</v>
      </c>
      <c r="D21" s="129" t="s">
        <v>10</v>
      </c>
      <c r="E21" s="67"/>
    </row>
    <row r="22" ht="12.75">
      <c r="A22" s="47"/>
    </row>
    <row r="23" spans="1:5" ht="12.75">
      <c r="A23" s="56" t="s">
        <v>15</v>
      </c>
      <c r="B23" s="31"/>
      <c r="C23" s="31"/>
      <c r="D23" s="31"/>
      <c r="E23" s="59"/>
    </row>
    <row r="24" spans="1:7" ht="12.75">
      <c r="A24" s="60"/>
      <c r="B24" s="32"/>
      <c r="C24" s="32"/>
      <c r="D24" s="32"/>
      <c r="E24" s="78"/>
      <c r="F24" s="2"/>
      <c r="G24" s="2"/>
    </row>
    <row r="25" spans="1:5" ht="12.75">
      <c r="A25" s="76"/>
      <c r="B25" s="77" t="s">
        <v>4</v>
      </c>
      <c r="C25" s="77" t="s">
        <v>5</v>
      </c>
      <c r="D25" s="77" t="s">
        <v>6</v>
      </c>
      <c r="E25" s="62"/>
    </row>
    <row r="26" spans="1:5" ht="12.75">
      <c r="A26" s="60"/>
      <c r="B26" s="44" t="s">
        <v>14</v>
      </c>
      <c r="C26" s="44" t="s">
        <v>14</v>
      </c>
      <c r="D26" s="44" t="s">
        <v>14</v>
      </c>
      <c r="E26" s="89"/>
    </row>
    <row r="27" spans="1:5" ht="15.75">
      <c r="A27" s="82" t="s">
        <v>183</v>
      </c>
      <c r="B27" s="91">
        <v>0.0128223649010166</v>
      </c>
      <c r="C27" s="91">
        <v>0.04184590690208667</v>
      </c>
      <c r="D27" s="91">
        <v>0.0019957196361690744</v>
      </c>
      <c r="E27" s="92" t="s">
        <v>7</v>
      </c>
    </row>
    <row r="28" ht="12.75">
      <c r="A28" s="47"/>
    </row>
    <row r="29" spans="1:5" ht="12.75">
      <c r="A29" s="56" t="s">
        <v>16</v>
      </c>
      <c r="B29" s="31"/>
      <c r="C29" s="31"/>
      <c r="D29" s="31"/>
      <c r="E29" s="59"/>
    </row>
    <row r="30" spans="1:5" ht="12.75">
      <c r="A30" s="76"/>
      <c r="B30" s="32"/>
      <c r="C30" s="32"/>
      <c r="D30" s="32"/>
      <c r="E30" s="62"/>
    </row>
    <row r="31" spans="1:5" ht="12.75">
      <c r="A31" s="76" t="s">
        <v>8</v>
      </c>
      <c r="B31" s="77" t="s">
        <v>48</v>
      </c>
      <c r="C31" s="77" t="s">
        <v>260</v>
      </c>
      <c r="D31" s="77"/>
      <c r="E31" s="80"/>
    </row>
    <row r="32" spans="1:5" ht="12.75">
      <c r="A32" s="76"/>
      <c r="B32" s="77" t="s">
        <v>49</v>
      </c>
      <c r="C32" s="77" t="s">
        <v>47</v>
      </c>
      <c r="D32" s="77"/>
      <c r="E32" s="80"/>
    </row>
    <row r="33" spans="1:5" ht="15.75">
      <c r="A33" s="60" t="s">
        <v>184</v>
      </c>
      <c r="B33" s="70">
        <v>30</v>
      </c>
      <c r="C33" s="70">
        <v>0.1</v>
      </c>
      <c r="D33" s="44"/>
      <c r="E33" s="62"/>
    </row>
    <row r="34" spans="1:5" ht="15.75">
      <c r="A34" s="82" t="s">
        <v>185</v>
      </c>
      <c r="B34" s="74">
        <v>3</v>
      </c>
      <c r="C34" s="74">
        <f>ROUNDUP(100000/6/5280,1)</f>
        <v>3.2</v>
      </c>
      <c r="D34" s="41"/>
      <c r="E34" s="67"/>
    </row>
    <row r="35" ht="12.75">
      <c r="A35" s="47"/>
    </row>
    <row r="36" spans="1:5" ht="12.75">
      <c r="A36" s="56" t="s">
        <v>21</v>
      </c>
      <c r="B36" s="31"/>
      <c r="C36" s="31"/>
      <c r="D36" s="31"/>
      <c r="E36" s="59"/>
    </row>
    <row r="37" spans="1:5" ht="12.75">
      <c r="A37" s="76"/>
      <c r="B37" s="32"/>
      <c r="C37" s="32"/>
      <c r="D37" s="32"/>
      <c r="E37" s="62"/>
    </row>
    <row r="38" spans="1:5" ht="12.75">
      <c r="A38" s="76" t="s">
        <v>104</v>
      </c>
      <c r="B38" s="32"/>
      <c r="C38" s="32"/>
      <c r="D38" s="32"/>
      <c r="E38" s="62"/>
    </row>
    <row r="39" spans="1:7" ht="12.75">
      <c r="A39" s="60"/>
      <c r="B39" s="77"/>
      <c r="C39" s="77"/>
      <c r="D39" s="77"/>
      <c r="E39" s="80"/>
      <c r="F39" s="2"/>
      <c r="G39" s="2"/>
    </row>
    <row r="40" spans="1:5" ht="12.75">
      <c r="A40" s="76"/>
      <c r="B40" s="77" t="s">
        <v>4</v>
      </c>
      <c r="C40" s="77" t="s">
        <v>5</v>
      </c>
      <c r="D40" s="77" t="s">
        <v>6</v>
      </c>
      <c r="E40" s="80"/>
    </row>
    <row r="41" spans="1:5" ht="12.75">
      <c r="A41" s="76" t="s">
        <v>3</v>
      </c>
      <c r="B41" s="44" t="s">
        <v>34</v>
      </c>
      <c r="C41" s="44" t="s">
        <v>34</v>
      </c>
      <c r="D41" s="44" t="s">
        <v>34</v>
      </c>
      <c r="E41" s="89"/>
    </row>
    <row r="42" spans="1:5" ht="12.75">
      <c r="A42" s="60" t="str">
        <f>A7</f>
        <v>Forklifts</v>
      </c>
      <c r="B42" s="93">
        <f aca="true" t="shared" si="0" ref="B42:D44">ROUND(+B17*$C7*$B7,2)</f>
        <v>1.42</v>
      </c>
      <c r="C42" s="93">
        <f t="shared" si="0"/>
        <v>3.34</v>
      </c>
      <c r="D42" s="93">
        <f t="shared" si="0"/>
        <v>0.18</v>
      </c>
      <c r="E42" s="62"/>
    </row>
    <row r="43" spans="1:5" ht="12.75">
      <c r="A43" s="60" t="str">
        <f>A8</f>
        <v>Cranes</v>
      </c>
      <c r="B43" s="93">
        <f t="shared" si="0"/>
        <v>3.42</v>
      </c>
      <c r="C43" s="93">
        <f t="shared" si="0"/>
        <v>9.18</v>
      </c>
      <c r="D43" s="93">
        <f t="shared" si="0"/>
        <v>0.41</v>
      </c>
      <c r="E43" s="62"/>
    </row>
    <row r="44" spans="1:5" ht="12.75">
      <c r="A44" s="60" t="str">
        <f>A9</f>
        <v>Tractors/Loaders/Backhoes</v>
      </c>
      <c r="B44" s="93">
        <f t="shared" si="0"/>
        <v>2.4</v>
      </c>
      <c r="C44" s="93">
        <f t="shared" si="0"/>
        <v>4.34</v>
      </c>
      <c r="D44" s="93">
        <f t="shared" si="0"/>
        <v>0.34</v>
      </c>
      <c r="E44" s="130"/>
    </row>
    <row r="45" spans="1:5" ht="12.75">
      <c r="A45" s="60" t="str">
        <f>A10</f>
        <v>Generator Sets</v>
      </c>
      <c r="B45" s="93">
        <f>ROUND(IF(ISERROR(B20),"",+B20*$C10*$B10),2)</f>
        <v>2.7</v>
      </c>
      <c r="C45" s="93">
        <f>ROUND(IF(ISERROR(C20),"",+C20*$C10*$B10),2)</f>
        <v>5.37</v>
      </c>
      <c r="D45" s="93">
        <f>ROUND(IF(ISERROR(D20),"",+D20*$C10*$B10),2)</f>
        <v>0.33</v>
      </c>
      <c r="E45" s="130"/>
    </row>
    <row r="46" spans="1:5" ht="12.75">
      <c r="A46" s="60" t="str">
        <f>A11</f>
        <v>Electric Welders</v>
      </c>
      <c r="B46" s="81" t="s">
        <v>10</v>
      </c>
      <c r="C46" s="81" t="s">
        <v>10</v>
      </c>
      <c r="D46" s="81" t="s">
        <v>10</v>
      </c>
      <c r="E46" s="130"/>
    </row>
    <row r="47" spans="1:5" ht="12.75">
      <c r="A47" s="63" t="s">
        <v>0</v>
      </c>
      <c r="B47" s="103">
        <f>SUM(B42:B46)</f>
        <v>9.940000000000001</v>
      </c>
      <c r="C47" s="103">
        <f>SUM(C42:C46)</f>
        <v>22.23</v>
      </c>
      <c r="D47" s="103">
        <f>SUM(D42:D46)</f>
        <v>1.26</v>
      </c>
      <c r="E47" s="106"/>
    </row>
    <row r="49" spans="1:5" ht="12.75">
      <c r="A49" s="56" t="s">
        <v>120</v>
      </c>
      <c r="B49" s="31"/>
      <c r="C49" s="31"/>
      <c r="D49" s="31"/>
      <c r="E49" s="59"/>
    </row>
    <row r="50" spans="1:5" ht="12.75">
      <c r="A50" s="76"/>
      <c r="B50" s="32"/>
      <c r="C50" s="32"/>
      <c r="D50" s="32"/>
      <c r="E50" s="62"/>
    </row>
    <row r="51" spans="1:5" ht="12.75">
      <c r="A51" s="76" t="s">
        <v>121</v>
      </c>
      <c r="B51" s="77"/>
      <c r="C51" s="77"/>
      <c r="D51" s="77"/>
      <c r="E51" s="80"/>
    </row>
    <row r="52" spans="1:5" ht="12.75">
      <c r="A52" s="76"/>
      <c r="B52" s="77"/>
      <c r="C52" s="77"/>
      <c r="D52" s="77"/>
      <c r="E52" s="80"/>
    </row>
    <row r="53" spans="1:5" ht="12.75">
      <c r="A53" s="76"/>
      <c r="B53" s="77" t="s">
        <v>4</v>
      </c>
      <c r="C53" s="77" t="s">
        <v>5</v>
      </c>
      <c r="D53" s="77" t="s">
        <v>6</v>
      </c>
      <c r="E53" s="80"/>
    </row>
    <row r="54" spans="1:5" ht="12.75">
      <c r="A54" s="76" t="s">
        <v>8</v>
      </c>
      <c r="B54" s="44" t="s">
        <v>34</v>
      </c>
      <c r="C54" s="44" t="s">
        <v>34</v>
      </c>
      <c r="D54" s="44" t="s">
        <v>34</v>
      </c>
      <c r="E54" s="89"/>
    </row>
    <row r="55" spans="1:5" ht="12.75">
      <c r="A55" s="60" t="s">
        <v>117</v>
      </c>
      <c r="B55" s="93">
        <f>ROUND(+B27*$C33*$B33*2,2)</f>
        <v>0.08</v>
      </c>
      <c r="C55" s="93">
        <f>ROUND(+C27*$C33*$B33*2,2)</f>
        <v>0.25</v>
      </c>
      <c r="D55" s="81">
        <f>ROUND(+D27*$C33*$B33*2,3)</f>
        <v>0.012</v>
      </c>
      <c r="E55" s="104"/>
    </row>
    <row r="56" spans="1:5" ht="12.75">
      <c r="A56" s="60" t="s">
        <v>119</v>
      </c>
      <c r="B56" s="44">
        <f>ROUND(ROUND(+B27*$C34*$B34*2,2),2)</f>
        <v>0.25</v>
      </c>
      <c r="C56" s="44">
        <f>ROUND(ROUND(+C27*$C34*$B34*2,2),2)</f>
        <v>0.8</v>
      </c>
      <c r="D56" s="44">
        <f>ROUND(ROUND(+D27*$C34*$B34*2,3),3)</f>
        <v>0.038</v>
      </c>
      <c r="E56" s="104"/>
    </row>
    <row r="57" spans="1:5" ht="12.75">
      <c r="A57" s="63" t="s">
        <v>0</v>
      </c>
      <c r="B57" s="103">
        <f>SUM(B55:B56)</f>
        <v>0.33</v>
      </c>
      <c r="C57" s="103">
        <f>SUM(C55:C56)</f>
        <v>1.05</v>
      </c>
      <c r="D57" s="103">
        <f>SUM(D55:D56)</f>
        <v>0.05</v>
      </c>
      <c r="E57" s="106"/>
    </row>
    <row r="58" spans="1:5" ht="12.75">
      <c r="A58" s="6"/>
      <c r="B58" s="11"/>
      <c r="C58" s="11"/>
      <c r="D58" s="11"/>
      <c r="E58" s="10"/>
    </row>
    <row r="59" spans="1:5" ht="12.75">
      <c r="A59" s="56" t="s">
        <v>11</v>
      </c>
      <c r="B59" s="57"/>
      <c r="C59" s="57"/>
      <c r="D59" s="57"/>
      <c r="E59" s="107"/>
    </row>
    <row r="60" spans="1:5" ht="12.75">
      <c r="A60" s="76"/>
      <c r="B60" s="77"/>
      <c r="C60" s="77"/>
      <c r="D60" s="77"/>
      <c r="E60" s="80"/>
    </row>
    <row r="61" spans="1:5" ht="12.75">
      <c r="A61" s="76"/>
      <c r="B61" s="77" t="s">
        <v>4</v>
      </c>
      <c r="C61" s="77" t="s">
        <v>5</v>
      </c>
      <c r="D61" s="77" t="s">
        <v>6</v>
      </c>
      <c r="E61" s="80"/>
    </row>
    <row r="62" spans="1:5" ht="12.75">
      <c r="A62" s="76" t="s">
        <v>12</v>
      </c>
      <c r="B62" s="44" t="s">
        <v>34</v>
      </c>
      <c r="C62" s="44" t="s">
        <v>34</v>
      </c>
      <c r="D62" s="44" t="s">
        <v>34</v>
      </c>
      <c r="E62" s="89"/>
    </row>
    <row r="63" spans="1:5" ht="12.75">
      <c r="A63" s="60" t="s">
        <v>43</v>
      </c>
      <c r="B63" s="99">
        <f>+B47+B57</f>
        <v>10.270000000000001</v>
      </c>
      <c r="C63" s="99">
        <f>+C47+C57</f>
        <v>23.28</v>
      </c>
      <c r="D63" s="99">
        <f>+D47+D57</f>
        <v>1.31</v>
      </c>
      <c r="E63" s="62"/>
    </row>
    <row r="64" spans="1:5" ht="16.5">
      <c r="A64" s="76" t="s">
        <v>186</v>
      </c>
      <c r="B64" s="108">
        <v>226</v>
      </c>
      <c r="C64" s="108">
        <v>147</v>
      </c>
      <c r="D64" s="108">
        <v>6</v>
      </c>
      <c r="E64" s="109"/>
    </row>
    <row r="65" spans="1:5" ht="12.75">
      <c r="A65" s="63" t="s">
        <v>13</v>
      </c>
      <c r="B65" s="110" t="str">
        <f>IF(B63&gt;=B64,"YES","NO")</f>
        <v>NO</v>
      </c>
      <c r="C65" s="110" t="str">
        <f>IF(C63&gt;=C64,"YES","NO")</f>
        <v>NO</v>
      </c>
      <c r="D65" s="110" t="str">
        <f>IF(D63&gt;=D64,"YES","NO")</f>
        <v>NO</v>
      </c>
      <c r="E65" s="67"/>
    </row>
    <row r="66" spans="1:5" ht="12.75">
      <c r="A66" s="141"/>
      <c r="B66" s="77"/>
      <c r="C66" s="77"/>
      <c r="D66" s="77"/>
      <c r="E66" s="32"/>
    </row>
    <row r="67" spans="1:8" ht="15.75">
      <c r="A67" s="68" t="s">
        <v>222</v>
      </c>
      <c r="B67" s="57"/>
      <c r="C67" s="57" t="s">
        <v>231</v>
      </c>
      <c r="D67" s="57" t="s">
        <v>6</v>
      </c>
      <c r="E67" s="107" t="s">
        <v>223</v>
      </c>
      <c r="F67" s="77" t="s">
        <v>225</v>
      </c>
      <c r="G67" s="2"/>
      <c r="H67" s="2"/>
    </row>
    <row r="68" spans="1:6" ht="12.75">
      <c r="A68" s="79"/>
      <c r="B68" s="77"/>
      <c r="C68" s="77"/>
      <c r="D68" s="44" t="s">
        <v>34</v>
      </c>
      <c r="E68" s="89" t="s">
        <v>34</v>
      </c>
      <c r="F68" s="77" t="s">
        <v>226</v>
      </c>
    </row>
    <row r="69" spans="1:6" ht="12.75">
      <c r="A69" s="102" t="s">
        <v>265</v>
      </c>
      <c r="B69" s="44"/>
      <c r="C69" s="93">
        <f>'2 Acre Equip_Phase'!$M$3</f>
        <v>0.92</v>
      </c>
      <c r="D69" s="142">
        <f>D47</f>
        <v>1.26</v>
      </c>
      <c r="E69" s="143">
        <f>D69*C69</f>
        <v>1.1592</v>
      </c>
      <c r="F69" s="144">
        <f>E69/E72</f>
        <v>0.9600795096902435</v>
      </c>
    </row>
    <row r="70" spans="1:6" ht="12.75">
      <c r="A70" s="102" t="s">
        <v>266</v>
      </c>
      <c r="B70" s="44"/>
      <c r="C70" s="93">
        <f>'2 Acre Equip_Phase'!$N$3</f>
        <v>0.964</v>
      </c>
      <c r="D70" s="93">
        <f>D57</f>
        <v>0.05</v>
      </c>
      <c r="E70" s="94">
        <f>D70*C70</f>
        <v>0.0482</v>
      </c>
      <c r="F70" s="144">
        <f>E70/E72</f>
        <v>0.0399204903097565</v>
      </c>
    </row>
    <row r="71" spans="1:6" ht="12.75">
      <c r="A71" s="102" t="s">
        <v>224</v>
      </c>
      <c r="B71" s="44"/>
      <c r="C71" s="44">
        <f>'2 Acre Equip_Phase'!$O$3</f>
        <v>0.21</v>
      </c>
      <c r="D71" s="119">
        <v>0</v>
      </c>
      <c r="E71" s="145">
        <f>D71*C71</f>
        <v>0</v>
      </c>
      <c r="F71" s="144">
        <f>E71/E72</f>
        <v>0</v>
      </c>
    </row>
    <row r="72" spans="1:6" ht="12.75">
      <c r="A72" s="79" t="s">
        <v>0</v>
      </c>
      <c r="B72" s="77"/>
      <c r="C72" s="77"/>
      <c r="D72" s="99">
        <f>SUM(D69:D71)</f>
        <v>1.31</v>
      </c>
      <c r="E72" s="100">
        <f>SUM(E69:E71)</f>
        <v>1.2074</v>
      </c>
      <c r="F72" s="44"/>
    </row>
    <row r="73" spans="1:6" ht="15.75">
      <c r="A73" s="76" t="s">
        <v>186</v>
      </c>
      <c r="B73" s="77"/>
      <c r="C73" s="77"/>
      <c r="D73" s="77"/>
      <c r="E73" s="151">
        <v>4</v>
      </c>
      <c r="F73" s="32"/>
    </row>
    <row r="74" spans="1:6" ht="12.75">
      <c r="A74" s="146" t="s">
        <v>13</v>
      </c>
      <c r="B74" s="110"/>
      <c r="C74" s="110"/>
      <c r="D74" s="110"/>
      <c r="E74" s="92" t="str">
        <f>IF(E72&gt;=E73,"YES","NO")</f>
        <v>NO</v>
      </c>
      <c r="F74" s="32"/>
    </row>
    <row r="75" spans="1:5" ht="12.75">
      <c r="A75" s="111" t="s">
        <v>137</v>
      </c>
      <c r="B75" s="31"/>
      <c r="C75" s="31"/>
      <c r="D75" s="31"/>
      <c r="E75" s="59"/>
    </row>
    <row r="76" spans="1:5" ht="12.75">
      <c r="A76" s="113" t="s">
        <v>219</v>
      </c>
      <c r="B76" s="138"/>
      <c r="C76" s="138"/>
      <c r="D76" s="138"/>
      <c r="E76" s="130"/>
    </row>
    <row r="77" spans="1:5" ht="12.75">
      <c r="A77" s="113" t="s">
        <v>220</v>
      </c>
      <c r="B77" s="138"/>
      <c r="C77" s="138"/>
      <c r="D77" s="138"/>
      <c r="E77" s="130"/>
    </row>
    <row r="78" spans="1:5" ht="12.75">
      <c r="A78" s="112" t="s">
        <v>131</v>
      </c>
      <c r="B78" s="32"/>
      <c r="C78" s="32"/>
      <c r="D78" s="32"/>
      <c r="E78" s="62"/>
    </row>
    <row r="79" spans="1:5" ht="12.75">
      <c r="A79" s="112" t="s">
        <v>221</v>
      </c>
      <c r="B79" s="32"/>
      <c r="C79" s="32"/>
      <c r="D79" s="32"/>
      <c r="E79" s="62"/>
    </row>
    <row r="80" spans="1:5" ht="12.75">
      <c r="A80" s="112" t="s">
        <v>247</v>
      </c>
      <c r="B80" s="32"/>
      <c r="C80" s="32"/>
      <c r="D80" s="32"/>
      <c r="E80" s="62"/>
    </row>
    <row r="81" spans="1:5" ht="12.75">
      <c r="A81" s="112" t="s">
        <v>272</v>
      </c>
      <c r="B81" s="32"/>
      <c r="C81" s="32"/>
      <c r="D81" s="32"/>
      <c r="E81" s="62"/>
    </row>
    <row r="82" spans="1:5" ht="12.75">
      <c r="A82" s="112" t="s">
        <v>182</v>
      </c>
      <c r="B82" s="32"/>
      <c r="C82" s="32"/>
      <c r="D82" s="32"/>
      <c r="E82" s="62"/>
    </row>
    <row r="83" spans="1:5" ht="12.75">
      <c r="A83" s="112" t="s">
        <v>194</v>
      </c>
      <c r="B83" s="32"/>
      <c r="C83" s="32"/>
      <c r="D83" s="32"/>
      <c r="E83" s="62"/>
    </row>
    <row r="84" spans="1:5" ht="12.75">
      <c r="A84" s="84" t="s">
        <v>237</v>
      </c>
      <c r="B84" s="32"/>
      <c r="C84" s="32"/>
      <c r="D84" s="32"/>
      <c r="E84" s="62"/>
    </row>
    <row r="85" spans="1:5" ht="12.75">
      <c r="A85" s="114" t="s">
        <v>261</v>
      </c>
      <c r="B85" s="66"/>
      <c r="C85" s="66"/>
      <c r="D85" s="66"/>
      <c r="E85" s="67"/>
    </row>
  </sheetData>
  <printOptions/>
  <pageMargins left="0.75" right="0.75" top="1" bottom="0.76" header="0.5" footer="0.5"/>
  <pageSetup fitToHeight="0" fitToWidth="1" horizontalDpi="600" verticalDpi="600" orientation="landscape" r:id="rId1"/>
  <headerFooter alignWithMargins="0">
    <oddHeader>&amp;C&amp;"Times New Roman,Bold"Two Acre Site Example - Structure Construction</oddHeader>
    <oddFooter>&amp;C&amp;"Times New Roman,Regular"B-&amp;P</oddFooter>
  </headerFooter>
  <rowBreaks count="3" manualBreakCount="3">
    <brk id="35" max="4" man="1"/>
    <brk id="74" max="4" man="1"/>
    <brk id="85" max="4" man="1"/>
  </rowBreaks>
</worksheet>
</file>

<file path=xl/worksheets/sheet7.xml><?xml version="1.0" encoding="utf-8"?>
<worksheet xmlns="http://schemas.openxmlformats.org/spreadsheetml/2006/main" xmlns:r="http://schemas.openxmlformats.org/officeDocument/2006/relationships">
  <sheetPr codeName="Sheet8">
    <pageSetUpPr fitToPage="1"/>
  </sheetPr>
  <dimension ref="A1:H85"/>
  <sheetViews>
    <sheetView view="pageBreakPreview" zoomScale="75" zoomScaleSheetLayoutView="75" workbookViewId="0" topLeftCell="A1">
      <selection activeCell="A1" sqref="A1"/>
    </sheetView>
  </sheetViews>
  <sheetFormatPr defaultColWidth="9.140625" defaultRowHeight="12.75"/>
  <cols>
    <col min="1" max="1" width="31.140625" style="7" customWidth="1"/>
    <col min="2" max="2" width="25.28125" style="3" customWidth="1"/>
    <col min="3" max="3" width="22.421875" style="3" customWidth="1"/>
    <col min="4" max="4" width="21.140625" style="3" customWidth="1"/>
    <col min="5" max="5" width="23.421875" style="3" customWidth="1"/>
    <col min="6" max="6" width="14.00390625" style="4" bestFit="1" customWidth="1"/>
    <col min="7" max="7" width="18.28125" style="4" bestFit="1" customWidth="1"/>
    <col min="8" max="8" width="20.00390625" style="4" bestFit="1" customWidth="1"/>
    <col min="9" max="16384" width="9.140625" style="3" customWidth="1"/>
  </cols>
  <sheetData>
    <row r="1" spans="1:5" ht="12.75">
      <c r="A1" s="56" t="s">
        <v>54</v>
      </c>
      <c r="B1" s="57"/>
      <c r="C1" s="58" t="s">
        <v>1</v>
      </c>
      <c r="D1" s="31"/>
      <c r="E1" s="59"/>
    </row>
    <row r="2" spans="1:5" ht="12.75">
      <c r="A2" s="60" t="s">
        <v>55</v>
      </c>
      <c r="B2" s="44"/>
      <c r="C2" s="51" t="s">
        <v>70</v>
      </c>
      <c r="D2" s="32"/>
      <c r="E2" s="62"/>
    </row>
    <row r="3" spans="1:5" ht="12.75">
      <c r="A3" s="60"/>
      <c r="B3" s="44"/>
      <c r="C3" s="32"/>
      <c r="D3" s="32"/>
      <c r="E3" s="62"/>
    </row>
    <row r="4" spans="1:5" ht="15.75">
      <c r="A4" s="63" t="s">
        <v>125</v>
      </c>
      <c r="B4" s="64">
        <v>5</v>
      </c>
      <c r="C4" s="65" t="s">
        <v>139</v>
      </c>
      <c r="D4" s="66"/>
      <c r="E4" s="67"/>
    </row>
    <row r="5" ht="12.75">
      <c r="A5" s="6"/>
    </row>
    <row r="6" spans="1:5" ht="15.75">
      <c r="A6" s="68" t="s">
        <v>138</v>
      </c>
      <c r="B6" s="57" t="s">
        <v>17</v>
      </c>
      <c r="C6" s="57" t="s">
        <v>35</v>
      </c>
      <c r="D6" s="57" t="s">
        <v>18</v>
      </c>
      <c r="E6" s="59"/>
    </row>
    <row r="7" spans="1:5" ht="12.75">
      <c r="A7" s="69" t="s">
        <v>93</v>
      </c>
      <c r="B7" s="70">
        <v>1</v>
      </c>
      <c r="C7" s="71">
        <v>6</v>
      </c>
      <c r="D7" s="70">
        <v>8</v>
      </c>
      <c r="E7" s="62"/>
    </row>
    <row r="8" spans="1:5" ht="12.75">
      <c r="A8" s="69" t="s">
        <v>50</v>
      </c>
      <c r="B8" s="70">
        <v>1</v>
      </c>
      <c r="C8" s="71">
        <v>8</v>
      </c>
      <c r="D8" s="44"/>
      <c r="E8" s="62"/>
    </row>
    <row r="9" spans="1:5" ht="12.75">
      <c r="A9" s="69" t="s">
        <v>94</v>
      </c>
      <c r="B9" s="70">
        <v>1</v>
      </c>
      <c r="C9" s="71">
        <v>7</v>
      </c>
      <c r="D9" s="44"/>
      <c r="E9" s="62"/>
    </row>
    <row r="10" spans="1:5" ht="12.75">
      <c r="A10" s="69" t="s">
        <v>83</v>
      </c>
      <c r="B10" s="70">
        <v>1</v>
      </c>
      <c r="C10" s="71">
        <v>6</v>
      </c>
      <c r="D10" s="44"/>
      <c r="E10" s="62"/>
    </row>
    <row r="11" spans="1:5" ht="12.75">
      <c r="A11" s="73" t="s">
        <v>102</v>
      </c>
      <c r="B11" s="74">
        <v>2</v>
      </c>
      <c r="C11" s="75">
        <v>8</v>
      </c>
      <c r="D11" s="41"/>
      <c r="E11" s="67"/>
    </row>
    <row r="12" ht="12.75">
      <c r="E12" s="4"/>
    </row>
    <row r="13" spans="1:5" ht="12.75">
      <c r="A13" s="56" t="s">
        <v>2</v>
      </c>
      <c r="B13" s="31"/>
      <c r="C13" s="31"/>
      <c r="D13" s="31"/>
      <c r="E13" s="59"/>
    </row>
    <row r="14" spans="1:5" ht="12.75">
      <c r="A14" s="76"/>
      <c r="B14" s="32"/>
      <c r="C14" s="32"/>
      <c r="D14" s="32"/>
      <c r="E14" s="62"/>
    </row>
    <row r="15" spans="1:5" ht="12.75">
      <c r="A15" s="60"/>
      <c r="B15" s="77" t="s">
        <v>81</v>
      </c>
      <c r="C15" s="77" t="s">
        <v>59</v>
      </c>
      <c r="D15" s="77" t="s">
        <v>60</v>
      </c>
      <c r="E15" s="78"/>
    </row>
    <row r="16" spans="1:5" ht="15.75">
      <c r="A16" s="79" t="s">
        <v>142</v>
      </c>
      <c r="B16" s="44" t="s">
        <v>23</v>
      </c>
      <c r="C16" s="44" t="s">
        <v>23</v>
      </c>
      <c r="D16" s="44" t="s">
        <v>23</v>
      </c>
      <c r="E16" s="80"/>
    </row>
    <row r="17" spans="1:5" ht="12.75">
      <c r="A17" s="60" t="str">
        <f>A7</f>
        <v>Pavers</v>
      </c>
      <c r="B17" s="81">
        <f>GETPIVOTDATA("Ems Factor #/hr",'Off-Road Model EF'!$A$4,"Eq Name",$A17,"Hp","Composite","Pollutant",B$15)</f>
        <v>0.5755641026399174</v>
      </c>
      <c r="C17" s="81">
        <f>GETPIVOTDATA("Ems Factor #/hr",'Off-Road Model EF'!$A$4,"Eq Name",$A17,"Hp","Composite","Pollutant",C$15)</f>
        <v>1.0321205820465214</v>
      </c>
      <c r="D17" s="81">
        <f>GETPIVOTDATA("Ems Factor #/hr",'Off-Road Model EF'!$A$4,"Eq Name",$A17,"Hp","Composite","Pollutant",D$15)</f>
        <v>0.07387893127082205</v>
      </c>
      <c r="E17" s="80"/>
    </row>
    <row r="18" spans="1:5" ht="12.75">
      <c r="A18" s="60" t="str">
        <f>A8</f>
        <v>Paving Equipment</v>
      </c>
      <c r="B18" s="81">
        <f>GETPIVOTDATA("Ems Factor #/hr",'Off-Road Model EF'!$A$4,"Eq Name",$A18,"Hp","Composite","Pollutant",B$15)</f>
        <v>0.45436592139752435</v>
      </c>
      <c r="C18" s="81">
        <f>GETPIVOTDATA("Ems Factor #/hr",'Off-Road Model EF'!$A$4,"Eq Name",$A18,"Hp","Composite","Pollutant",C$15)</f>
        <v>0.9399923634241233</v>
      </c>
      <c r="D18" s="81">
        <f>GETPIVOTDATA("Ems Factor #/hr",'Off-Road Model EF'!$A$4,"Eq Name",$A18,"Hp","Composite","Pollutant",D$15)</f>
        <v>0.0655073996188419</v>
      </c>
      <c r="E18" s="80"/>
    </row>
    <row r="19" spans="1:5" ht="12.75">
      <c r="A19" s="60" t="str">
        <f>A9</f>
        <v>Rollers</v>
      </c>
      <c r="B19" s="81">
        <f>GETPIVOTDATA("Ems Factor #/hr",'Off-Road Model EF'!$A$4,"Eq Name",$A19,"Hp","Composite","Pollutant",B$15)</f>
        <v>0.4272466877288569</v>
      </c>
      <c r="C19" s="81">
        <f>GETPIVOTDATA("Ems Factor #/hr",'Off-Road Model EF'!$A$4,"Eq Name",$A19,"Hp","Composite","Pollutant",C$15)</f>
        <v>0.8165669311222555</v>
      </c>
      <c r="D19" s="81">
        <f>GETPIVOTDATA("Ems Factor #/hr",'Off-Road Model EF'!$A$4,"Eq Name",$A19,"Hp","Composite","Pollutant",D$15)</f>
        <v>0.05737578421138951</v>
      </c>
      <c r="E19" s="80"/>
    </row>
    <row r="20" spans="1:5" ht="12.75">
      <c r="A20" s="60" t="str">
        <f>A10</f>
        <v>Cement and Mortar Mixers</v>
      </c>
      <c r="B20" s="81">
        <f>GETPIVOTDATA("Ems Factor #/hr",'Off-Road Model EF'!$A$4,"Eq Name",$A20,"Hp","Composite","Pollutant",B$15)</f>
        <v>0.044042579983889094</v>
      </c>
      <c r="C20" s="81">
        <f>GETPIVOTDATA("Ems Factor #/hr",'Off-Road Model EF'!$A$4,"Eq Name",$A20,"Hp","Composite","Pollutant",C$15)</f>
        <v>0.06263543449143572</v>
      </c>
      <c r="D20" s="81">
        <f>GETPIVOTDATA("Ems Factor #/hr",'Off-Road Model EF'!$A$4,"Eq Name",$A20,"Hp","Composite","Pollutant",D$15)</f>
        <v>0.00397213110520489</v>
      </c>
      <c r="E20" s="80"/>
    </row>
    <row r="21" spans="1:5" ht="12.75">
      <c r="A21" s="82" t="str">
        <f>A11</f>
        <v>Tractors/Loaders/Backhoes</v>
      </c>
      <c r="B21" s="83">
        <f>GETPIVOTDATA("Ems Factor #/hr",'Off-Road Model EF'!$A$4,"Eq Name",$A21,"Hp","Composite","Pollutant",B$15)</f>
        <v>0.3992890798156023</v>
      </c>
      <c r="C21" s="83">
        <f>GETPIVOTDATA("Ems Factor #/hr",'Off-Road Model EF'!$A$4,"Eq Name",$A21,"Hp","Composite","Pollutant",C$15)</f>
        <v>0.7226551053541611</v>
      </c>
      <c r="D21" s="83">
        <f>GETPIVOTDATA("Ems Factor #/hr",'Off-Road Model EF'!$A$4,"Eq Name",$A21,"Hp","Composite","Pollutant",D$15)</f>
        <v>0.0559015563987075</v>
      </c>
      <c r="E21" s="92"/>
    </row>
    <row r="22" ht="12.75">
      <c r="A22" s="47"/>
    </row>
    <row r="23" spans="1:5" ht="12.75">
      <c r="A23" s="56" t="s">
        <v>15</v>
      </c>
      <c r="B23" s="31"/>
      <c r="C23" s="31"/>
      <c r="D23" s="31"/>
      <c r="E23" s="59"/>
    </row>
    <row r="24" spans="1:7" ht="12.75">
      <c r="A24" s="60"/>
      <c r="B24" s="32"/>
      <c r="C24" s="32"/>
      <c r="D24" s="32"/>
      <c r="E24" s="78"/>
      <c r="F24" s="2"/>
      <c r="G24" s="2"/>
    </row>
    <row r="25" spans="1:5" ht="12.75">
      <c r="A25" s="76"/>
      <c r="B25" s="77" t="s">
        <v>4</v>
      </c>
      <c r="C25" s="77" t="s">
        <v>5</v>
      </c>
      <c r="D25" s="77" t="s">
        <v>6</v>
      </c>
      <c r="E25" s="62"/>
    </row>
    <row r="26" spans="1:5" ht="12.75">
      <c r="A26" s="60"/>
      <c r="B26" s="44" t="s">
        <v>14</v>
      </c>
      <c r="C26" s="44" t="s">
        <v>14</v>
      </c>
      <c r="D26" s="44" t="s">
        <v>14</v>
      </c>
      <c r="E26" s="89"/>
    </row>
    <row r="27" spans="1:5" ht="15.75">
      <c r="A27" s="82" t="s">
        <v>183</v>
      </c>
      <c r="B27" s="91">
        <v>0.0128223649010166</v>
      </c>
      <c r="C27" s="91">
        <v>0.04184590690208667</v>
      </c>
      <c r="D27" s="91">
        <v>0.0019957196361690744</v>
      </c>
      <c r="E27" s="92" t="s">
        <v>7</v>
      </c>
    </row>
    <row r="28" ht="12.75">
      <c r="A28" s="47"/>
    </row>
    <row r="29" spans="1:5" ht="12.75">
      <c r="A29" s="56" t="s">
        <v>16</v>
      </c>
      <c r="B29" s="31"/>
      <c r="C29" s="31"/>
      <c r="D29" s="31"/>
      <c r="E29" s="59"/>
    </row>
    <row r="30" spans="1:5" ht="12.75">
      <c r="A30" s="76"/>
      <c r="B30" s="32"/>
      <c r="C30" s="32"/>
      <c r="D30" s="32"/>
      <c r="E30" s="62"/>
    </row>
    <row r="31" spans="1:5" ht="12.75">
      <c r="A31" s="76" t="s">
        <v>8</v>
      </c>
      <c r="B31" s="77" t="s">
        <v>48</v>
      </c>
      <c r="C31" s="77" t="s">
        <v>260</v>
      </c>
      <c r="D31" s="77"/>
      <c r="E31" s="80"/>
    </row>
    <row r="32" spans="1:5" ht="12.75">
      <c r="A32" s="76"/>
      <c r="B32" s="77" t="s">
        <v>49</v>
      </c>
      <c r="C32" s="77" t="s">
        <v>47</v>
      </c>
      <c r="D32" s="77"/>
      <c r="E32" s="80"/>
    </row>
    <row r="33" spans="1:5" ht="15.75">
      <c r="A33" s="60" t="s">
        <v>195</v>
      </c>
      <c r="B33" s="70">
        <v>3</v>
      </c>
      <c r="C33" s="70">
        <v>0.1</v>
      </c>
      <c r="D33" s="44"/>
      <c r="E33" s="62"/>
    </row>
    <row r="34" spans="1:5" ht="15.75">
      <c r="A34" s="82" t="s">
        <v>185</v>
      </c>
      <c r="B34" s="74">
        <v>3</v>
      </c>
      <c r="C34" s="74">
        <f>ROUNDUP(100000/6/5280,1)</f>
        <v>3.2</v>
      </c>
      <c r="D34" s="41"/>
      <c r="E34" s="67"/>
    </row>
    <row r="35" ht="12.75">
      <c r="A35" s="47"/>
    </row>
    <row r="36" spans="1:5" ht="12.75">
      <c r="A36" s="56" t="s">
        <v>21</v>
      </c>
      <c r="B36" s="31"/>
      <c r="C36" s="31"/>
      <c r="D36" s="31"/>
      <c r="E36" s="59"/>
    </row>
    <row r="37" spans="1:5" ht="12.75">
      <c r="A37" s="76"/>
      <c r="B37" s="32"/>
      <c r="C37" s="32"/>
      <c r="D37" s="32"/>
      <c r="E37" s="62"/>
    </row>
    <row r="38" spans="1:5" ht="12.75">
      <c r="A38" s="76" t="s">
        <v>104</v>
      </c>
      <c r="B38" s="32"/>
      <c r="C38" s="32"/>
      <c r="D38" s="32"/>
      <c r="E38" s="62"/>
    </row>
    <row r="39" spans="1:7" ht="12.75">
      <c r="A39" s="60"/>
      <c r="B39" s="77"/>
      <c r="C39" s="77"/>
      <c r="D39" s="77"/>
      <c r="E39" s="80"/>
      <c r="F39" s="2"/>
      <c r="G39" s="2"/>
    </row>
    <row r="40" spans="1:5" ht="12.75">
      <c r="A40" s="76"/>
      <c r="B40" s="77" t="s">
        <v>81</v>
      </c>
      <c r="C40" s="77" t="s">
        <v>59</v>
      </c>
      <c r="D40" s="77" t="s">
        <v>60</v>
      </c>
      <c r="E40" s="80"/>
    </row>
    <row r="41" spans="1:5" ht="12.75">
      <c r="A41" s="76" t="s">
        <v>3</v>
      </c>
      <c r="B41" s="44" t="s">
        <v>34</v>
      </c>
      <c r="C41" s="44" t="s">
        <v>34</v>
      </c>
      <c r="D41" s="44" t="s">
        <v>34</v>
      </c>
      <c r="E41" s="89"/>
    </row>
    <row r="42" spans="1:5" ht="12.75">
      <c r="A42" s="60" t="str">
        <f>A7</f>
        <v>Pavers</v>
      </c>
      <c r="B42" s="93">
        <f aca="true" t="shared" si="0" ref="B42:D46">ROUND(+B17*$C7*$B7,2)</f>
        <v>3.45</v>
      </c>
      <c r="C42" s="93">
        <f t="shared" si="0"/>
        <v>6.19</v>
      </c>
      <c r="D42" s="93">
        <f t="shared" si="0"/>
        <v>0.44</v>
      </c>
      <c r="E42" s="62"/>
    </row>
    <row r="43" spans="1:5" ht="12.75">
      <c r="A43" s="60" t="str">
        <f>A8</f>
        <v>Paving Equipment</v>
      </c>
      <c r="B43" s="93">
        <f t="shared" si="0"/>
        <v>3.63</v>
      </c>
      <c r="C43" s="93">
        <f t="shared" si="0"/>
        <v>7.52</v>
      </c>
      <c r="D43" s="93">
        <f t="shared" si="0"/>
        <v>0.52</v>
      </c>
      <c r="E43" s="62"/>
    </row>
    <row r="44" spans="1:5" ht="12.75">
      <c r="A44" s="60" t="str">
        <f>A9</f>
        <v>Rollers</v>
      </c>
      <c r="B44" s="93">
        <f t="shared" si="0"/>
        <v>2.99</v>
      </c>
      <c r="C44" s="93">
        <f t="shared" si="0"/>
        <v>5.72</v>
      </c>
      <c r="D44" s="93">
        <f t="shared" si="0"/>
        <v>0.4</v>
      </c>
      <c r="E44" s="62"/>
    </row>
    <row r="45" spans="1:5" ht="12.75">
      <c r="A45" s="60" t="str">
        <f>A10</f>
        <v>Cement and Mortar Mixers</v>
      </c>
      <c r="B45" s="93">
        <f t="shared" si="0"/>
        <v>0.26</v>
      </c>
      <c r="C45" s="93">
        <f t="shared" si="0"/>
        <v>0.38</v>
      </c>
      <c r="D45" s="93">
        <f t="shared" si="0"/>
        <v>0.02</v>
      </c>
      <c r="E45" s="62"/>
    </row>
    <row r="46" spans="1:5" ht="12.75">
      <c r="A46" s="60" t="str">
        <f>A11</f>
        <v>Tractors/Loaders/Backhoes</v>
      </c>
      <c r="B46" s="93">
        <f t="shared" si="0"/>
        <v>6.39</v>
      </c>
      <c r="C46" s="93">
        <f t="shared" si="0"/>
        <v>11.56</v>
      </c>
      <c r="D46" s="93">
        <f t="shared" si="0"/>
        <v>0.89</v>
      </c>
      <c r="E46" s="62"/>
    </row>
    <row r="47" spans="1:5" ht="12.75">
      <c r="A47" s="63" t="s">
        <v>0</v>
      </c>
      <c r="B47" s="103">
        <f>SUM(B42:B46)</f>
        <v>16.72</v>
      </c>
      <c r="C47" s="103">
        <f>SUM(C42:C46)</f>
        <v>31.369999999999997</v>
      </c>
      <c r="D47" s="103">
        <f>SUM(D42:D46)</f>
        <v>2.27</v>
      </c>
      <c r="E47" s="106"/>
    </row>
    <row r="49" spans="1:5" ht="12.75">
      <c r="A49" s="56" t="s">
        <v>120</v>
      </c>
      <c r="B49" s="31"/>
      <c r="C49" s="31"/>
      <c r="D49" s="31"/>
      <c r="E49" s="59"/>
    </row>
    <row r="50" spans="1:5" ht="12.75">
      <c r="A50" s="76"/>
      <c r="B50" s="32"/>
      <c r="C50" s="32"/>
      <c r="D50" s="32"/>
      <c r="E50" s="62"/>
    </row>
    <row r="51" spans="1:6" ht="12.75">
      <c r="A51" s="76" t="s">
        <v>121</v>
      </c>
      <c r="B51" s="77"/>
      <c r="C51" s="77"/>
      <c r="D51" s="77"/>
      <c r="E51" s="80"/>
      <c r="F51" s="2"/>
    </row>
    <row r="52" spans="1:5" ht="12.75">
      <c r="A52" s="76"/>
      <c r="B52" s="77"/>
      <c r="C52" s="77"/>
      <c r="D52" s="77"/>
      <c r="E52" s="80"/>
    </row>
    <row r="53" spans="1:5" ht="12.75">
      <c r="A53" s="76"/>
      <c r="B53" s="77" t="s">
        <v>4</v>
      </c>
      <c r="C53" s="77" t="s">
        <v>5</v>
      </c>
      <c r="D53" s="77" t="s">
        <v>6</v>
      </c>
      <c r="E53" s="80"/>
    </row>
    <row r="54" spans="1:5" ht="12.75">
      <c r="A54" s="76" t="s">
        <v>8</v>
      </c>
      <c r="B54" s="44" t="s">
        <v>34</v>
      </c>
      <c r="C54" s="44" t="s">
        <v>34</v>
      </c>
      <c r="D54" s="44" t="s">
        <v>34</v>
      </c>
      <c r="E54" s="89"/>
    </row>
    <row r="55" spans="1:5" ht="12.75">
      <c r="A55" s="60" t="s">
        <v>118</v>
      </c>
      <c r="B55" s="93">
        <f>ROUND(+B27*$C33*$B33*2,2)</f>
        <v>0.01</v>
      </c>
      <c r="C55" s="93">
        <f>ROUND(+C27*$C33*$B33*2,2)</f>
        <v>0.03</v>
      </c>
      <c r="D55" s="131">
        <f>ROUND(+D27*$C33*$B33*2,4)</f>
        <v>0.0012</v>
      </c>
      <c r="E55" s="104"/>
    </row>
    <row r="56" spans="1:5" ht="12.75">
      <c r="A56" s="60" t="s">
        <v>119</v>
      </c>
      <c r="B56" s="93">
        <f>ROUND(+B27*$C34*$B34*2,2)</f>
        <v>0.25</v>
      </c>
      <c r="C56" s="93">
        <f>ROUND(+C27*$C34*$B34*2,2)</f>
        <v>0.8</v>
      </c>
      <c r="D56" s="93">
        <f>ROUND(+D27*$C34*$B34*2,2)</f>
        <v>0.04</v>
      </c>
      <c r="E56" s="104"/>
    </row>
    <row r="57" spans="1:5" ht="12.75">
      <c r="A57" s="63" t="s">
        <v>0</v>
      </c>
      <c r="B57" s="103">
        <f>SUM(B55:B56)</f>
        <v>0.26</v>
      </c>
      <c r="C57" s="103">
        <f>SUM(C55:C56)</f>
        <v>0.8300000000000001</v>
      </c>
      <c r="D57" s="103">
        <f>SUM(D55:D56)</f>
        <v>0.0412</v>
      </c>
      <c r="E57" s="106"/>
    </row>
    <row r="58" ht="12.75">
      <c r="A58" s="6"/>
    </row>
    <row r="59" spans="1:5" ht="12.75">
      <c r="A59" s="56" t="s">
        <v>11</v>
      </c>
      <c r="B59" s="57"/>
      <c r="C59" s="57"/>
      <c r="D59" s="57"/>
      <c r="E59" s="107"/>
    </row>
    <row r="60" spans="1:5" ht="12.75">
      <c r="A60" s="76"/>
      <c r="B60" s="77"/>
      <c r="C60" s="77"/>
      <c r="D60" s="77"/>
      <c r="E60" s="80"/>
    </row>
    <row r="61" spans="1:5" ht="12.75">
      <c r="A61" s="76"/>
      <c r="B61" s="77" t="s">
        <v>4</v>
      </c>
      <c r="C61" s="77" t="s">
        <v>5</v>
      </c>
      <c r="D61" s="77" t="s">
        <v>6</v>
      </c>
      <c r="E61" s="80"/>
    </row>
    <row r="62" spans="1:5" ht="12.75">
      <c r="A62" s="76" t="s">
        <v>12</v>
      </c>
      <c r="B62" s="44" t="s">
        <v>34</v>
      </c>
      <c r="C62" s="44" t="s">
        <v>34</v>
      </c>
      <c r="D62" s="44" t="s">
        <v>34</v>
      </c>
      <c r="E62" s="89"/>
    </row>
    <row r="63" spans="1:5" ht="12.75">
      <c r="A63" s="60" t="s">
        <v>43</v>
      </c>
      <c r="B63" s="99">
        <f>+B47+B57</f>
        <v>16.98</v>
      </c>
      <c r="C63" s="99">
        <f>+C47+C57</f>
        <v>32.199999999999996</v>
      </c>
      <c r="D63" s="99">
        <f>+D47+D57</f>
        <v>2.3112</v>
      </c>
      <c r="E63" s="62"/>
    </row>
    <row r="64" spans="1:5" ht="16.5">
      <c r="A64" s="76" t="s">
        <v>186</v>
      </c>
      <c r="B64" s="108">
        <v>226</v>
      </c>
      <c r="C64" s="108">
        <v>147</v>
      </c>
      <c r="D64" s="108">
        <v>6</v>
      </c>
      <c r="E64" s="109"/>
    </row>
    <row r="65" spans="1:5" ht="12.75">
      <c r="A65" s="63" t="s">
        <v>13</v>
      </c>
      <c r="B65" s="110" t="str">
        <f>IF(B63&gt;=B64,"YES","NO")</f>
        <v>NO</v>
      </c>
      <c r="C65" s="110" t="str">
        <f>IF(C63&gt;=C64,"YES","NO")</f>
        <v>NO</v>
      </c>
      <c r="D65" s="110" t="str">
        <f>IF(D63&gt;=D64,"YES","NO")</f>
        <v>NO</v>
      </c>
      <c r="E65" s="67"/>
    </row>
    <row r="66" spans="1:5" ht="12.75">
      <c r="A66" s="141"/>
      <c r="B66" s="77"/>
      <c r="C66" s="77"/>
      <c r="D66" s="77"/>
      <c r="E66" s="32"/>
    </row>
    <row r="67" spans="1:8" ht="15.75">
      <c r="A67" s="68" t="s">
        <v>222</v>
      </c>
      <c r="B67" s="57"/>
      <c r="C67" s="57" t="s">
        <v>231</v>
      </c>
      <c r="D67" s="57" t="s">
        <v>6</v>
      </c>
      <c r="E67" s="107" t="s">
        <v>223</v>
      </c>
      <c r="F67" s="77" t="s">
        <v>225</v>
      </c>
      <c r="G67" s="2"/>
      <c r="H67" s="2"/>
    </row>
    <row r="68" spans="1:6" ht="12.75">
      <c r="A68" s="79"/>
      <c r="B68" s="77"/>
      <c r="C68" s="77"/>
      <c r="D68" s="44" t="s">
        <v>34</v>
      </c>
      <c r="E68" s="89" t="s">
        <v>34</v>
      </c>
      <c r="F68" s="77" t="s">
        <v>226</v>
      </c>
    </row>
    <row r="69" spans="1:6" ht="12.75">
      <c r="A69" s="102" t="s">
        <v>265</v>
      </c>
      <c r="B69" s="44"/>
      <c r="C69" s="93">
        <f>'2 Acre Equip_Phase'!$M$3</f>
        <v>0.92</v>
      </c>
      <c r="D69" s="142">
        <f>D47</f>
        <v>2.27</v>
      </c>
      <c r="E69" s="143">
        <f>D69*C69</f>
        <v>2.0884</v>
      </c>
      <c r="F69" s="144">
        <f>E69/E72</f>
        <v>0.9813371145794254</v>
      </c>
    </row>
    <row r="70" spans="1:6" ht="12.75">
      <c r="A70" s="102" t="s">
        <v>266</v>
      </c>
      <c r="B70" s="44"/>
      <c r="C70" s="93">
        <f>'2 Acre Equip_Phase'!$N$3</f>
        <v>0.964</v>
      </c>
      <c r="D70" s="81">
        <f>D57</f>
        <v>0.0412</v>
      </c>
      <c r="E70" s="169">
        <f>D70*C70</f>
        <v>0.0397168</v>
      </c>
      <c r="F70" s="144">
        <f>E70/E72</f>
        <v>0.01866288542057466</v>
      </c>
    </row>
    <row r="71" spans="1:6" ht="12.75">
      <c r="A71" s="102" t="s">
        <v>224</v>
      </c>
      <c r="B71" s="44"/>
      <c r="C71" s="44">
        <f>'2 Acre Equip_Phase'!$O$3</f>
        <v>0.21</v>
      </c>
      <c r="D71" s="119">
        <v>0</v>
      </c>
      <c r="E71" s="145">
        <f>D71*C71</f>
        <v>0</v>
      </c>
      <c r="F71" s="144">
        <f>E71/E72</f>
        <v>0</v>
      </c>
    </row>
    <row r="72" spans="1:6" ht="12.75">
      <c r="A72" s="79" t="s">
        <v>0</v>
      </c>
      <c r="B72" s="77"/>
      <c r="C72" s="77"/>
      <c r="D72" s="99">
        <f>SUM(D69:D71)</f>
        <v>2.3112</v>
      </c>
      <c r="E72" s="100">
        <f>SUM(E69:E71)</f>
        <v>2.1281168</v>
      </c>
      <c r="F72" s="44"/>
    </row>
    <row r="73" spans="1:6" ht="15.75">
      <c r="A73" s="76" t="s">
        <v>186</v>
      </c>
      <c r="B73" s="77"/>
      <c r="C73" s="77"/>
      <c r="D73" s="77"/>
      <c r="E73" s="151">
        <v>4</v>
      </c>
      <c r="F73" s="44"/>
    </row>
    <row r="74" spans="1:6" ht="12.75">
      <c r="A74" s="146" t="s">
        <v>13</v>
      </c>
      <c r="B74" s="110"/>
      <c r="C74" s="110"/>
      <c r="D74" s="110"/>
      <c r="E74" s="92" t="str">
        <f>IF(E72&gt;=E73,"YES","NO")</f>
        <v>NO</v>
      </c>
      <c r="F74" s="44"/>
    </row>
    <row r="75" spans="1:5" ht="12.75">
      <c r="A75" s="111" t="s">
        <v>137</v>
      </c>
      <c r="B75" s="31"/>
      <c r="C75" s="31"/>
      <c r="D75" s="31"/>
      <c r="E75" s="59"/>
    </row>
    <row r="76" spans="1:5" ht="12.75">
      <c r="A76" s="113" t="s">
        <v>219</v>
      </c>
      <c r="B76" s="138"/>
      <c r="C76" s="138"/>
      <c r="D76" s="138"/>
      <c r="E76" s="130"/>
    </row>
    <row r="77" spans="1:5" ht="12.75">
      <c r="A77" s="113" t="s">
        <v>220</v>
      </c>
      <c r="B77" s="138"/>
      <c r="C77" s="138"/>
      <c r="D77" s="138"/>
      <c r="E77" s="130"/>
    </row>
    <row r="78" spans="1:5" ht="12.75">
      <c r="A78" s="112" t="s">
        <v>131</v>
      </c>
      <c r="B78" s="32"/>
      <c r="C78" s="32"/>
      <c r="D78" s="32"/>
      <c r="E78" s="62"/>
    </row>
    <row r="79" spans="1:5" ht="12.75">
      <c r="A79" s="112" t="s">
        <v>221</v>
      </c>
      <c r="B79" s="32"/>
      <c r="C79" s="32"/>
      <c r="D79" s="32"/>
      <c r="E79" s="62"/>
    </row>
    <row r="80" spans="1:5" ht="12.75">
      <c r="A80" s="112" t="s">
        <v>246</v>
      </c>
      <c r="B80" s="32"/>
      <c r="C80" s="32"/>
      <c r="D80" s="32"/>
      <c r="E80" s="62"/>
    </row>
    <row r="81" spans="1:5" ht="12.75">
      <c r="A81" s="112" t="s">
        <v>272</v>
      </c>
      <c r="B81" s="32"/>
      <c r="C81" s="32"/>
      <c r="D81" s="32"/>
      <c r="E81" s="62"/>
    </row>
    <row r="82" spans="1:5" ht="12.75">
      <c r="A82" s="112" t="s">
        <v>182</v>
      </c>
      <c r="B82" s="32"/>
      <c r="C82" s="32"/>
      <c r="D82" s="32"/>
      <c r="E82" s="62"/>
    </row>
    <row r="83" spans="1:5" ht="12.75">
      <c r="A83" s="112" t="s">
        <v>194</v>
      </c>
      <c r="B83" s="32"/>
      <c r="C83" s="32"/>
      <c r="D83" s="32"/>
      <c r="E83" s="62"/>
    </row>
    <row r="84" spans="1:5" ht="12.75">
      <c r="A84" s="84" t="s">
        <v>237</v>
      </c>
      <c r="B84" s="32"/>
      <c r="C84" s="32"/>
      <c r="D84" s="32"/>
      <c r="E84" s="62"/>
    </row>
    <row r="85" spans="1:5" ht="12.75">
      <c r="A85" s="114" t="s">
        <v>261</v>
      </c>
      <c r="B85" s="66"/>
      <c r="C85" s="66"/>
      <c r="D85" s="66"/>
      <c r="E85" s="67"/>
    </row>
  </sheetData>
  <printOptions/>
  <pageMargins left="0.75" right="0.75" top="1" bottom="0.8" header="0.5" footer="0.5"/>
  <pageSetup fitToHeight="0" fitToWidth="1" horizontalDpi="600" verticalDpi="600" orientation="landscape" r:id="rId1"/>
  <headerFooter alignWithMargins="0">
    <oddHeader>&amp;C&amp;"Times New Roman,Bold"Two Acre Site Example - Architectural Coating and Asphalt Paving</oddHeader>
    <oddFooter>&amp;C&amp;"Times New Roman,Regular"B-&amp;P</oddFooter>
  </headerFooter>
  <rowBreaks count="3" manualBreakCount="3">
    <brk id="35" max="4" man="1"/>
    <brk id="74" max="4" man="1"/>
    <brk id="85" max="4" man="1"/>
  </rowBreaks>
</worksheet>
</file>

<file path=xl/worksheets/sheet8.xml><?xml version="1.0" encoding="utf-8"?>
<worksheet xmlns="http://schemas.openxmlformats.org/spreadsheetml/2006/main" xmlns:r="http://schemas.openxmlformats.org/officeDocument/2006/relationships">
  <dimension ref="A3:G40"/>
  <sheetViews>
    <sheetView zoomScale="75" zoomScaleNormal="75" workbookViewId="0" topLeftCell="A1">
      <selection activeCell="A3" sqref="A3"/>
    </sheetView>
  </sheetViews>
  <sheetFormatPr defaultColWidth="9.140625" defaultRowHeight="12.75"/>
  <cols>
    <col min="1" max="1" width="30.7109375" style="0" bestFit="1" customWidth="1"/>
    <col min="2" max="2" width="10.28125" style="0" customWidth="1"/>
    <col min="3" max="7" width="11.00390625" style="0" bestFit="1" customWidth="1"/>
    <col min="8" max="8" width="12.421875" style="0" bestFit="1" customWidth="1"/>
    <col min="9" max="9" width="12.421875" style="0" customWidth="1"/>
    <col min="10" max="79" width="12.421875" style="0" bestFit="1" customWidth="1"/>
    <col min="80" max="80" width="12.00390625" style="0" bestFit="1" customWidth="1"/>
    <col min="81" max="85" width="12.421875" style="0" bestFit="1" customWidth="1"/>
    <col min="86" max="86" width="12.00390625" style="0" bestFit="1" customWidth="1"/>
    <col min="87" max="91" width="12.421875" style="0" bestFit="1" customWidth="1"/>
    <col min="92" max="93" width="12.00390625" style="0" bestFit="1" customWidth="1"/>
  </cols>
  <sheetData>
    <row r="3" spans="1:7" ht="12.75">
      <c r="A3" s="40" t="s">
        <v>106</v>
      </c>
      <c r="B3" s="38"/>
      <c r="C3" s="40" t="s">
        <v>78</v>
      </c>
      <c r="D3" s="135" t="s">
        <v>79</v>
      </c>
      <c r="E3" s="38"/>
      <c r="F3" s="38"/>
      <c r="G3" s="39"/>
    </row>
    <row r="4" spans="1:7" ht="12.75">
      <c r="A4" s="133"/>
      <c r="B4" s="134"/>
      <c r="C4" s="37">
        <v>2009</v>
      </c>
      <c r="D4" s="38"/>
      <c r="E4" s="38"/>
      <c r="F4" s="38"/>
      <c r="G4" s="39"/>
    </row>
    <row r="5" spans="1:7" ht="12.75">
      <c r="A5" s="40" t="s">
        <v>80</v>
      </c>
      <c r="B5" s="40" t="s">
        <v>107</v>
      </c>
      <c r="C5" s="159" t="s">
        <v>81</v>
      </c>
      <c r="D5" s="160" t="s">
        <v>59</v>
      </c>
      <c r="E5" s="160" t="s">
        <v>60</v>
      </c>
      <c r="F5" s="160" t="s">
        <v>9</v>
      </c>
      <c r="G5" s="161" t="s">
        <v>39</v>
      </c>
    </row>
    <row r="6" spans="1:7" ht="12.75">
      <c r="A6" s="37" t="s">
        <v>238</v>
      </c>
      <c r="B6" s="37" t="s">
        <v>105</v>
      </c>
      <c r="C6" s="162">
        <v>0.21485097335654346</v>
      </c>
      <c r="D6" s="163">
        <v>0.37482952155838173</v>
      </c>
      <c r="E6" s="163">
        <v>0.025899535820355597</v>
      </c>
      <c r="F6" s="163">
        <v>0.00039920795032207256</v>
      </c>
      <c r="G6" s="164">
        <v>0.07100692909700032</v>
      </c>
    </row>
    <row r="7" spans="1:7" ht="12.75">
      <c r="A7" s="37" t="s">
        <v>239</v>
      </c>
      <c r="B7" s="37" t="s">
        <v>105</v>
      </c>
      <c r="C7" s="162">
        <v>0.3699040265927197</v>
      </c>
      <c r="D7" s="163">
        <v>0.7663840649503583</v>
      </c>
      <c r="E7" s="163">
        <v>0.05465308379981077</v>
      </c>
      <c r="F7" s="163">
        <v>0.0007113245098350235</v>
      </c>
      <c r="G7" s="164">
        <v>0.1179518439538203</v>
      </c>
    </row>
    <row r="8" spans="1:7" ht="12.75">
      <c r="A8" s="37" t="s">
        <v>82</v>
      </c>
      <c r="B8" s="37" t="s">
        <v>105</v>
      </c>
      <c r="C8" s="162">
        <v>0.5199721869997256</v>
      </c>
      <c r="D8" s="163">
        <v>1.228704227060367</v>
      </c>
      <c r="E8" s="163">
        <v>0.05406118919539974</v>
      </c>
      <c r="F8" s="163">
        <v>0.0017461142190434557</v>
      </c>
      <c r="G8" s="164">
        <v>0.11616246099851217</v>
      </c>
    </row>
    <row r="9" spans="1:7" ht="12.75">
      <c r="A9" s="37" t="s">
        <v>83</v>
      </c>
      <c r="B9" s="37" t="s">
        <v>105</v>
      </c>
      <c r="C9" s="162">
        <v>0.044042579983889094</v>
      </c>
      <c r="D9" s="163">
        <v>0.06263543449143572</v>
      </c>
      <c r="E9" s="163">
        <v>0.00397213110520489</v>
      </c>
      <c r="F9" s="163">
        <v>0.0001086223826651693</v>
      </c>
      <c r="G9" s="164">
        <v>0.010655388847040148</v>
      </c>
    </row>
    <row r="10" spans="1:7" ht="12.75">
      <c r="A10" s="37" t="s">
        <v>84</v>
      </c>
      <c r="B10" s="37" t="s">
        <v>105</v>
      </c>
      <c r="C10" s="162">
        <v>0.4340290824403287</v>
      </c>
      <c r="D10" s="163">
        <v>0.6905853741322374</v>
      </c>
      <c r="E10" s="163">
        <v>0.05807613060996633</v>
      </c>
      <c r="F10" s="163">
        <v>0.0006973348655963511</v>
      </c>
      <c r="G10" s="164">
        <v>0.13633860667411932</v>
      </c>
    </row>
    <row r="11" spans="1:7" ht="12.75">
      <c r="A11" s="37" t="s">
        <v>85</v>
      </c>
      <c r="B11" s="37" t="s">
        <v>105</v>
      </c>
      <c r="C11" s="162">
        <v>0.5705244357334118</v>
      </c>
      <c r="D11" s="163">
        <v>1.529343946950683</v>
      </c>
      <c r="E11" s="163">
        <v>0.06779838606269213</v>
      </c>
      <c r="F11" s="163">
        <v>0.0013771362270382876</v>
      </c>
      <c r="G11" s="164">
        <v>0.16831923865657927</v>
      </c>
    </row>
    <row r="12" spans="1:7" ht="12.75">
      <c r="A12" s="37" t="s">
        <v>86</v>
      </c>
      <c r="B12" s="37" t="s">
        <v>105</v>
      </c>
      <c r="C12" s="162">
        <v>0.6616264634506436</v>
      </c>
      <c r="D12" s="163">
        <v>1.4606503319599204</v>
      </c>
      <c r="E12" s="163">
        <v>0.08979291682660076</v>
      </c>
      <c r="F12" s="163">
        <v>0.0012581853155349222</v>
      </c>
      <c r="G12" s="164">
        <v>0.1961438949551926</v>
      </c>
    </row>
    <row r="13" spans="1:7" ht="12.75">
      <c r="A13" s="37" t="s">
        <v>87</v>
      </c>
      <c r="B13" s="37" t="s">
        <v>105</v>
      </c>
      <c r="C13" s="162">
        <v>0.7440472302709824</v>
      </c>
      <c r="D13" s="163">
        <v>1.513017152755119</v>
      </c>
      <c r="E13" s="163">
        <v>0.0976323898101327</v>
      </c>
      <c r="F13" s="163">
        <v>0.0014564634829310774</v>
      </c>
      <c r="G13" s="164">
        <v>0.22735684071669482</v>
      </c>
    </row>
    <row r="14" spans="1:7" ht="12.75">
      <c r="A14" s="37" t="s">
        <v>240</v>
      </c>
      <c r="B14" s="37" t="s">
        <v>105</v>
      </c>
      <c r="C14" s="162">
        <v>0.03447252548809523</v>
      </c>
      <c r="D14" s="163">
        <v>0.06617903508081684</v>
      </c>
      <c r="E14" s="163">
        <v>0.003948044261687368</v>
      </c>
      <c r="F14" s="163">
        <v>9.67391365770918E-05</v>
      </c>
      <c r="G14" s="164">
        <v>0.01136548981627786</v>
      </c>
    </row>
    <row r="15" spans="1:7" ht="12.75">
      <c r="A15" s="37" t="s">
        <v>88</v>
      </c>
      <c r="B15" s="37" t="s">
        <v>105</v>
      </c>
      <c r="C15" s="162">
        <v>0.5696724898778055</v>
      </c>
      <c r="D15" s="163">
        <v>1.2339600672801465</v>
      </c>
      <c r="E15" s="163">
        <v>0.06812416788210283</v>
      </c>
      <c r="F15" s="163">
        <v>0.0013153926529107158</v>
      </c>
      <c r="G15" s="164">
        <v>0.15840901678843153</v>
      </c>
    </row>
    <row r="16" spans="1:7" ht="12.75">
      <c r="A16" s="37" t="s">
        <v>108</v>
      </c>
      <c r="B16" s="37" t="s">
        <v>105</v>
      </c>
      <c r="C16" s="162">
        <v>0.23660199085490774</v>
      </c>
      <c r="D16" s="163">
        <v>0.5560190053207631</v>
      </c>
      <c r="E16" s="163">
        <v>0.030237709294514626</v>
      </c>
      <c r="F16" s="163">
        <v>0.0006028418149054305</v>
      </c>
      <c r="G16" s="164">
        <v>0.07409069799435894</v>
      </c>
    </row>
    <row r="17" spans="1:7" ht="12.75">
      <c r="A17" s="37" t="s">
        <v>109</v>
      </c>
      <c r="B17" s="37" t="s">
        <v>105</v>
      </c>
      <c r="C17" s="162">
        <v>0.33784734114160253</v>
      </c>
      <c r="D17" s="163">
        <v>0.6718260150564884</v>
      </c>
      <c r="E17" s="163">
        <v>0.04139039741683303</v>
      </c>
      <c r="F17" s="163">
        <v>0.0006979933396738895</v>
      </c>
      <c r="G17" s="164">
        <v>0.1020144077290301</v>
      </c>
    </row>
    <row r="18" spans="1:7" ht="12.75">
      <c r="A18" s="37" t="s">
        <v>89</v>
      </c>
      <c r="B18" s="37" t="s">
        <v>105</v>
      </c>
      <c r="C18" s="162">
        <v>0.6428411785619518</v>
      </c>
      <c r="D18" s="163">
        <v>1.5237348491371676</v>
      </c>
      <c r="E18" s="163">
        <v>0.07957679435331354</v>
      </c>
      <c r="F18" s="163">
        <v>0.001496074195366467</v>
      </c>
      <c r="G18" s="164">
        <v>0.18250560184567785</v>
      </c>
    </row>
    <row r="19" spans="1:7" ht="12.75">
      <c r="A19" s="37" t="s">
        <v>90</v>
      </c>
      <c r="B19" s="37" t="s">
        <v>105</v>
      </c>
      <c r="C19" s="162">
        <v>0.8664139601926066</v>
      </c>
      <c r="D19" s="163">
        <v>2.081801997408183</v>
      </c>
      <c r="E19" s="163">
        <v>0.10171250943220933</v>
      </c>
      <c r="F19" s="163">
        <v>0.0016718219765630075</v>
      </c>
      <c r="G19" s="164">
        <v>0.24698143889205906</v>
      </c>
    </row>
    <row r="20" spans="1:7" ht="12.75">
      <c r="A20" s="37" t="s">
        <v>91</v>
      </c>
      <c r="B20" s="37" t="s">
        <v>105</v>
      </c>
      <c r="C20" s="162">
        <v>0.7930577658546252</v>
      </c>
      <c r="D20" s="163">
        <v>2.550510242285298</v>
      </c>
      <c r="E20" s="163">
        <v>0.09289320450126227</v>
      </c>
      <c r="F20" s="163">
        <v>0.00265889982643444</v>
      </c>
      <c r="G20" s="164">
        <v>0.2596775969132795</v>
      </c>
    </row>
    <row r="21" spans="1:7" ht="12.75">
      <c r="A21" s="37" t="s">
        <v>92</v>
      </c>
      <c r="B21" s="37" t="s">
        <v>105</v>
      </c>
      <c r="C21" s="162">
        <v>0.42913850114456903</v>
      </c>
      <c r="D21" s="163">
        <v>1.0812122488115015</v>
      </c>
      <c r="E21" s="163">
        <v>0.047089433039331496</v>
      </c>
      <c r="F21" s="163">
        <v>0.001269032056458946</v>
      </c>
      <c r="G21" s="164">
        <v>0.11302834842069497</v>
      </c>
    </row>
    <row r="22" spans="1:7" ht="12.75">
      <c r="A22" s="37" t="s">
        <v>241</v>
      </c>
      <c r="B22" s="37" t="s">
        <v>105</v>
      </c>
      <c r="C22" s="162">
        <v>0.6281180843433715</v>
      </c>
      <c r="D22" s="163">
        <v>1.7488128479610179</v>
      </c>
      <c r="E22" s="163">
        <v>0.07794898647818377</v>
      </c>
      <c r="F22" s="163">
        <v>0.0016001045196498444</v>
      </c>
      <c r="G22" s="164">
        <v>0.19411969140461752</v>
      </c>
    </row>
    <row r="23" spans="1:7" ht="12.75">
      <c r="A23" s="37" t="s">
        <v>242</v>
      </c>
      <c r="B23" s="37" t="s">
        <v>105</v>
      </c>
      <c r="C23" s="162">
        <v>0.580138473857776</v>
      </c>
      <c r="D23" s="163">
        <v>1.6942902159455708</v>
      </c>
      <c r="E23" s="163">
        <v>0.07529914255971021</v>
      </c>
      <c r="F23" s="163">
        <v>0.0015432205663367072</v>
      </c>
      <c r="G23" s="164">
        <v>0.18674233273988294</v>
      </c>
    </row>
    <row r="24" spans="1:7" ht="12.75">
      <c r="A24" s="37" t="s">
        <v>93</v>
      </c>
      <c r="B24" s="37" t="s">
        <v>105</v>
      </c>
      <c r="C24" s="162">
        <v>0.5755641026399174</v>
      </c>
      <c r="D24" s="163">
        <v>1.0321205820465214</v>
      </c>
      <c r="E24" s="163">
        <v>0.07387893127082205</v>
      </c>
      <c r="F24" s="163">
        <v>0.000894948217126171</v>
      </c>
      <c r="G24" s="164">
        <v>0.1866965115981099</v>
      </c>
    </row>
    <row r="25" spans="1:7" ht="12.75">
      <c r="A25" s="37" t="s">
        <v>50</v>
      </c>
      <c r="B25" s="37" t="s">
        <v>105</v>
      </c>
      <c r="C25" s="162">
        <v>0.45436592139752435</v>
      </c>
      <c r="D25" s="163">
        <v>0.9399923634241233</v>
      </c>
      <c r="E25" s="163">
        <v>0.0655073996188419</v>
      </c>
      <c r="F25" s="163">
        <v>0.000793098433799287</v>
      </c>
      <c r="G25" s="164">
        <v>0.1405496725652156</v>
      </c>
    </row>
    <row r="26" spans="1:7" ht="12.75">
      <c r="A26" s="37" t="s">
        <v>209</v>
      </c>
      <c r="B26" s="37" t="s">
        <v>105</v>
      </c>
      <c r="C26" s="162">
        <v>0.026339777836664788</v>
      </c>
      <c r="D26" s="163">
        <v>0.03213937944714252</v>
      </c>
      <c r="E26" s="163">
        <v>0.0017747766757524742</v>
      </c>
      <c r="F26" s="163">
        <v>6.712657087833098E-05</v>
      </c>
      <c r="G26" s="164">
        <v>0.005088325599673148</v>
      </c>
    </row>
    <row r="27" spans="1:7" ht="12.75">
      <c r="A27" s="37" t="s">
        <v>243</v>
      </c>
      <c r="B27" s="37" t="s">
        <v>105</v>
      </c>
      <c r="C27" s="162">
        <v>0.06798606337599801</v>
      </c>
      <c r="D27" s="163">
        <v>0.10197461954321856</v>
      </c>
      <c r="E27" s="163">
        <v>0.007402739388749973</v>
      </c>
      <c r="F27" s="163">
        <v>0.0001253979551268817</v>
      </c>
      <c r="G27" s="164">
        <v>0.021169074080448408</v>
      </c>
    </row>
    <row r="28" spans="1:7" ht="12.75">
      <c r="A28" s="37" t="s">
        <v>244</v>
      </c>
      <c r="B28" s="37" t="s">
        <v>105</v>
      </c>
      <c r="C28" s="162">
        <v>0.31470940101713585</v>
      </c>
      <c r="D28" s="163">
        <v>0.5779059281702977</v>
      </c>
      <c r="E28" s="163">
        <v>0.04097001833639593</v>
      </c>
      <c r="F28" s="163">
        <v>0.0005904567249529362</v>
      </c>
      <c r="G28" s="164">
        <v>0.09906395322500426</v>
      </c>
    </row>
    <row r="29" spans="1:7" ht="12.75">
      <c r="A29" s="37" t="s">
        <v>94</v>
      </c>
      <c r="B29" s="37" t="s">
        <v>105</v>
      </c>
      <c r="C29" s="162">
        <v>0.4272466877288569</v>
      </c>
      <c r="D29" s="163">
        <v>0.8165669311222555</v>
      </c>
      <c r="E29" s="163">
        <v>0.05737578421138951</v>
      </c>
      <c r="F29" s="163">
        <v>0.0007696987071086336</v>
      </c>
      <c r="G29" s="164">
        <v>0.1250206764508691</v>
      </c>
    </row>
    <row r="30" spans="1:7" ht="12.75">
      <c r="A30" s="37" t="s">
        <v>95</v>
      </c>
      <c r="B30" s="37" t="s">
        <v>105</v>
      </c>
      <c r="C30" s="162">
        <v>0.4815085013283103</v>
      </c>
      <c r="D30" s="163">
        <v>0.8505073177330402</v>
      </c>
      <c r="E30" s="163">
        <v>0.0718511367856741</v>
      </c>
      <c r="F30" s="163">
        <v>0.0008160650480299025</v>
      </c>
      <c r="G30" s="164">
        <v>0.1367781252086076</v>
      </c>
    </row>
    <row r="31" spans="1:7" ht="12.75">
      <c r="A31" s="37" t="s">
        <v>96</v>
      </c>
      <c r="B31" s="37" t="s">
        <v>105</v>
      </c>
      <c r="C31" s="162">
        <v>1.5019899051003145</v>
      </c>
      <c r="D31" s="163">
        <v>3.1254049078327544</v>
      </c>
      <c r="E31" s="163">
        <v>0.13467547344245145</v>
      </c>
      <c r="F31" s="163">
        <v>0.002451697345663648</v>
      </c>
      <c r="G31" s="164">
        <v>0.350755870416873</v>
      </c>
    </row>
    <row r="32" spans="1:7" ht="12.75">
      <c r="A32" s="37" t="s">
        <v>97</v>
      </c>
      <c r="B32" s="37" t="s">
        <v>105</v>
      </c>
      <c r="C32" s="162">
        <v>0.521411635212901</v>
      </c>
      <c r="D32" s="163">
        <v>1.225476239847184</v>
      </c>
      <c r="E32" s="163">
        <v>0.0688432056260623</v>
      </c>
      <c r="F32" s="163">
        <v>0.0012006449675557732</v>
      </c>
      <c r="G32" s="164">
        <v>0.1529679728166386</v>
      </c>
    </row>
    <row r="33" spans="1:7" ht="12.75">
      <c r="A33" s="37" t="s">
        <v>98</v>
      </c>
      <c r="B33" s="37" t="s">
        <v>105</v>
      </c>
      <c r="C33" s="162">
        <v>1.3277529144925297</v>
      </c>
      <c r="D33" s="163">
        <v>3.06303596440706</v>
      </c>
      <c r="E33" s="163">
        <v>0.1321383236790471</v>
      </c>
      <c r="F33" s="163">
        <v>0.002687205358117215</v>
      </c>
      <c r="G33" s="164">
        <v>0.3347032620180724</v>
      </c>
    </row>
    <row r="34" spans="1:7" ht="12.75">
      <c r="A34" s="37" t="s">
        <v>99</v>
      </c>
      <c r="B34" s="37" t="s">
        <v>105</v>
      </c>
      <c r="C34" s="162">
        <v>0.09589507072718194</v>
      </c>
      <c r="D34" s="163">
        <v>0.16781549214108685</v>
      </c>
      <c r="E34" s="163">
        <v>0.009553044938814495</v>
      </c>
      <c r="F34" s="163">
        <v>0.00021415176593645187</v>
      </c>
      <c r="G34" s="164">
        <v>0.02342246416489671</v>
      </c>
    </row>
    <row r="35" spans="1:7" ht="12.75">
      <c r="A35" s="37" t="s">
        <v>100</v>
      </c>
      <c r="B35" s="37" t="s">
        <v>105</v>
      </c>
      <c r="C35" s="162">
        <v>0.2565159718578235</v>
      </c>
      <c r="D35" s="163">
        <v>0.3056606319223628</v>
      </c>
      <c r="E35" s="163">
        <v>0.027579838334919615</v>
      </c>
      <c r="F35" s="163">
        <v>0.0003748280408101773</v>
      </c>
      <c r="G35" s="164">
        <v>0.07829589118060604</v>
      </c>
    </row>
    <row r="36" spans="1:7" ht="12.75">
      <c r="A36" s="37" t="s">
        <v>101</v>
      </c>
      <c r="B36" s="37" t="s">
        <v>105</v>
      </c>
      <c r="C36" s="162">
        <v>0.6589254191056468</v>
      </c>
      <c r="D36" s="163">
        <v>1.6559376907520145</v>
      </c>
      <c r="E36" s="163">
        <v>0.06386329521464487</v>
      </c>
      <c r="F36" s="163">
        <v>0.0016675688525877837</v>
      </c>
      <c r="G36" s="164">
        <v>0.16466359030218858</v>
      </c>
    </row>
    <row r="37" spans="1:7" ht="12.75">
      <c r="A37" s="37" t="s">
        <v>245</v>
      </c>
      <c r="B37" s="37" t="s">
        <v>105</v>
      </c>
      <c r="C37" s="162">
        <v>0.5475121478663872</v>
      </c>
      <c r="D37" s="163">
        <v>0.905868153339175</v>
      </c>
      <c r="E37" s="163">
        <v>0.07333057055645499</v>
      </c>
      <c r="F37" s="163">
        <v>0.0009156147906846562</v>
      </c>
      <c r="G37" s="164">
        <v>0.1688732912495575</v>
      </c>
    </row>
    <row r="38" spans="1:7" ht="12.75">
      <c r="A38" s="37" t="s">
        <v>102</v>
      </c>
      <c r="B38" s="37" t="s">
        <v>105</v>
      </c>
      <c r="C38" s="162">
        <v>0.3992890798156023</v>
      </c>
      <c r="D38" s="163">
        <v>0.7226551053541611</v>
      </c>
      <c r="E38" s="163">
        <v>0.0559015563987075</v>
      </c>
      <c r="F38" s="163">
        <v>0.0007751293402015102</v>
      </c>
      <c r="G38" s="164">
        <v>0.11085782959219054</v>
      </c>
    </row>
    <row r="39" spans="1:7" ht="12.75">
      <c r="A39" s="37" t="s">
        <v>103</v>
      </c>
      <c r="B39" s="37" t="s">
        <v>105</v>
      </c>
      <c r="C39" s="162">
        <v>0.4991953332905817</v>
      </c>
      <c r="D39" s="163">
        <v>0.7910366548681177</v>
      </c>
      <c r="E39" s="163">
        <v>0.0662601959835265</v>
      </c>
      <c r="F39" s="163">
        <v>0.0006961124134220187</v>
      </c>
      <c r="G39" s="164">
        <v>0.17615353366295763</v>
      </c>
    </row>
    <row r="40" spans="1:7" ht="12.75">
      <c r="A40" s="136" t="s">
        <v>114</v>
      </c>
      <c r="B40" s="136" t="s">
        <v>105</v>
      </c>
      <c r="C40" s="165">
        <v>0.2280707151357823</v>
      </c>
      <c r="D40" s="166">
        <v>0.30145731147632376</v>
      </c>
      <c r="E40" s="166">
        <v>0.0279795972884907</v>
      </c>
      <c r="F40" s="166">
        <v>0.0003174643953252087</v>
      </c>
      <c r="G40" s="167">
        <v>0.08465212170535275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Kyu-Kyu Leong Remillard</dc:creator>
  <cp:keywords/>
  <dc:description/>
  <cp:lastModifiedBy>James Koizumi</cp:lastModifiedBy>
  <cp:lastPrinted>2007-04-24T16:15:07Z</cp:lastPrinted>
  <dcterms:created xsi:type="dcterms:W3CDTF">1999-09-14T18:31:05Z</dcterms:created>
  <dcterms:modified xsi:type="dcterms:W3CDTF">2009-03-11T00:11:21Z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386789686</vt:i4>
  </property>
  <property fmtid="{D5CDD505-2E9C-101B-9397-08002B2CF9AE}" pid="3" name="_EmailSubject">
    <vt:lpwstr>Updated sample construction scenarios</vt:lpwstr>
  </property>
  <property fmtid="{D5CDD505-2E9C-101B-9397-08002B2CF9AE}" pid="4" name="_AuthorEmail">
    <vt:lpwstr>JKoizumi@aqmd.gov</vt:lpwstr>
  </property>
  <property fmtid="{D5CDD505-2E9C-101B-9397-08002B2CF9AE}" pid="5" name="_AuthorEmailDisplayName">
    <vt:lpwstr>James Koizumi</vt:lpwstr>
  </property>
  <property fmtid="{D5CDD505-2E9C-101B-9397-08002B2CF9AE}" pid="6" name="_PreviousAdHocReviewCycleID">
    <vt:i4>1314398340</vt:i4>
  </property>
</Properties>
</file>