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8" yWindow="276" windowWidth="7752" windowHeight="4740" tabRatio="768" firstSheet="5" activeTab="9"/>
  </bookViews>
  <sheets>
    <sheet name="Cover Page" sheetId="1" r:id="rId1"/>
    <sheet name="Tables A1-A9" sheetId="2" r:id="rId2"/>
    <sheet name="Tables A10-A14" sheetId="3" r:id="rId3"/>
    <sheet name="Table A15" sheetId="4" r:id="rId4"/>
    <sheet name="Table A16" sheetId="5" r:id="rId5"/>
    <sheet name="Table A17" sheetId="6" r:id="rId6"/>
    <sheet name="Tables A18-A25" sheetId="7" r:id="rId7"/>
    <sheet name="Table A-26" sheetId="8" r:id="rId8"/>
    <sheet name="Table A27" sheetId="9" r:id="rId9"/>
    <sheet name="Tables A28-A29" sheetId="10" r:id="rId10"/>
    <sheet name="Table A30" sheetId="11" r:id="rId11"/>
  </sheets>
  <definedNames>
    <definedName name="_xlnm.Print_Area" localSheetId="7">'Table A-26'!$A$1:$X$37</definedName>
    <definedName name="_xlnm.Print_Titles" localSheetId="3">'Table A15'!$1:$2</definedName>
    <definedName name="_xlnm.Print_Titles" localSheetId="4">'Table A16'!$1:$2</definedName>
    <definedName name="_xlnm.Print_Titles" localSheetId="5">'Table A17'!$1:$2</definedName>
    <definedName name="_xlnm.Print_Titles" localSheetId="7">'Table A-26'!$1:$2</definedName>
    <definedName name="_xlnm.Print_Titles" localSheetId="2">'Tables A10-A14'!$1:$2</definedName>
    <definedName name="_xlnm.Print_Titles" localSheetId="6">'Tables A18-A25'!$1:$2</definedName>
    <definedName name="_xlnm.Print_Titles" localSheetId="1">'Tables A1-A9'!$1:$2</definedName>
  </definedNames>
  <calcPr fullCalcOnLoad="1"/>
</workbook>
</file>

<file path=xl/sharedStrings.xml><?xml version="1.0" encoding="utf-8"?>
<sst xmlns="http://schemas.openxmlformats.org/spreadsheetml/2006/main" count="495" uniqueCount="275">
  <si>
    <t>CO</t>
  </si>
  <si>
    <t>VOC</t>
  </si>
  <si>
    <t>Fuel Use</t>
  </si>
  <si>
    <t>Equipment Type</t>
  </si>
  <si>
    <t>Fuel</t>
  </si>
  <si>
    <t>lb/hr</t>
  </si>
  <si>
    <t>gal/hr</t>
  </si>
  <si>
    <t>Diesel</t>
  </si>
  <si>
    <t>PM10</t>
  </si>
  <si>
    <t>Equipment</t>
  </si>
  <si>
    <t>Month</t>
  </si>
  <si>
    <t>Total</t>
  </si>
  <si>
    <t>NOx</t>
  </si>
  <si>
    <t>Exhaust</t>
  </si>
  <si>
    <t>Hot Soak</t>
  </si>
  <si>
    <t>Resting</t>
  </si>
  <si>
    <t>Diurnal</t>
  </si>
  <si>
    <t>Tire Wear</t>
  </si>
  <si>
    <t>Brake Wear</t>
  </si>
  <si>
    <t>Vehicle Type</t>
  </si>
  <si>
    <t>Vehicle Class</t>
  </si>
  <si>
    <t>Road Type</t>
  </si>
  <si>
    <t>Speed (mph)</t>
  </si>
  <si>
    <t>g/mi</t>
  </si>
  <si>
    <t>g/trip</t>
  </si>
  <si>
    <t>g/hr</t>
  </si>
  <si>
    <t>On-site pickup truck</t>
  </si>
  <si>
    <t>Medium duty truck, cat</t>
  </si>
  <si>
    <t>Local</t>
  </si>
  <si>
    <t>Medium heavy-duty truck, diesel</t>
  </si>
  <si>
    <t>Heavy heavy-duty truck, diesel</t>
  </si>
  <si>
    <t>Light duty truck, cat</t>
  </si>
  <si>
    <t>Collector</t>
  </si>
  <si>
    <t>Material removal haul truck, off-site</t>
  </si>
  <si>
    <t>Miles/
Veh.-Day</t>
  </si>
  <si>
    <t>Starts/
Veh.-Day</t>
  </si>
  <si>
    <t>CO
(lb/veh.-day)</t>
  </si>
  <si>
    <t>VOC
(lb/veh.-day)</t>
  </si>
  <si>
    <t>Exhaust
PM10
(lb/veh.-day)</t>
  </si>
  <si>
    <t>Fugitive
PM10
(lb/veh.-day)</t>
  </si>
  <si>
    <t>Assumption</t>
  </si>
  <si>
    <t>Source</t>
  </si>
  <si>
    <t>Total On-Site</t>
  </si>
  <si>
    <t>Total Off-Site</t>
  </si>
  <si>
    <t>Usage (gal/day)</t>
  </si>
  <si>
    <t>VOC Emissions (lb/day)</t>
  </si>
  <si>
    <t>Activity/Source</t>
  </si>
  <si>
    <t>On-Site Motor Vehicles</t>
  </si>
  <si>
    <t>On-Site Architectural Coating</t>
  </si>
  <si>
    <t>Off-Site Motor Vehicles</t>
  </si>
  <si>
    <t>Off-site delivery vehicle</t>
  </si>
  <si>
    <t>Construction Vehicle Emissions per Vehicle per Day</t>
  </si>
  <si>
    <t>Construction Equipment Emission Factors</t>
  </si>
  <si>
    <t>Off-site construction worker commute</t>
  </si>
  <si>
    <t>Notes:</t>
  </si>
  <si>
    <t>Threshold Exceeded (Yes/No)</t>
  </si>
  <si>
    <t>Exhaust
PM10</t>
  </si>
  <si>
    <t>Fugitive
PM10</t>
  </si>
  <si>
    <t>Total
PM10</t>
  </si>
  <si>
    <t>lb/hp-hr</t>
  </si>
  <si>
    <t>gal/hp-hr</t>
  </si>
  <si>
    <t>Peak Daily Emissions (lb/day)</t>
  </si>
  <si>
    <t>Peak Daily CO Emissions by Month (lb/day)</t>
  </si>
  <si>
    <t>Peak Daily VOC Emissions by Month (lb/day)</t>
  </si>
  <si>
    <t>Peak Daily Exhaust PM10 Emissions by Month (lb/day)</t>
  </si>
  <si>
    <t>Peak Daily Fugitive PM10 Construction Emissions by Month (lb/day)</t>
  </si>
  <si>
    <t>Peak Daily Total PM10 Construction Emissions by Month (lb/day)</t>
  </si>
  <si>
    <t>Construction Equipment CO Emissions by Month (lb/day)</t>
  </si>
  <si>
    <t>Construction Equipment VOC Emissions by Month (lb/day)</t>
  </si>
  <si>
    <t>Construction Equipment PM10 Emissions by Month (lb/day)</t>
  </si>
  <si>
    <t>Construction Peak Daily On-Site Fugitive PM10 Emissions by Month (lb/day)</t>
  </si>
  <si>
    <t>Construction Vehicle Peak Daily Number by Month</t>
  </si>
  <si>
    <t>Construction Motor Vehicle Peak Daily CO Emissions by Month (lb/day)</t>
  </si>
  <si>
    <t>Construction Motor Vehicle Peak Daily VOC Emissions by Month (lb/day)</t>
  </si>
  <si>
    <t>Construction Motor Vehicle Peak Daily Exhaust PM10 Emissions by Month (lb/day)</t>
  </si>
  <si>
    <t>Construction Motor Vehicle Peak Daily Fugitive PM10 Emissions by Month (lb/day)</t>
  </si>
  <si>
    <t>Start-Up</t>
  </si>
  <si>
    <t>Peak Daily NOx Emissions by Month (lb/day)</t>
  </si>
  <si>
    <t>Peak Daily SOx Emissions by Month (lb/day)</t>
  </si>
  <si>
    <t>SOx</t>
  </si>
  <si>
    <t>Construction Motor Vehicle Peak Daily NOx Emissions by Month (lb/day)</t>
  </si>
  <si>
    <t>NOx
(lb/veh.-day)</t>
  </si>
  <si>
    <t>SOx
(lb/veh.-day)</t>
  </si>
  <si>
    <t>Project Emissions (tons)</t>
  </si>
  <si>
    <t>Vehicle
Weight
(tons)</t>
  </si>
  <si>
    <t>Rating 
(hp)</t>
  </si>
  <si>
    <t>Ratings based on construction design contractor experience</t>
  </si>
  <si>
    <t>Paved Road Dust</t>
  </si>
  <si>
    <t>Start-up emission factors based on 720 minutes engine-off</t>
  </si>
  <si>
    <t>Silt loading (g/m2)</t>
  </si>
  <si>
    <t>Usage Factor</t>
  </si>
  <si>
    <t>Operation</t>
  </si>
  <si>
    <t>(hr/day)</t>
  </si>
  <si>
    <t>Construction Equipment NOx Emissions by Month (lb/day)</t>
  </si>
  <si>
    <t>Construction Equipment SOx Emissions by Month (lb/day)</t>
  </si>
  <si>
    <t>Load
Factor</t>
  </si>
  <si>
    <t>g/L</t>
  </si>
  <si>
    <t>Units</t>
  </si>
  <si>
    <t>Emission factors from SCAQMD CEQA Air Quality Handbook, November 1993, Table A9-8-A and Table A9-8-B.</t>
  </si>
  <si>
    <t>On-site water truck</t>
  </si>
  <si>
    <t>ppmw (as S)</t>
  </si>
  <si>
    <t>Diesel fuel fuel density:</t>
  </si>
  <si>
    <t>lb/gal</t>
  </si>
  <si>
    <t>Higher Heating Value (HHV) of diesel fuel:</t>
  </si>
  <si>
    <t>Btu/gal</t>
  </si>
  <si>
    <t>Brake Specific Fuel Consumption (BSFC):</t>
  </si>
  <si>
    <t>Btu/hp-hr (Default for Naturally Aspirated Engine, SBAPCD)</t>
  </si>
  <si>
    <t>SOx as SO2 (lb/hp-hr) = (ppmw as S/1000000) x (Fuel Density [lb/gal]) x (1 gal/138000 Btu) x (1 lb-mol S/32 lb S) x (1 lb-mole SO2/1 lb-mole S) x (64 lb SO2/1 lb-mole SO2) x (BSFC [Btu/hp-hr])</t>
  </si>
  <si>
    <t>SOx EF:</t>
  </si>
  <si>
    <t>Diesel fuel sulfur content (0.05%):</t>
  </si>
  <si>
    <t>Mileage</t>
  </si>
  <si>
    <t>mi/gal</t>
  </si>
  <si>
    <t>g/min</t>
  </si>
  <si>
    <t>cat means catalytic converter</t>
  </si>
  <si>
    <t>Data based on average temperature of 60 F, 50% relative humidity.</t>
  </si>
  <si>
    <t>Evap. Run</t>
  </si>
  <si>
    <t>On-Road Construction Vehicle Emission Factors</t>
  </si>
  <si>
    <t>-</t>
  </si>
  <si>
    <t>Unpaved</t>
  </si>
  <si>
    <t xml:space="preserve"> </t>
  </si>
  <si>
    <t>Equipment Details/Performance</t>
  </si>
  <si>
    <t>Job Efficiency</t>
  </si>
  <si>
    <t>Soil Capacity (yd3)</t>
  </si>
  <si>
    <t>Cycle Time (min)</t>
  </si>
  <si>
    <t>Number of Cycles/50 min-hr</t>
  </si>
  <si>
    <t>Volume Moved (yd3/hour)</t>
  </si>
  <si>
    <t>Travel Distance (ft/cycle)</t>
  </si>
  <si>
    <t>Travel Distance (ft/hr)</t>
  </si>
  <si>
    <t>VMT/hr</t>
  </si>
  <si>
    <t>Transportation on Roads</t>
  </si>
  <si>
    <t>Mean Vehicle Weight (tons)</t>
  </si>
  <si>
    <t>PM10 Emissions (lb/VMT)</t>
  </si>
  <si>
    <t>Mitigation</t>
  </si>
  <si>
    <t>PM10 Emissions (lb/hr)</t>
  </si>
  <si>
    <t>PM10 Emissions (lb/day)</t>
  </si>
  <si>
    <t>Material Handling/Drop Operations:</t>
  </si>
  <si>
    <t>PM10 Emissions (lb/ton)</t>
  </si>
  <si>
    <t>Material Handling Rate (ton/hr)</t>
  </si>
  <si>
    <t>Total PM10 Emissions (lb/day)</t>
  </si>
  <si>
    <t>General</t>
  </si>
  <si>
    <t>lb/VMT = pounds per vehicle mile traveled.</t>
  </si>
  <si>
    <t>Soil weight =</t>
  </si>
  <si>
    <t>lb/yd3 (Assumption: Loose, wet excavated earth.  Weight varies with moisture content, compaction, etc.)</t>
  </si>
  <si>
    <t>Unpaved Roads</t>
  </si>
  <si>
    <t xml:space="preserve">  Empirical formula from AP-42, Section 13.2.2 (Unpaved Roads ,9/98):</t>
  </si>
  <si>
    <t xml:space="preserve">    PM10 Emissions (lbs/VMT) = (k * (s / 12)^a * (w / 3)^b ) / (M / 0.2)^c, where:</t>
  </si>
  <si>
    <t>k =</t>
  </si>
  <si>
    <t>lb/VMT (empirical constant for PM10  from Table 13.2.2-2)</t>
  </si>
  <si>
    <t>s =</t>
  </si>
  <si>
    <t>% (surface material silt content)</t>
  </si>
  <si>
    <t>a =</t>
  </si>
  <si>
    <t>(empirical constant for PM10 from Table 13.2.2-2)</t>
  </si>
  <si>
    <t>b =</t>
  </si>
  <si>
    <t>c =</t>
  </si>
  <si>
    <t xml:space="preserve">W = </t>
  </si>
  <si>
    <t>[Varies]</t>
  </si>
  <si>
    <t>tons (mean vehicle weight)</t>
  </si>
  <si>
    <t xml:space="preserve">M = </t>
  </si>
  <si>
    <t>% (surface material moisture content)</t>
  </si>
  <si>
    <t>Assumption: Moist soil (Dry = 2.0%, Moist = 15.0%, Wet = 50.0%)</t>
  </si>
  <si>
    <t>lb/VMT (particle size multiplier for PM10)</t>
  </si>
  <si>
    <t>Source:  AP42, Table 13.2-1.1 (Particle Size Multipliers for Paved Road Equation)</t>
  </si>
  <si>
    <t>sL =</t>
  </si>
  <si>
    <t>grams/m2 (road surface silt loading)</t>
  </si>
  <si>
    <t>W =</t>
  </si>
  <si>
    <t>Varies</t>
  </si>
  <si>
    <t>tons (average weight of the vehicle)</t>
  </si>
  <si>
    <t xml:space="preserve">  AP42, Section 13.2.4 (Aggregate Handling and Storage Piles, 1/95):</t>
  </si>
  <si>
    <t>unitless (particle size multiplier for PM10)</t>
  </si>
  <si>
    <t>u =</t>
  </si>
  <si>
    <t>mi/hr (mean wind speed)</t>
  </si>
  <si>
    <t>M =</t>
  </si>
  <si>
    <t xml:space="preserve">% (material moisture content) </t>
  </si>
  <si>
    <t>Source: Assumption based on Table 9-9-G-1, 1993 CEQA Handbook (Dry = 2.0%, Moist = 15.0%, Wet = 50.0%)</t>
  </si>
  <si>
    <t>Mitigation:</t>
  </si>
  <si>
    <t xml:space="preserve">  AP42, Section 13.2.3 (Heavy Construction Operations), Table 13.2.3-1 (Recommended Emission Factors for Construction Operations, 1/95) and</t>
  </si>
  <si>
    <t xml:space="preserve">   Table 11.9-1 (Emission Factor Equations for Uncontrolled Open Dust Sources at Western Surface Coal Mines, 7/98, Bulldozing Operations):</t>
  </si>
  <si>
    <t xml:space="preserve">      PM10 emissions (lb/hr) = 0.75 * 1.0 * ([s]^1.5) / ([M]^1.4) </t>
  </si>
  <si>
    <t>Source:  Table A9-9-F-1, 1993 CEQA Handbook. Assumes dirt type is "Overburden".</t>
  </si>
  <si>
    <t>Source: Table 9-9-F-2, 1993 CEQA Handbook (Dry = 2.0%, Moist = 15.0%, Wet = 50.0%)</t>
  </si>
  <si>
    <t xml:space="preserve">     (Note:  PM10 emission equation from 1993 CEQA Handbook, Table A9-9-F (Estimating Emissions from Dirt Pushing or Bulldozing Operations) is incorrect)</t>
  </si>
  <si>
    <t>PM10 Emissions from Wind Erosion of Storage Piles</t>
  </si>
  <si>
    <t>PM10 Emissions (lb/day) = (0.85 x (s/1.5) x ((365-p)/235) x (UW/15) x A)</t>
  </si>
  <si>
    <t>Silt Content (% wt) (s)</t>
  </si>
  <si>
    <t>Storage Pile Size (acres) (A)</t>
  </si>
  <si>
    <t xml:space="preserve">Mitigation: </t>
  </si>
  <si>
    <t>Source:  EPA's Fugitive Dust Background Document and Technical Information Document for Best Available Control Measures (September 1992)</t>
  </si>
  <si>
    <t>Appendix F, Construction and Operational Emission Calculation Methodologies, Equation F-4 and Table F-4.</t>
  </si>
  <si>
    <t>1993 CEQA Handbook, Table A9-9-E</t>
  </si>
  <si>
    <t>Rain Days per Year (&gt;0.01 in) (p)</t>
  </si>
  <si>
    <t>Assumption, Overburden (SCAQMD CEQA Air Quality Handbook, Table A9-9-F-1)</t>
  </si>
  <si>
    <t>% of Time Wind &gt; 12 mph) (UW)</t>
  </si>
  <si>
    <t>acres</t>
  </si>
  <si>
    <t>number</t>
  </si>
  <si>
    <t>Usage factor based on construction experience and professional judgment because real-world operations are not 100% efficient (accounts for breaks, downtime, lunch, etc.)</t>
  </si>
  <si>
    <t>Overall Construction Emissions</t>
  </si>
  <si>
    <t>Construction Peak Daily Architectural Coating VOC Emissions (lb/day)</t>
  </si>
  <si>
    <t>Light Duty Truck / 0-3750</t>
  </si>
  <si>
    <t>Medium Duty Truck / 5751-8500</t>
  </si>
  <si>
    <t>Medium Heavy Duty Truck / 14001-33000</t>
  </si>
  <si>
    <t>Heavy Heavy Duty Truck / 33001-60000</t>
  </si>
  <si>
    <t>Vehicle Class / Weight Class:</t>
  </si>
  <si>
    <t>Backhoe</t>
  </si>
  <si>
    <t>Haul Truck</t>
  </si>
  <si>
    <t>Pickup</t>
  </si>
  <si>
    <t>VMT/day (On Site)</t>
  </si>
  <si>
    <t>PM10 Emissions On Site from Unpaved Roads and Soil Handling</t>
  </si>
  <si>
    <t>Assumption (worst-case desert/drought, SCAQMD CEQA Handbook, Table A9-9-E-1)</t>
  </si>
  <si>
    <t>Size of each storage pile</t>
  </si>
  <si>
    <t xml:space="preserve">    PM10 Emissions (lb/VMT) = k * [(sL / 2)^(0.65)] * [(W / 3 )^(1.5)], where:</t>
  </si>
  <si>
    <t>Paved road dust empirical formula from AP42, Section 13.2.1 (Paved Roads, 9/98):</t>
  </si>
  <si>
    <t>Source:  CARB, Section 7.9, Table 3 (Silt Loadings and Emission Factors for California Entrained</t>
  </si>
  <si>
    <t>Paved Road Dust Estimates),</t>
  </si>
  <si>
    <t>Number of storage piles</t>
  </si>
  <si>
    <t>Volume Moved (yd3/day)</t>
  </si>
  <si>
    <t>Nonprinting info (Basis for using lower SOx emission factor):</t>
  </si>
  <si>
    <t>175 CFM AIR COMPRESSOR</t>
  </si>
  <si>
    <t>BACKHOE - CASE 580</t>
  </si>
  <si>
    <t>BACKHOE -TRACK 1/2 CY</t>
  </si>
  <si>
    <t>BOBCAT OR DITCH WITCH</t>
  </si>
  <si>
    <t>5000# FORKLIFT</t>
  </si>
  <si>
    <t>PERSONNEL LIFT</t>
  </si>
  <si>
    <t>SCAQMD Threshold</t>
  </si>
  <si>
    <t>Trash Pump (3-inch)</t>
  </si>
  <si>
    <t>On-site dump truck</t>
  </si>
  <si>
    <t>All except paved road dust from ARB EMFAC2001 model, version 2.08, South Coast AQMD,  for calendar year 2002, summertime</t>
  </si>
  <si>
    <t>Los Angeles County:  Local Road = 0.240 g/m2, Collector: 0.037 g/m2, Freeway = 0.02 g/m2)</t>
  </si>
  <si>
    <t>375 CFM AIR COMPRESSOR</t>
  </si>
  <si>
    <t>JLG MANLIFT W/ 80' BOOM</t>
  </si>
  <si>
    <t>70 TON MOBILE CRANE</t>
  </si>
  <si>
    <t>35 TON MOBILE CRANE</t>
  </si>
  <si>
    <t>15 TON PICKER CRANE</t>
  </si>
  <si>
    <t>TRACTOR (TRUCK)</t>
  </si>
  <si>
    <t>Pieces of Equipment by Month</t>
  </si>
  <si>
    <t>Bulldozer:</t>
  </si>
  <si>
    <t>On-Site Heavy Equipment</t>
  </si>
  <si>
    <t>Ditch Witch</t>
  </si>
  <si>
    <t>Avg. VOC Emission Factor =</t>
  </si>
  <si>
    <t>Chevron/Air Liquide EIR Construction Emissions</t>
  </si>
  <si>
    <t>Electric</t>
  </si>
  <si>
    <t>Description</t>
  </si>
  <si>
    <t>SCAQMD Theshold = Threshold criteria for determining environmental significance of construction activities,</t>
  </si>
  <si>
    <t xml:space="preserve">as provided in the South Coast Air Quality Management District's 1993 CEQA Handbook for Air Quality Analysis. </t>
  </si>
  <si>
    <t>On-Site Other Fugitive PM10</t>
  </si>
  <si>
    <t>Building Volume Handled</t>
  </si>
  <si>
    <t>ft3/day</t>
  </si>
  <si>
    <t>Source:  Table A9-9-H, Estimating Emissions From Building Wrecking, SCAQMD CEQA Handbook.</t>
  </si>
  <si>
    <t>PM10 Emissions from Building Wrecking</t>
  </si>
  <si>
    <t xml:space="preserve">"On-Site Other Fugitive PM10" includes fugitive PM10 from building wrecking and storage pile wind erosion.  </t>
  </si>
  <si>
    <t>On-Site Building Wrecking</t>
  </si>
  <si>
    <t>On-Site Storage Pile Wind Erosion</t>
  </si>
  <si>
    <t>(Emissions estimates assume no watering)</t>
  </si>
  <si>
    <t>Source:  EPA Tanks v4.0 (Average wind speed for Los Angeles AP, CA)</t>
  </si>
  <si>
    <t>Assumption (see above)</t>
  </si>
  <si>
    <t>Fugitive PM10 emissions from On-Site Heavy Equipment includes traveling on unpaved roads, dozing (dirt pushing), and dirt handling (excavation, dropping).</t>
  </si>
  <si>
    <t>On-Site Subtotal</t>
  </si>
  <si>
    <t>Forklift</t>
  </si>
  <si>
    <t>Crane</t>
  </si>
  <si>
    <t>4100W CRANE W/180 BOOM</t>
  </si>
  <si>
    <t>Average vehicle weight, empty (lb)</t>
  </si>
  <si>
    <t>PM10 Emissions from Building Wrecking (lb/day) = 0.00042 * (Building Volume Handled Per Day [yd3/day])</t>
  </si>
  <si>
    <t>It is assumed that the Ditch Witch acts like a bulldozer (dirt pusher) to grade the site and perform other dirt pushing actvities.</t>
  </si>
  <si>
    <t>A total of three buildings will be demolished (total building volume is 1,130 cubic feet).  It's assumed that all demolition occurs in one day in the first month.</t>
  </si>
  <si>
    <t>Peak Daily Emissions' totals that do not equal the sum of the subtotals mean that peak emissions for individual activities occur on different days.</t>
  </si>
  <si>
    <t>Except for the 70 ton crane, load factors based on SCAQMD CEQA Air Quality Handbook, November 1993, Table A9-8-D (Typical Load Factors for Mobile (Off-Road) Equipment)</t>
  </si>
  <si>
    <t>The 70-ton crane load factor conservatively estimated at 0.2 since only 3 to 4 loads will be carried per work day.</t>
  </si>
  <si>
    <t>No</t>
  </si>
  <si>
    <t xml:space="preserve">          -- Note: equation is the same as Table 9-9-G of the 1993 CEQA Handbook--, where:</t>
  </si>
  <si>
    <t xml:space="preserve">    PM10 Emissions (lb/ton) = k * (0.0032) * ((u / 5)^(1.3) / (M / 2)^(1.4)) </t>
  </si>
  <si>
    <t>Electric Welding Machine</t>
  </si>
  <si>
    <t>Diesel Welding Machine</t>
  </si>
  <si>
    <t>Off-Site Subtotal</t>
  </si>
  <si>
    <t>Peak Daily Construction Emissions</t>
  </si>
  <si>
    <t>Appendix A</t>
  </si>
  <si>
    <t>Emission Calculations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</si>
</sst>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0.0000"/>
    <numFmt numFmtId="170" formatCode="0E+00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167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164" fontId="2" fillId="0" borderId="18" xfId="0" applyNumberFormat="1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6" fontId="3" fillId="0" borderId="13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" fontId="3" fillId="0" borderId="0" xfId="0" applyNumberFormat="1" applyFont="1" applyAlignment="1">
      <alignment/>
    </xf>
    <xf numFmtId="166" fontId="3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9" fontId="3" fillId="0" borderId="0" xfId="57" applyFont="1" applyBorder="1" applyAlignment="1">
      <alignment horizontal="right"/>
    </xf>
    <xf numFmtId="3" fontId="3" fillId="0" borderId="0" xfId="42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>
      <alignment horizontal="center"/>
    </xf>
    <xf numFmtId="170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>
      <alignment horizontal="right"/>
    </xf>
    <xf numFmtId="2" fontId="2" fillId="0" borderId="0" xfId="42" applyNumberFormat="1" applyFont="1" applyAlignment="1" applyProtection="1">
      <alignment horizontal="right"/>
      <protection/>
    </xf>
    <xf numFmtId="0" fontId="3" fillId="0" borderId="0" xfId="0" applyFont="1" applyAlignment="1">
      <alignment textRotation="90"/>
    </xf>
    <xf numFmtId="9" fontId="3" fillId="0" borderId="0" xfId="57" applyFont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9" fontId="3" fillId="0" borderId="0" xfId="57" applyFont="1" applyAlignment="1">
      <alignment horizontal="right"/>
    </xf>
    <xf numFmtId="164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164" fontId="2" fillId="0" borderId="0" xfId="42" applyNumberFormat="1" applyFont="1" applyAlignment="1" applyProtection="1">
      <alignment horizontal="center"/>
      <protection/>
    </xf>
    <xf numFmtId="2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"/>
    </xf>
    <xf numFmtId="166" fontId="2" fillId="0" borderId="17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11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65" fontId="3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4" fillId="0" borderId="13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57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2" fontId="5" fillId="0" borderId="0" xfId="0" applyNumberFormat="1" applyFont="1" applyAlignment="1" quotePrefix="1">
      <alignment horizontal="right"/>
    </xf>
    <xf numFmtId="9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70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2" fontId="6" fillId="0" borderId="0" xfId="42" applyNumberFormat="1" applyFont="1" applyAlignment="1" applyProtection="1">
      <alignment horizontal="right"/>
      <protection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9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65" fontId="3" fillId="0" borderId="19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66" fontId="3" fillId="0" borderId="13" xfId="0" applyNumberFormat="1" applyFont="1" applyBorder="1" applyAlignment="1" quotePrefix="1">
      <alignment horizontal="right"/>
    </xf>
    <xf numFmtId="0" fontId="3" fillId="0" borderId="0" xfId="0" applyFont="1" applyAlignment="1" quotePrefix="1">
      <alignment/>
    </xf>
    <xf numFmtId="1" fontId="3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16"/>
  <sheetViews>
    <sheetView zoomScalePageLayoutView="0" workbookViewId="0" topLeftCell="A1">
      <selection activeCell="G7" sqref="G7"/>
    </sheetView>
  </sheetViews>
  <sheetFormatPr defaultColWidth="9.140625" defaultRowHeight="12.75"/>
  <sheetData>
    <row r="14" spans="1:9" ht="12.75">
      <c r="A14" s="141" t="s">
        <v>273</v>
      </c>
      <c r="B14" s="141"/>
      <c r="C14" s="142"/>
      <c r="D14" s="142"/>
      <c r="E14" s="142"/>
      <c r="F14" s="142"/>
      <c r="G14" s="142"/>
      <c r="H14" s="142"/>
      <c r="I14" s="142"/>
    </row>
    <row r="15" spans="1:2" ht="12.75">
      <c r="A15" s="140"/>
      <c r="B15" s="140"/>
    </row>
    <row r="16" spans="1:2" ht="12.75">
      <c r="A16" s="140" t="s">
        <v>274</v>
      </c>
      <c r="B16" s="140"/>
    </row>
  </sheetData>
  <sheetProtection/>
  <printOptions/>
  <pageMargins left="0.75" right="0.75" top="1" bottom="1" header="0.5" footer="0.5"/>
  <pageSetup horizontalDpi="400" verticalDpi="4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23">
      <selection activeCell="L33" sqref="L33"/>
    </sheetView>
  </sheetViews>
  <sheetFormatPr defaultColWidth="9.140625" defaultRowHeight="12.75"/>
  <sheetData/>
  <sheetProtection/>
  <printOptions horizontalCentered="1"/>
  <pageMargins left="0.75" right="0.25" top="0.75" bottom="0.75" header="0.5" footer="0.5"/>
  <pageSetup fitToHeight="1" fitToWidth="1" horizontalDpi="400" verticalDpi="400" orientation="portrait" scale="87" r:id="rId4"/>
  <headerFooter alignWithMargins="0">
    <oddFooter>&amp;C&amp;"Times New Roman,Regular"&amp;12A-18</oddFooter>
  </headerFooter>
  <legacyDrawing r:id="rId3"/>
  <oleObjects>
    <oleObject progId="Word.Document.8" shapeId="980224" r:id="rId1"/>
    <oleObject progId="Word.Document.8" shapeId="980223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zoomScalePageLayoutView="0" workbookViewId="0" topLeftCell="A1">
      <selection activeCell="K62" sqref="K59:K62"/>
    </sheetView>
  </sheetViews>
  <sheetFormatPr defaultColWidth="9.140625" defaultRowHeight="12.75"/>
  <sheetData/>
  <sheetProtection/>
  <printOptions horizontalCentered="1"/>
  <pageMargins left="0.75" right="0.75" top="1" bottom="1" header="0.5" footer="0.5"/>
  <pageSetup fitToHeight="1" fitToWidth="1" horizontalDpi="400" verticalDpi="400" orientation="portrait" scale="89" r:id="rId3"/>
  <headerFooter alignWithMargins="0">
    <oddFooter>&amp;C&amp;"Times New Roman,Regular"&amp;12A-19</oddFooter>
  </headerFooter>
  <legacyDrawing r:id="rId2"/>
  <oleObjects>
    <oleObject progId="Word.Document.8" shapeId="9802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showGridLines="0" zoomScalePageLayoutView="0" workbookViewId="0" topLeftCell="A108">
      <selection activeCell="O21" sqref="O21"/>
    </sheetView>
  </sheetViews>
  <sheetFormatPr defaultColWidth="9.140625" defaultRowHeight="12.75"/>
  <cols>
    <col min="1" max="1" width="27.7109375" style="3" bestFit="1" customWidth="1"/>
    <col min="2" max="22" width="7.57421875" style="3" customWidth="1"/>
    <col min="23" max="16384" width="9.140625" style="3" customWidth="1"/>
  </cols>
  <sheetData>
    <row r="1" spans="1:8" ht="13.5">
      <c r="A1" s="1" t="s">
        <v>238</v>
      </c>
      <c r="B1" s="2"/>
      <c r="C1" s="2"/>
      <c r="D1" s="2"/>
      <c r="E1" s="2"/>
      <c r="F1" s="2"/>
      <c r="G1" s="2"/>
      <c r="H1" s="2"/>
    </row>
    <row r="2" spans="1:8" ht="13.5">
      <c r="A2" s="1"/>
      <c r="B2" s="2"/>
      <c r="C2" s="2"/>
      <c r="D2" s="2"/>
      <c r="E2" s="2"/>
      <c r="F2" s="2"/>
      <c r="G2" s="2"/>
      <c r="H2" s="2"/>
    </row>
    <row r="3" spans="1:8" ht="13.5">
      <c r="A3" s="4" t="s">
        <v>195</v>
      </c>
      <c r="B3" s="2"/>
      <c r="C3" s="2"/>
      <c r="D3" s="2"/>
      <c r="E3" s="2"/>
      <c r="F3" s="2"/>
      <c r="G3" s="2"/>
      <c r="H3" s="2"/>
    </row>
    <row r="4" spans="8:16" ht="13.5">
      <c r="H4" s="2"/>
      <c r="I4" s="2"/>
      <c r="P4" s="2"/>
    </row>
    <row r="6" spans="2:8" ht="13.5">
      <c r="B6" s="6" t="s">
        <v>83</v>
      </c>
      <c r="C6" s="9"/>
      <c r="D6" s="9"/>
      <c r="E6" s="9"/>
      <c r="F6" s="9"/>
      <c r="G6" s="9"/>
      <c r="H6" s="10"/>
    </row>
    <row r="7" spans="1:8" ht="27">
      <c r="A7" s="11" t="s">
        <v>46</v>
      </c>
      <c r="B7" s="12" t="s">
        <v>0</v>
      </c>
      <c r="C7" s="12" t="s">
        <v>1</v>
      </c>
      <c r="D7" s="12" t="s">
        <v>12</v>
      </c>
      <c r="E7" s="12" t="s">
        <v>79</v>
      </c>
      <c r="F7" s="12" t="s">
        <v>56</v>
      </c>
      <c r="G7" s="12" t="s">
        <v>57</v>
      </c>
      <c r="H7" s="12" t="s">
        <v>58</v>
      </c>
    </row>
    <row r="8" spans="1:8" ht="13.5">
      <c r="A8" s="129" t="s">
        <v>235</v>
      </c>
      <c r="B8" s="51">
        <f>SUM(B69:M69)*21/2000</f>
        <v>7.045017903</v>
      </c>
      <c r="C8" s="51">
        <f>SUM($B56:M56)*21/2000</f>
        <v>0.9223403175000001</v>
      </c>
      <c r="D8" s="51">
        <f>SUM(B69:M69)*21/2000</f>
        <v>7.045017903</v>
      </c>
      <c r="E8" s="51">
        <f>SUM(B83:M83)*21/2000</f>
        <v>0.11384442083152174</v>
      </c>
      <c r="F8" s="51">
        <f>SUM(B96:M96)*21/2000</f>
        <v>0.38000122649999996</v>
      </c>
      <c r="G8" s="51">
        <f>SUM(B109:M109)*21/2000</f>
        <v>2.1068742953211785</v>
      </c>
      <c r="H8" s="51">
        <f>SUM(B126:M126)*21/2000</f>
        <v>2.486875521821179</v>
      </c>
    </row>
    <row r="9" spans="1:8" ht="13.5">
      <c r="A9" s="129" t="s">
        <v>47</v>
      </c>
      <c r="B9" s="51">
        <f>SUM(B44:M44)*21/2000</f>
        <v>0.3270231481481481</v>
      </c>
      <c r="C9" s="51">
        <f>SUM($B57:M57)*21/2000</f>
        <v>0.03540648148148147</v>
      </c>
      <c r="D9" s="51">
        <f>SUM(B70:M70)*21/2000</f>
        <v>0.2367361111111111</v>
      </c>
      <c r="E9" s="51">
        <f>SUM(B84:M84)*21/2000</f>
        <v>0</v>
      </c>
      <c r="F9" s="51">
        <f>SUM(B97:M97)*21/2000</f>
        <v>0.0019745370370370364</v>
      </c>
      <c r="G9" s="51">
        <f>SUM(B110:M110)*21/2000</f>
        <v>0.08594459209120328</v>
      </c>
      <c r="H9" s="51">
        <f>SUM(B127:M127)*21/2000</f>
        <v>0.08791912912824032</v>
      </c>
    </row>
    <row r="10" spans="1:8" ht="13.5">
      <c r="A10" s="129" t="s">
        <v>243</v>
      </c>
      <c r="B10" s="51">
        <f>SUM($B45:$M45)*21/2000</f>
        <v>0</v>
      </c>
      <c r="C10" s="51">
        <f>SUM($B58:M58)*21/2000</f>
        <v>0</v>
      </c>
      <c r="D10" s="51">
        <f>SUM(B71:M71)*21/2000</f>
        <v>0</v>
      </c>
      <c r="E10" s="51">
        <f>SUM(B85:M85)*21/2000</f>
        <v>0</v>
      </c>
      <c r="F10" s="51">
        <f>SUM(B98:M98)*21/2000</f>
        <v>0</v>
      </c>
      <c r="G10" s="51">
        <f>SUM(B111:M111)*21/2000</f>
        <v>0.01971512517730496</v>
      </c>
      <c r="H10" s="51">
        <f>SUM(B128:M128)*21/2000</f>
        <v>0.01971512517730496</v>
      </c>
    </row>
    <row r="11" spans="1:8" ht="13.5">
      <c r="A11" s="129" t="s">
        <v>48</v>
      </c>
      <c r="B11" s="51">
        <f>SUM($B46:$M46)*21/2000</f>
        <v>0</v>
      </c>
      <c r="C11" s="51">
        <f>SUM($B59:M59)*21/2000</f>
        <v>0.4136098374322634</v>
      </c>
      <c r="D11" s="51">
        <f>SUM(B72:M72)*21/2000</f>
        <v>0</v>
      </c>
      <c r="E11" s="51">
        <f>SUM(B86:M86)*21/2000</f>
        <v>0</v>
      </c>
      <c r="F11" s="51">
        <f>SUM(B99:M99)*21/2000</f>
        <v>0</v>
      </c>
      <c r="G11" s="51">
        <f>SUM(B112:M112)*21/2000</f>
        <v>0</v>
      </c>
      <c r="H11" s="51">
        <f>SUM(B129:M129)*21/2000</f>
        <v>0</v>
      </c>
    </row>
    <row r="12" spans="1:8" ht="13.5">
      <c r="A12" s="130" t="s">
        <v>255</v>
      </c>
      <c r="B12" s="52">
        <f aca="true" t="shared" si="0" ref="B12:H12">SUM(B8:B11)</f>
        <v>7.372041051148148</v>
      </c>
      <c r="C12" s="52">
        <f t="shared" si="0"/>
        <v>1.371356636413745</v>
      </c>
      <c r="D12" s="52">
        <f t="shared" si="0"/>
        <v>7.281754014111111</v>
      </c>
      <c r="E12" s="52">
        <f t="shared" si="0"/>
        <v>0.11384442083152174</v>
      </c>
      <c r="F12" s="52">
        <f t="shared" si="0"/>
        <v>0.381975763537037</v>
      </c>
      <c r="G12" s="52">
        <f t="shared" si="0"/>
        <v>2.212534012589687</v>
      </c>
      <c r="H12" s="52">
        <f t="shared" si="0"/>
        <v>2.5945097761267246</v>
      </c>
    </row>
    <row r="13" spans="1:8" ht="13.5">
      <c r="A13" s="129" t="s">
        <v>49</v>
      </c>
      <c r="B13" s="51">
        <f>SUM($B48:$M48)*21/2000</f>
        <v>11.511964583333336</v>
      </c>
      <c r="C13" s="51">
        <f>SUM($B61:M61)*21/2000</f>
        <v>1.1450572222222224</v>
      </c>
      <c r="D13" s="51">
        <f>SUM(B74:M74)*21/2000</f>
        <v>1.4087205092592594</v>
      </c>
      <c r="E13" s="51">
        <f>SUM(B88:M88)*21/2000</f>
        <v>0.2205</v>
      </c>
      <c r="F13" s="51">
        <f>SUM(B101:M101)*21/2000</f>
        <v>0.017164328703703706</v>
      </c>
      <c r="G13" s="51">
        <f>SUM(B114:M114)*21/2000</f>
        <v>0.32695616638141245</v>
      </c>
      <c r="H13" s="51">
        <f>SUM(B131:M131)*21/2000</f>
        <v>0.3441204950851162</v>
      </c>
    </row>
    <row r="14" spans="1:8" ht="13.5">
      <c r="A14" s="131" t="s">
        <v>271</v>
      </c>
      <c r="B14" s="93">
        <f aca="true" t="shared" si="1" ref="B14:H14">B13</f>
        <v>11.511964583333336</v>
      </c>
      <c r="C14" s="93">
        <f t="shared" si="1"/>
        <v>1.1450572222222224</v>
      </c>
      <c r="D14" s="93">
        <f t="shared" si="1"/>
        <v>1.4087205092592594</v>
      </c>
      <c r="E14" s="93">
        <f t="shared" si="1"/>
        <v>0.2205</v>
      </c>
      <c r="F14" s="93">
        <f t="shared" si="1"/>
        <v>0.017164328703703706</v>
      </c>
      <c r="G14" s="93">
        <f t="shared" si="1"/>
        <v>0.32695616638141245</v>
      </c>
      <c r="H14" s="93">
        <f t="shared" si="1"/>
        <v>0.3441204950851162</v>
      </c>
    </row>
    <row r="15" spans="1:8" ht="13.5">
      <c r="A15" s="130" t="s">
        <v>11</v>
      </c>
      <c r="B15" s="52">
        <f aca="true" t="shared" si="2" ref="B15:H15">B12+B14</f>
        <v>18.884005634481483</v>
      </c>
      <c r="C15" s="52">
        <f t="shared" si="2"/>
        <v>2.5164138586359677</v>
      </c>
      <c r="D15" s="52">
        <f t="shared" si="2"/>
        <v>8.69047452337037</v>
      </c>
      <c r="E15" s="52">
        <f t="shared" si="2"/>
        <v>0.3343444208315217</v>
      </c>
      <c r="F15" s="52">
        <f t="shared" si="2"/>
        <v>0.3991400922407407</v>
      </c>
      <c r="G15" s="52">
        <f t="shared" si="2"/>
        <v>2.539490178971099</v>
      </c>
      <c r="H15" s="52">
        <f t="shared" si="2"/>
        <v>2.938630271211841</v>
      </c>
    </row>
    <row r="17" ht="13.5">
      <c r="A17" s="1"/>
    </row>
    <row r="18" ht="13.5">
      <c r="A18" s="4" t="s">
        <v>272</v>
      </c>
    </row>
    <row r="19" spans="1:8" ht="13.5">
      <c r="A19" s="5"/>
      <c r="B19" s="2"/>
      <c r="C19" s="2"/>
      <c r="D19" s="2"/>
      <c r="E19" s="2"/>
      <c r="F19" s="2"/>
      <c r="G19" s="2"/>
      <c r="H19" s="2"/>
    </row>
    <row r="20" spans="2:8" ht="13.5">
      <c r="B20" s="6" t="s">
        <v>61</v>
      </c>
      <c r="C20" s="7"/>
      <c r="D20" s="7"/>
      <c r="E20" s="7"/>
      <c r="F20" s="7"/>
      <c r="G20" s="7"/>
      <c r="H20" s="8"/>
    </row>
    <row r="21" spans="1:8" ht="27">
      <c r="A21" s="11" t="s">
        <v>46</v>
      </c>
      <c r="B21" s="12" t="s">
        <v>0</v>
      </c>
      <c r="C21" s="12" t="s">
        <v>1</v>
      </c>
      <c r="D21" s="12" t="s">
        <v>12</v>
      </c>
      <c r="E21" s="12" t="s">
        <v>79</v>
      </c>
      <c r="F21" s="12" t="s">
        <v>56</v>
      </c>
      <c r="G21" s="12" t="s">
        <v>57</v>
      </c>
      <c r="H21" s="12" t="s">
        <v>58</v>
      </c>
    </row>
    <row r="22" spans="1:8" ht="13.5">
      <c r="A22" s="13" t="str">
        <f>A$8</f>
        <v>On-Site Heavy Equipment</v>
      </c>
      <c r="B22" s="138">
        <f>H43</f>
        <v>37.44810224999999</v>
      </c>
      <c r="C22" s="138">
        <f>K56</f>
        <v>7.028869500000001</v>
      </c>
      <c r="D22" s="138">
        <f>F69</f>
        <v>85.94649449999999</v>
      </c>
      <c r="E22" s="138">
        <f>M83</f>
        <v>0.592112085326087</v>
      </c>
      <c r="F22" s="138">
        <f>F96</f>
        <v>4.58320725</v>
      </c>
      <c r="G22" s="138">
        <f>F109</f>
        <v>29.819417296681003</v>
      </c>
      <c r="H22" s="138">
        <f>F126</f>
        <v>34.402624546681004</v>
      </c>
    </row>
    <row r="23" spans="1:8" ht="13.5">
      <c r="A23" s="13" t="str">
        <f>A$9</f>
        <v>On-Site Motor Vehicles</v>
      </c>
      <c r="B23" s="138">
        <f>H44</f>
        <v>3.520833333333333</v>
      </c>
      <c r="C23" s="138">
        <f>K57</f>
        <v>0.37686728395061725</v>
      </c>
      <c r="D23" s="138">
        <f>F70</f>
        <v>2.5767195767195763</v>
      </c>
      <c r="E23" s="138">
        <f>M84</f>
        <v>0</v>
      </c>
      <c r="F23" s="138">
        <f>F97</f>
        <v>0.03337742504409171</v>
      </c>
      <c r="G23" s="138">
        <f>F110</f>
        <v>1.5132171967111354</v>
      </c>
      <c r="H23" s="138">
        <f>F127</f>
        <v>1.546594621755227</v>
      </c>
    </row>
    <row r="24" spans="1:8" ht="13.5">
      <c r="A24" s="13" t="str">
        <f>A$10</f>
        <v>On-Site Other Fugitive PM10</v>
      </c>
      <c r="B24" s="138">
        <f>H45</f>
        <v>0</v>
      </c>
      <c r="C24" s="138">
        <f>K58</f>
        <v>0</v>
      </c>
      <c r="D24" s="138">
        <f>F71</f>
        <v>0</v>
      </c>
      <c r="E24" s="138">
        <f>M85</f>
        <v>0</v>
      </c>
      <c r="F24" s="138">
        <f>F98</f>
        <v>0</v>
      </c>
      <c r="G24" s="138">
        <f>F111</f>
        <v>0.21882978723404253</v>
      </c>
      <c r="H24" s="138">
        <f>F128</f>
        <v>0.21882978723404253</v>
      </c>
    </row>
    <row r="25" spans="1:8" ht="13.5">
      <c r="A25" s="13" t="str">
        <f>A$11</f>
        <v>On-Site Architectural Coating</v>
      </c>
      <c r="B25" s="138">
        <f>H46</f>
        <v>0</v>
      </c>
      <c r="C25" s="138">
        <f>K59</f>
        <v>11.671529804085035</v>
      </c>
      <c r="D25" s="138">
        <f>F72</f>
        <v>0</v>
      </c>
      <c r="E25" s="138">
        <f>M86</f>
        <v>0</v>
      </c>
      <c r="F25" s="138">
        <f>F99</f>
        <v>0</v>
      </c>
      <c r="G25" s="138">
        <f>F112</f>
        <v>0</v>
      </c>
      <c r="H25" s="138">
        <f>F129</f>
        <v>0</v>
      </c>
    </row>
    <row r="26" spans="1:8" ht="13.5">
      <c r="A26" s="16" t="str">
        <f>A$12</f>
        <v>On-Site Subtotal</v>
      </c>
      <c r="B26" s="139">
        <f aca="true" t="shared" si="3" ref="B26:H26">SUM(B22:B25)</f>
        <v>40.96893558333333</v>
      </c>
      <c r="C26" s="139">
        <f t="shared" si="3"/>
        <v>19.077266588035652</v>
      </c>
      <c r="D26" s="139">
        <f t="shared" si="3"/>
        <v>88.52321407671957</v>
      </c>
      <c r="E26" s="139">
        <f t="shared" si="3"/>
        <v>0.592112085326087</v>
      </c>
      <c r="F26" s="139">
        <f t="shared" si="3"/>
        <v>4.616584675044092</v>
      </c>
      <c r="G26" s="139">
        <f t="shared" si="3"/>
        <v>31.55146428062618</v>
      </c>
      <c r="H26" s="139">
        <f t="shared" si="3"/>
        <v>36.16804895567027</v>
      </c>
    </row>
    <row r="27" spans="1:8" ht="13.5">
      <c r="A27" s="13" t="str">
        <f>A$13</f>
        <v>Off-Site Motor Vehicles</v>
      </c>
      <c r="B27" s="138">
        <f>H48</f>
        <v>151.60267857142858</v>
      </c>
      <c r="C27" s="138">
        <f>K61</f>
        <v>13.389550264550266</v>
      </c>
      <c r="D27" s="138">
        <f>F74</f>
        <v>10.799466490299825</v>
      </c>
      <c r="E27" s="138">
        <f>M88</f>
        <v>6</v>
      </c>
      <c r="F27" s="138">
        <f>F101</f>
        <v>0.13739969135802468</v>
      </c>
      <c r="G27" s="138">
        <f>F114</f>
        <v>2.653349738878718</v>
      </c>
      <c r="H27" s="138">
        <f>F131</f>
        <v>2.790749430236743</v>
      </c>
    </row>
    <row r="28" spans="1:8" ht="13.5">
      <c r="A28" s="16" t="str">
        <f>A$14</f>
        <v>Off-Site Subtotal</v>
      </c>
      <c r="B28" s="139">
        <f aca="true" t="shared" si="4" ref="B28:H28">SUM(B27)</f>
        <v>151.60267857142858</v>
      </c>
      <c r="C28" s="139">
        <f t="shared" si="4"/>
        <v>13.389550264550266</v>
      </c>
      <c r="D28" s="139">
        <f t="shared" si="4"/>
        <v>10.799466490299825</v>
      </c>
      <c r="E28" s="139">
        <f t="shared" si="4"/>
        <v>6</v>
      </c>
      <c r="F28" s="139">
        <f t="shared" si="4"/>
        <v>0.13739969135802468</v>
      </c>
      <c r="G28" s="139">
        <f t="shared" si="4"/>
        <v>2.653349738878718</v>
      </c>
      <c r="H28" s="139">
        <f t="shared" si="4"/>
        <v>2.790749430236743</v>
      </c>
    </row>
    <row r="29" spans="1:8" ht="13.5">
      <c r="A29" s="16" t="str">
        <f>A$15</f>
        <v>Total</v>
      </c>
      <c r="B29" s="139">
        <f aca="true" t="shared" si="5" ref="B29:H29">B26+B28</f>
        <v>192.5716141547619</v>
      </c>
      <c r="C29" s="139">
        <f t="shared" si="5"/>
        <v>32.46681685258592</v>
      </c>
      <c r="D29" s="139">
        <f t="shared" si="5"/>
        <v>99.32268056701939</v>
      </c>
      <c r="E29" s="139">
        <f t="shared" si="5"/>
        <v>6.592112085326087</v>
      </c>
      <c r="F29" s="139">
        <f t="shared" si="5"/>
        <v>4.753984366402117</v>
      </c>
      <c r="G29" s="139">
        <f t="shared" si="5"/>
        <v>34.2048140195049</v>
      </c>
      <c r="H29" s="139">
        <f t="shared" si="5"/>
        <v>38.958798385907016</v>
      </c>
    </row>
    <row r="30" spans="1:8" ht="13.5">
      <c r="A30" s="18" t="s">
        <v>222</v>
      </c>
      <c r="B30" s="53">
        <v>550</v>
      </c>
      <c r="C30" s="53">
        <v>75</v>
      </c>
      <c r="D30" s="53">
        <v>100</v>
      </c>
      <c r="E30" s="105">
        <v>150</v>
      </c>
      <c r="F30" s="105" t="s">
        <v>117</v>
      </c>
      <c r="G30" s="105" t="s">
        <v>117</v>
      </c>
      <c r="H30" s="53">
        <v>150</v>
      </c>
    </row>
    <row r="31" spans="1:8" ht="13.5">
      <c r="A31" s="13" t="s">
        <v>55</v>
      </c>
      <c r="B31" s="34" t="str">
        <f>IF(B29&gt;B30,"Yes","No")</f>
        <v>No</v>
      </c>
      <c r="C31" s="34" t="str">
        <f>IF(C29&gt;C30,"Yes","No")</f>
        <v>No</v>
      </c>
      <c r="D31" s="34" t="str">
        <f>IF(D29&gt;D30,"Yes","No")</f>
        <v>No</v>
      </c>
      <c r="E31" s="137" t="s">
        <v>266</v>
      </c>
      <c r="F31" s="105" t="s">
        <v>117</v>
      </c>
      <c r="G31" s="105" t="s">
        <v>117</v>
      </c>
      <c r="H31" s="34" t="str">
        <f>IF(H29&gt;H30,"Yes","No")</f>
        <v>No</v>
      </c>
    </row>
    <row r="32" spans="1:8" ht="13.5">
      <c r="A32" s="20"/>
      <c r="B32" s="21"/>
      <c r="C32" s="21"/>
      <c r="D32" s="21"/>
      <c r="E32" s="21"/>
      <c r="F32" s="20"/>
      <c r="G32" s="20"/>
      <c r="H32" s="21"/>
    </row>
    <row r="33" ht="13.5">
      <c r="A33" s="3" t="s">
        <v>54</v>
      </c>
    </row>
    <row r="34" ht="13.5">
      <c r="A34" s="3" t="s">
        <v>241</v>
      </c>
    </row>
    <row r="35" ht="13.5">
      <c r="A35" s="3" t="s">
        <v>242</v>
      </c>
    </row>
    <row r="36" ht="13.5">
      <c r="A36" s="136" t="s">
        <v>263</v>
      </c>
    </row>
    <row r="37" ht="13.5">
      <c r="A37" s="3" t="s">
        <v>248</v>
      </c>
    </row>
    <row r="39" spans="1:16" ht="13.5">
      <c r="A39" s="1"/>
      <c r="B39" s="2"/>
      <c r="C39" s="2"/>
      <c r="D39" s="2"/>
      <c r="E39" s="2"/>
      <c r="F39" s="2"/>
      <c r="G39" s="2"/>
      <c r="H39" s="2"/>
      <c r="I39" s="2"/>
      <c r="P39" s="2"/>
    </row>
    <row r="40" spans="1:16" ht="13.5">
      <c r="A40" s="22" t="s">
        <v>62</v>
      </c>
      <c r="B40" s="23"/>
      <c r="C40" s="23"/>
      <c r="D40" s="23"/>
      <c r="E40" s="23"/>
      <c r="F40" s="23"/>
      <c r="G40" s="23"/>
      <c r="H40" s="2"/>
      <c r="I40" s="2"/>
      <c r="P40" s="2"/>
    </row>
    <row r="41" spans="1:17" ht="13.5">
      <c r="A41" s="144" t="s">
        <v>46</v>
      </c>
      <c r="B41" s="24" t="s">
        <v>10</v>
      </c>
      <c r="C41" s="7"/>
      <c r="D41" s="7"/>
      <c r="E41" s="7"/>
      <c r="F41" s="7"/>
      <c r="G41" s="7"/>
      <c r="H41" s="7"/>
      <c r="I41" s="7"/>
      <c r="J41" s="9"/>
      <c r="K41" s="9"/>
      <c r="L41" s="9"/>
      <c r="M41" s="10"/>
      <c r="P41" s="2"/>
      <c r="Q41" s="25"/>
    </row>
    <row r="42" spans="1:17" ht="13.5">
      <c r="A42" s="144"/>
      <c r="B42" s="26">
        <v>1</v>
      </c>
      <c r="C42" s="26">
        <v>2</v>
      </c>
      <c r="D42" s="26">
        <v>3</v>
      </c>
      <c r="E42" s="26">
        <v>4</v>
      </c>
      <c r="F42" s="26">
        <v>5</v>
      </c>
      <c r="G42" s="26">
        <v>6</v>
      </c>
      <c r="H42" s="26">
        <v>7</v>
      </c>
      <c r="I42" s="26">
        <v>8</v>
      </c>
      <c r="J42" s="26">
        <v>9</v>
      </c>
      <c r="K42" s="26">
        <v>10</v>
      </c>
      <c r="L42" s="26">
        <v>11</v>
      </c>
      <c r="M42" s="26">
        <v>12</v>
      </c>
      <c r="P42" s="2"/>
      <c r="Q42" s="25"/>
    </row>
    <row r="43" spans="1:16" ht="13.5">
      <c r="A43" s="13" t="str">
        <f>A$8</f>
        <v>On-Site Heavy Equipment</v>
      </c>
      <c r="B43" s="57">
        <f>'Tables A10-A14'!B24</f>
        <v>13.22325</v>
      </c>
      <c r="C43" s="57">
        <f>'Tables A10-A14'!C24</f>
        <v>21.835979999999996</v>
      </c>
      <c r="D43" s="57">
        <f>'Tables A10-A14'!D24</f>
        <v>26.629154999999997</v>
      </c>
      <c r="E43" s="57">
        <f>'Tables A10-A14'!E24</f>
        <v>35.43052725</v>
      </c>
      <c r="F43" s="57">
        <f>'Tables A10-A14'!F24</f>
        <v>47.920221000000005</v>
      </c>
      <c r="G43" s="57">
        <f>'Tables A10-A14'!G24</f>
        <v>37.77952725</v>
      </c>
      <c r="H43" s="57">
        <f>'Tables A10-A14'!H24</f>
        <v>37.44810224999999</v>
      </c>
      <c r="I43" s="57">
        <f>'Tables A10-A14'!I24</f>
        <v>33.72210225</v>
      </c>
      <c r="J43" s="57">
        <f>'Tables A10-A14'!J24</f>
        <v>33.97860225</v>
      </c>
      <c r="K43" s="57">
        <f>'Tables A10-A14'!K24</f>
        <v>27.914233499999998</v>
      </c>
      <c r="L43" s="57">
        <f>'Tables A10-A14'!L24</f>
        <v>27.914233499999998</v>
      </c>
      <c r="M43" s="57">
        <f>'Tables A10-A14'!M24</f>
        <v>18.97436475</v>
      </c>
      <c r="P43" s="2"/>
    </row>
    <row r="44" spans="1:16" ht="13.5">
      <c r="A44" s="13" t="str">
        <f>A$9</f>
        <v>On-Site Motor Vehicles</v>
      </c>
      <c r="B44" s="57">
        <f>'Tables A18-A25'!B29</f>
        <v>0.6962742504409171</v>
      </c>
      <c r="C44" s="57">
        <f>'Tables A18-A25'!C29</f>
        <v>1.1992504409171076</v>
      </c>
      <c r="D44" s="57">
        <f>'Tables A18-A25'!D29</f>
        <v>1.1992504409171076</v>
      </c>
      <c r="E44" s="57">
        <f>'Tables A18-A25'!E29</f>
        <v>2.2052028218694883</v>
      </c>
      <c r="F44" s="57">
        <f>'Tables A18-A25'!F29</f>
        <v>3.2111552028218693</v>
      </c>
      <c r="G44" s="57">
        <f>'Tables A18-A25'!G29</f>
        <v>3.520833333333333</v>
      </c>
      <c r="H44" s="57">
        <f>'Tables A18-A25'!H29</f>
        <v>3.520833333333333</v>
      </c>
      <c r="I44" s="57">
        <f>'Tables A18-A25'!I29</f>
        <v>3.520833333333333</v>
      </c>
      <c r="J44" s="57">
        <f>'Tables A18-A25'!J29</f>
        <v>3.520833333333333</v>
      </c>
      <c r="K44" s="57">
        <f>'Tables A18-A25'!K29</f>
        <v>3.520833333333333</v>
      </c>
      <c r="L44" s="57">
        <f>'Tables A18-A25'!L29</f>
        <v>3.520833333333333</v>
      </c>
      <c r="M44" s="57">
        <f>'Tables A18-A25'!M29</f>
        <v>1.5089285714285714</v>
      </c>
      <c r="P44" s="2"/>
    </row>
    <row r="45" spans="1:16" ht="13.5">
      <c r="A45" s="13" t="str">
        <f>A$10</f>
        <v>On-Site Other Fugitive PM10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P45" s="2"/>
    </row>
    <row r="46" spans="1:16" ht="13.5">
      <c r="A46" s="13" t="str">
        <f>A$11</f>
        <v>On-Site Architectural Coating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P46" s="2"/>
    </row>
    <row r="47" spans="1:16" ht="13.5">
      <c r="A47" s="16" t="str">
        <f>A$12</f>
        <v>On-Site Subtotal</v>
      </c>
      <c r="B47" s="58">
        <f>SUM(B43:B46)</f>
        <v>13.919524250440917</v>
      </c>
      <c r="C47" s="58">
        <f aca="true" t="shared" si="6" ref="C47:M47">SUM(C43:C46)</f>
        <v>23.035230440917104</v>
      </c>
      <c r="D47" s="58">
        <f t="shared" si="6"/>
        <v>27.828405440917106</v>
      </c>
      <c r="E47" s="58">
        <f t="shared" si="6"/>
        <v>37.63573007186949</v>
      </c>
      <c r="F47" s="58">
        <f t="shared" si="6"/>
        <v>51.131376202821876</v>
      </c>
      <c r="G47" s="58">
        <f t="shared" si="6"/>
        <v>41.30036058333334</v>
      </c>
      <c r="H47" s="58">
        <f t="shared" si="6"/>
        <v>40.96893558333333</v>
      </c>
      <c r="I47" s="58">
        <f t="shared" si="6"/>
        <v>37.242935583333335</v>
      </c>
      <c r="J47" s="58">
        <f t="shared" si="6"/>
        <v>37.49943558333334</v>
      </c>
      <c r="K47" s="58">
        <f t="shared" si="6"/>
        <v>31.43506683333333</v>
      </c>
      <c r="L47" s="58">
        <f t="shared" si="6"/>
        <v>31.43506683333333</v>
      </c>
      <c r="M47" s="58">
        <f t="shared" si="6"/>
        <v>20.483293321428572</v>
      </c>
      <c r="P47" s="2"/>
    </row>
    <row r="48" spans="1:16" ht="13.5">
      <c r="A48" s="13" t="str">
        <f>A$13</f>
        <v>Off-Site Motor Vehicles</v>
      </c>
      <c r="B48" s="57">
        <f>'Tables A18-A25'!B30</f>
        <v>13.099801587301588</v>
      </c>
      <c r="C48" s="57">
        <f>'Tables A18-A25'!C30</f>
        <v>24.615674603174604</v>
      </c>
      <c r="D48" s="57">
        <f>'Tables A18-A25'!D30</f>
        <v>39.51359126984127</v>
      </c>
      <c r="E48" s="57">
        <f>'Tables A18-A25'!E30</f>
        <v>58.668055555555554</v>
      </c>
      <c r="F48" s="57">
        <f>'Tables A18-A25'!F30</f>
        <v>84.91676587301588</v>
      </c>
      <c r="G48" s="57">
        <f>'Tables A18-A25'!G30</f>
        <v>118.25972222222222</v>
      </c>
      <c r="H48" s="57">
        <f>'Tables A18-A25'!H30</f>
        <v>151.60267857142858</v>
      </c>
      <c r="I48" s="57">
        <f>'Tables A18-A25'!I30</f>
        <v>132.4482142857143</v>
      </c>
      <c r="J48" s="57">
        <f>'Tables A18-A25'!J30</f>
        <v>135.9953373015873</v>
      </c>
      <c r="K48" s="57">
        <f>'Tables A18-A25'!K30</f>
        <v>135.12083333333334</v>
      </c>
      <c r="L48" s="57">
        <f>'Tables A18-A25'!L30</f>
        <v>123.77003968253969</v>
      </c>
      <c r="M48" s="57">
        <f>'Tables A18-A25'!M30</f>
        <v>78.36686507936508</v>
      </c>
      <c r="P48" s="2"/>
    </row>
    <row r="49" spans="1:16" ht="13.5">
      <c r="A49" s="16" t="str">
        <f>A$14</f>
        <v>Off-Site Subtotal</v>
      </c>
      <c r="B49" s="58">
        <f aca="true" t="shared" si="7" ref="B49:G49">B48</f>
        <v>13.099801587301588</v>
      </c>
      <c r="C49" s="58">
        <f t="shared" si="7"/>
        <v>24.615674603174604</v>
      </c>
      <c r="D49" s="58">
        <f t="shared" si="7"/>
        <v>39.51359126984127</v>
      </c>
      <c r="E49" s="58">
        <f t="shared" si="7"/>
        <v>58.668055555555554</v>
      </c>
      <c r="F49" s="58">
        <f t="shared" si="7"/>
        <v>84.91676587301588</v>
      </c>
      <c r="G49" s="58">
        <f t="shared" si="7"/>
        <v>118.25972222222222</v>
      </c>
      <c r="H49" s="58">
        <f aca="true" t="shared" si="8" ref="H49:M49">H48</f>
        <v>151.60267857142858</v>
      </c>
      <c r="I49" s="58">
        <f t="shared" si="8"/>
        <v>132.4482142857143</v>
      </c>
      <c r="J49" s="58">
        <f t="shared" si="8"/>
        <v>135.9953373015873</v>
      </c>
      <c r="K49" s="58">
        <f t="shared" si="8"/>
        <v>135.12083333333334</v>
      </c>
      <c r="L49" s="58">
        <f t="shared" si="8"/>
        <v>123.77003968253969</v>
      </c>
      <c r="M49" s="58">
        <f t="shared" si="8"/>
        <v>78.36686507936508</v>
      </c>
      <c r="P49" s="2"/>
    </row>
    <row r="50" spans="1:16" ht="13.5">
      <c r="A50" s="16" t="str">
        <f>A$15</f>
        <v>Total</v>
      </c>
      <c r="B50" s="58">
        <f aca="true" t="shared" si="9" ref="B50:G50">B49+B47</f>
        <v>27.019325837742507</v>
      </c>
      <c r="C50" s="58">
        <f t="shared" si="9"/>
        <v>47.65090504409171</v>
      </c>
      <c r="D50" s="58">
        <f t="shared" si="9"/>
        <v>67.34199671075838</v>
      </c>
      <c r="E50" s="58">
        <f t="shared" si="9"/>
        <v>96.30378562742504</v>
      </c>
      <c r="F50" s="58">
        <f t="shared" si="9"/>
        <v>136.04814207583775</v>
      </c>
      <c r="G50" s="58">
        <f t="shared" si="9"/>
        <v>159.56008280555557</v>
      </c>
      <c r="H50" s="58">
        <f aca="true" t="shared" si="10" ref="H50:M50">H49+H47</f>
        <v>192.5716141547619</v>
      </c>
      <c r="I50" s="58">
        <f t="shared" si="10"/>
        <v>169.69114986904765</v>
      </c>
      <c r="J50" s="58">
        <f t="shared" si="10"/>
        <v>173.49477288492065</v>
      </c>
      <c r="K50" s="58">
        <f t="shared" si="10"/>
        <v>166.55590016666667</v>
      </c>
      <c r="L50" s="58">
        <f t="shared" si="10"/>
        <v>155.205106515873</v>
      </c>
      <c r="M50" s="58">
        <f t="shared" si="10"/>
        <v>98.85015840079366</v>
      </c>
      <c r="P50" s="2"/>
    </row>
    <row r="51" spans="8:16" ht="13.5">
      <c r="H51" s="2"/>
      <c r="I51" s="2"/>
      <c r="P51" s="2"/>
    </row>
    <row r="52" spans="8:16" ht="13.5">
      <c r="H52" s="2"/>
      <c r="I52" s="2"/>
      <c r="P52" s="2"/>
    </row>
    <row r="53" spans="1:16" ht="13.5">
      <c r="A53" s="22" t="s">
        <v>63</v>
      </c>
      <c r="B53" s="23"/>
      <c r="C53" s="23"/>
      <c r="D53" s="23"/>
      <c r="E53" s="23"/>
      <c r="F53" s="23"/>
      <c r="G53" s="23"/>
      <c r="H53" s="2"/>
      <c r="I53" s="2"/>
      <c r="P53" s="2"/>
    </row>
    <row r="54" spans="1:16" ht="13.5">
      <c r="A54" s="144" t="s">
        <v>46</v>
      </c>
      <c r="B54" s="24" t="s">
        <v>10</v>
      </c>
      <c r="C54" s="7"/>
      <c r="D54" s="7"/>
      <c r="E54" s="7"/>
      <c r="F54" s="7"/>
      <c r="G54" s="7"/>
      <c r="H54" s="7"/>
      <c r="I54" s="7"/>
      <c r="J54" s="9"/>
      <c r="K54" s="9"/>
      <c r="L54" s="9"/>
      <c r="M54" s="10"/>
      <c r="P54" s="2"/>
    </row>
    <row r="55" spans="1:16" ht="13.5">
      <c r="A55" s="144"/>
      <c r="B55" s="26">
        <v>1</v>
      </c>
      <c r="C55" s="26">
        <v>2</v>
      </c>
      <c r="D55" s="26">
        <v>3</v>
      </c>
      <c r="E55" s="26">
        <v>4</v>
      </c>
      <c r="F55" s="26">
        <v>5</v>
      </c>
      <c r="G55" s="26">
        <v>6</v>
      </c>
      <c r="H55" s="26">
        <v>7</v>
      </c>
      <c r="I55" s="26">
        <v>8</v>
      </c>
      <c r="J55" s="26">
        <v>9</v>
      </c>
      <c r="K55" s="26">
        <v>10</v>
      </c>
      <c r="L55" s="26">
        <v>11</v>
      </c>
      <c r="M55" s="26">
        <v>12</v>
      </c>
      <c r="P55" s="2"/>
    </row>
    <row r="56" spans="1:16" ht="13.5">
      <c r="A56" s="13" t="str">
        <f>A$8</f>
        <v>On-Site Heavy Equipment</v>
      </c>
      <c r="B56" s="57">
        <f>'Tables A10-A14'!B47</f>
        <v>2.64465</v>
      </c>
      <c r="C56" s="57">
        <f>'Tables A10-A14'!C47</f>
        <v>4.367196</v>
      </c>
      <c r="D56" s="57">
        <f>'Tables A10-A14'!D47</f>
        <v>6.126920999999999</v>
      </c>
      <c r="E56" s="57">
        <f>'Tables A10-A14'!E47</f>
        <v>8.48892825</v>
      </c>
      <c r="F56" s="57">
        <f>'Tables A10-A14'!F47</f>
        <v>11.387412000000001</v>
      </c>
      <c r="G56" s="57">
        <f>'Tables A10-A14'!G47</f>
        <v>9.359273250000001</v>
      </c>
      <c r="H56" s="57">
        <f>'Tables A10-A14'!H47</f>
        <v>9.336188250000001</v>
      </c>
      <c r="I56" s="57">
        <f>'Tables A10-A14'!I47</f>
        <v>8.59098825</v>
      </c>
      <c r="J56" s="57">
        <f>'Tables A10-A14'!J47</f>
        <v>8.68548825</v>
      </c>
      <c r="K56" s="57">
        <f>'Tables A10-A14'!K47</f>
        <v>7.028869500000001</v>
      </c>
      <c r="L56" s="57">
        <f>'Tables A10-A14'!L47</f>
        <v>7.028869500000001</v>
      </c>
      <c r="M56" s="57">
        <f>'Tables A10-A14'!M47</f>
        <v>4.79715075</v>
      </c>
      <c r="P56" s="2"/>
    </row>
    <row r="57" spans="1:16" ht="13.5">
      <c r="A57" s="13" t="str">
        <f>A$9</f>
        <v>On-Site Motor Vehicles</v>
      </c>
      <c r="B57" s="57">
        <f>'Tables A18-A25'!B42</f>
        <v>0.08218915343915342</v>
      </c>
      <c r="C57" s="57">
        <f>'Tables A18-A25'!C42</f>
        <v>0.13602733686067017</v>
      </c>
      <c r="D57" s="57">
        <f>'Tables A18-A25'!D42</f>
        <v>0.13602733686067017</v>
      </c>
      <c r="E57" s="57">
        <f>'Tables A18-A25'!E42</f>
        <v>0.24370370370370367</v>
      </c>
      <c r="F57" s="57">
        <f>'Tables A18-A25'!F42</f>
        <v>0.3513800705467372</v>
      </c>
      <c r="G57" s="57">
        <f>'Tables A18-A25'!G42</f>
        <v>0.37686728395061725</v>
      </c>
      <c r="H57" s="57">
        <f>'Tables A18-A25'!H42</f>
        <v>0.37686728395061725</v>
      </c>
      <c r="I57" s="57">
        <f>'Tables A18-A25'!I42</f>
        <v>0.37686728395061725</v>
      </c>
      <c r="J57" s="57">
        <f>'Tables A18-A25'!J42</f>
        <v>0.37686728395061725</v>
      </c>
      <c r="K57" s="57">
        <f>'Tables A18-A25'!K42</f>
        <v>0.37686728395061725</v>
      </c>
      <c r="L57" s="57">
        <f>'Tables A18-A25'!L42</f>
        <v>0.37686728395061725</v>
      </c>
      <c r="M57" s="57">
        <f>'Tables A18-A25'!M42</f>
        <v>0.16151455026455025</v>
      </c>
      <c r="P57" s="2"/>
    </row>
    <row r="58" spans="1:16" ht="13.5">
      <c r="A58" s="13" t="str">
        <f>A$10</f>
        <v>On-Site Other Fugitive PM10</v>
      </c>
      <c r="B58" s="135">
        <v>0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P58" s="2"/>
    </row>
    <row r="59" spans="1:16" ht="13.5">
      <c r="A59" s="13" t="str">
        <f>A$11</f>
        <v>On-Site Architectural Coating</v>
      </c>
      <c r="B59" s="57">
        <f>'Table A17'!B7</f>
        <v>1.4589412255106293</v>
      </c>
      <c r="C59" s="57">
        <f>'Table A17'!C7</f>
        <v>1.4589412255106293</v>
      </c>
      <c r="D59" s="57">
        <f>'Table A17'!D7</f>
        <v>1.4589412255106293</v>
      </c>
      <c r="E59" s="57">
        <f>'Table A17'!E7</f>
        <v>1.4589412255106293</v>
      </c>
      <c r="F59" s="57">
        <f>'Table A17'!F7</f>
        <v>1.4589412255106293</v>
      </c>
      <c r="G59" s="57">
        <f>'Table A17'!G7</f>
        <v>1.4589412255106293</v>
      </c>
      <c r="H59" s="57">
        <f>'Table A17'!H7</f>
        <v>1.4589412255106293</v>
      </c>
      <c r="I59" s="57">
        <f>'Table A17'!I7</f>
        <v>2.9178824510212586</v>
      </c>
      <c r="J59" s="57">
        <f>'Table A17'!J7</f>
        <v>5.835764902042517</v>
      </c>
      <c r="K59" s="57">
        <f>'Table A17'!K7</f>
        <v>11.671529804085035</v>
      </c>
      <c r="L59" s="57">
        <f>'Table A17'!L7</f>
        <v>5.835764902042517</v>
      </c>
      <c r="M59" s="57">
        <f>'Table A17'!M7</f>
        <v>2.9178824510212586</v>
      </c>
      <c r="P59" s="2"/>
    </row>
    <row r="60" spans="1:16" ht="13.5">
      <c r="A60" s="16" t="str">
        <f>A$12</f>
        <v>On-Site Subtotal</v>
      </c>
      <c r="B60" s="58">
        <f aca="true" t="shared" si="11" ref="B60:G60">SUM(B56:B59)</f>
        <v>4.185780378949783</v>
      </c>
      <c r="C60" s="58">
        <f t="shared" si="11"/>
        <v>5.962164562371299</v>
      </c>
      <c r="D60" s="58">
        <f t="shared" si="11"/>
        <v>7.721889562371299</v>
      </c>
      <c r="E60" s="58">
        <f t="shared" si="11"/>
        <v>10.191573179214334</v>
      </c>
      <c r="F60" s="58">
        <f t="shared" si="11"/>
        <v>13.197733296057368</v>
      </c>
      <c r="G60" s="58">
        <f t="shared" si="11"/>
        <v>11.195081759461248</v>
      </c>
      <c r="H60" s="58">
        <f aca="true" t="shared" si="12" ref="H60:M60">SUM(H56:H59)</f>
        <v>11.171996759461248</v>
      </c>
      <c r="I60" s="58">
        <f t="shared" si="12"/>
        <v>11.885737984971875</v>
      </c>
      <c r="J60" s="58">
        <f t="shared" si="12"/>
        <v>14.898120435993135</v>
      </c>
      <c r="K60" s="58">
        <f t="shared" si="12"/>
        <v>19.077266588035652</v>
      </c>
      <c r="L60" s="58">
        <f t="shared" si="12"/>
        <v>13.241501685993136</v>
      </c>
      <c r="M60" s="58">
        <f t="shared" si="12"/>
        <v>7.876547751285809</v>
      </c>
      <c r="P60" s="2"/>
    </row>
    <row r="61" spans="1:16" ht="13.5">
      <c r="A61" s="13" t="str">
        <f>A$13</f>
        <v>Off-Site Motor Vehicles</v>
      </c>
      <c r="B61" s="57">
        <f>'Tables A18-A25'!B43</f>
        <v>1.345</v>
      </c>
      <c r="C61" s="57">
        <f>'Tables A18-A25'!C43</f>
        <v>2.507685185185186</v>
      </c>
      <c r="D61" s="57">
        <f>'Tables A18-A25'!D43</f>
        <v>3.978240740740741</v>
      </c>
      <c r="E61" s="57">
        <f>'Tables A18-A25'!E43</f>
        <v>5.868955026455027</v>
      </c>
      <c r="F61" s="57">
        <f>'Tables A18-A25'!F43</f>
        <v>8.459933862433864</v>
      </c>
      <c r="G61" s="57">
        <f>'Tables A18-A25'!G43</f>
        <v>11.751177248677251</v>
      </c>
      <c r="H61" s="57">
        <f>'Tables A18-A25'!H43</f>
        <v>15.042420634920637</v>
      </c>
      <c r="I61" s="57">
        <f>'Tables A18-A25'!I43</f>
        <v>13.151706349206352</v>
      </c>
      <c r="J61" s="57">
        <f>'Tables A18-A25'!J43</f>
        <v>13.501838624338626</v>
      </c>
      <c r="K61" s="57">
        <f>'Tables A18-A25'!K43</f>
        <v>13.389550264550266</v>
      </c>
      <c r="L61" s="57">
        <f>'Tables A18-A25'!L43</f>
        <v>12.269126984126984</v>
      </c>
      <c r="M61" s="57">
        <f>'Tables A18-A25'!M43</f>
        <v>7.787433862433863</v>
      </c>
      <c r="P61" s="2"/>
    </row>
    <row r="62" spans="1:16" ht="13.5">
      <c r="A62" s="16" t="str">
        <f>A$14</f>
        <v>Off-Site Subtotal</v>
      </c>
      <c r="B62" s="58">
        <f aca="true" t="shared" si="13" ref="B62:G62">B61</f>
        <v>1.345</v>
      </c>
      <c r="C62" s="58">
        <f t="shared" si="13"/>
        <v>2.507685185185186</v>
      </c>
      <c r="D62" s="58">
        <f t="shared" si="13"/>
        <v>3.978240740740741</v>
      </c>
      <c r="E62" s="58">
        <f t="shared" si="13"/>
        <v>5.868955026455027</v>
      </c>
      <c r="F62" s="58">
        <f t="shared" si="13"/>
        <v>8.459933862433864</v>
      </c>
      <c r="G62" s="58">
        <f t="shared" si="13"/>
        <v>11.751177248677251</v>
      </c>
      <c r="H62" s="58">
        <f aca="true" t="shared" si="14" ref="H62:M62">H61</f>
        <v>15.042420634920637</v>
      </c>
      <c r="I62" s="58">
        <f t="shared" si="14"/>
        <v>13.151706349206352</v>
      </c>
      <c r="J62" s="58">
        <f t="shared" si="14"/>
        <v>13.501838624338626</v>
      </c>
      <c r="K62" s="58">
        <f t="shared" si="14"/>
        <v>13.389550264550266</v>
      </c>
      <c r="L62" s="58">
        <f t="shared" si="14"/>
        <v>12.269126984126984</v>
      </c>
      <c r="M62" s="58">
        <f t="shared" si="14"/>
        <v>7.787433862433863</v>
      </c>
      <c r="P62" s="2"/>
    </row>
    <row r="63" spans="1:16" ht="13.5">
      <c r="A63" s="16" t="str">
        <f>A$15</f>
        <v>Total</v>
      </c>
      <c r="B63" s="58">
        <f aca="true" t="shared" si="15" ref="B63:G63">B62+B60</f>
        <v>5.530780378949783</v>
      </c>
      <c r="C63" s="58">
        <f t="shared" si="15"/>
        <v>8.469849747556484</v>
      </c>
      <c r="D63" s="58">
        <f t="shared" si="15"/>
        <v>11.70013030311204</v>
      </c>
      <c r="E63" s="58">
        <f t="shared" si="15"/>
        <v>16.06052820566936</v>
      </c>
      <c r="F63" s="58">
        <f t="shared" si="15"/>
        <v>21.657667158491233</v>
      </c>
      <c r="G63" s="58">
        <f t="shared" si="15"/>
        <v>22.946259008138497</v>
      </c>
      <c r="H63" s="58">
        <f aca="true" t="shared" si="16" ref="H63:M63">H62+H60</f>
        <v>26.214417394381883</v>
      </c>
      <c r="I63" s="58">
        <f t="shared" si="16"/>
        <v>25.037444334178225</v>
      </c>
      <c r="J63" s="58">
        <f t="shared" si="16"/>
        <v>28.39995906033176</v>
      </c>
      <c r="K63" s="58">
        <f t="shared" si="16"/>
        <v>32.46681685258592</v>
      </c>
      <c r="L63" s="58">
        <f t="shared" si="16"/>
        <v>25.51062867012012</v>
      </c>
      <c r="M63" s="58">
        <f t="shared" si="16"/>
        <v>15.663981613719672</v>
      </c>
      <c r="P63" s="2"/>
    </row>
    <row r="64" spans="8:16" ht="13.5">
      <c r="H64" s="2"/>
      <c r="I64" s="2"/>
      <c r="P64" s="2"/>
    </row>
    <row r="65" spans="8:16" ht="13.5">
      <c r="H65" s="2"/>
      <c r="I65" s="2"/>
      <c r="P65" s="2"/>
    </row>
    <row r="66" spans="1:16" ht="13.5">
      <c r="A66" s="22" t="s">
        <v>77</v>
      </c>
      <c r="B66" s="23"/>
      <c r="C66" s="23"/>
      <c r="D66" s="23"/>
      <c r="E66" s="23"/>
      <c r="F66" s="23"/>
      <c r="G66" s="23"/>
      <c r="H66" s="2"/>
      <c r="I66" s="2"/>
      <c r="P66" s="2"/>
    </row>
    <row r="67" spans="1:16" ht="13.5">
      <c r="A67" s="144" t="s">
        <v>46</v>
      </c>
      <c r="B67" s="24" t="s">
        <v>10</v>
      </c>
      <c r="C67" s="7"/>
      <c r="D67" s="7"/>
      <c r="E67" s="7"/>
      <c r="F67" s="7"/>
      <c r="G67" s="7"/>
      <c r="H67" s="7"/>
      <c r="I67" s="7"/>
      <c r="J67" s="9"/>
      <c r="K67" s="9"/>
      <c r="L67" s="9"/>
      <c r="M67" s="10"/>
      <c r="P67" s="2"/>
    </row>
    <row r="68" spans="1:16" ht="13.5">
      <c r="A68" s="144"/>
      <c r="B68" s="26">
        <v>1</v>
      </c>
      <c r="C68" s="26">
        <v>2</v>
      </c>
      <c r="D68" s="26">
        <v>3</v>
      </c>
      <c r="E68" s="26">
        <v>4</v>
      </c>
      <c r="F68" s="26">
        <v>5</v>
      </c>
      <c r="G68" s="26">
        <v>6</v>
      </c>
      <c r="H68" s="26">
        <v>7</v>
      </c>
      <c r="I68" s="26">
        <v>8</v>
      </c>
      <c r="J68" s="26">
        <v>9</v>
      </c>
      <c r="K68" s="26">
        <v>10</v>
      </c>
      <c r="L68" s="26">
        <v>11</v>
      </c>
      <c r="M68" s="26">
        <v>12</v>
      </c>
      <c r="P68" s="2"/>
    </row>
    <row r="69" spans="1:16" ht="13.5">
      <c r="A69" s="13" t="str">
        <f>A$8</f>
        <v>On-Site Heavy Equipment</v>
      </c>
      <c r="B69" s="57">
        <f>'Tables A10-A14'!B69</f>
        <v>19.394099999999998</v>
      </c>
      <c r="C69" s="57">
        <f>'Tables A10-A14'!C69</f>
        <v>32.026104</v>
      </c>
      <c r="D69" s="57">
        <f>'Tables A10-A14'!D69</f>
        <v>45.598329</v>
      </c>
      <c r="E69" s="57">
        <f>'Tables A10-A14'!E69</f>
        <v>64.3571595</v>
      </c>
      <c r="F69" s="57">
        <f>'Tables A10-A14'!F69</f>
        <v>85.94649449999999</v>
      </c>
      <c r="G69" s="57">
        <f>'Tables A10-A14'!G69</f>
        <v>71.073477</v>
      </c>
      <c r="H69" s="57">
        <f>'Tables A10-A14'!H69</f>
        <v>71.87618699999999</v>
      </c>
      <c r="I69" s="57">
        <f>'Tables A10-A14'!I69</f>
        <v>66.41138699999999</v>
      </c>
      <c r="J69" s="57">
        <f>'Tables A10-A14'!J69</f>
        <v>68.076387</v>
      </c>
      <c r="K69" s="57">
        <f>'Tables A10-A14'!K69</f>
        <v>54.622062</v>
      </c>
      <c r="L69" s="57">
        <f>'Tables A10-A14'!L69</f>
        <v>54.622062</v>
      </c>
      <c r="M69" s="57">
        <f>'Tables A10-A14'!M69</f>
        <v>36.950337</v>
      </c>
      <c r="P69" s="2"/>
    </row>
    <row r="70" spans="1:16" ht="13.5">
      <c r="A70" s="13" t="str">
        <f>A$9</f>
        <v>On-Site Motor Vehicles</v>
      </c>
      <c r="B70" s="57">
        <f>'Tables A18-A25'!B55</f>
        <v>0.9662698412698412</v>
      </c>
      <c r="C70" s="57">
        <f>'Tables A18-A25'!C55</f>
        <v>1.2883597883597881</v>
      </c>
      <c r="D70" s="57">
        <f>'Tables A18-A25'!D55</f>
        <v>1.2883597883597881</v>
      </c>
      <c r="E70" s="57">
        <f>'Tables A18-A25'!E55</f>
        <v>1.9325396825396823</v>
      </c>
      <c r="F70" s="57">
        <f>'Tables A18-A25'!F55</f>
        <v>2.5767195767195763</v>
      </c>
      <c r="G70" s="57">
        <f>'Tables A18-A25'!G55</f>
        <v>2.2546296296296293</v>
      </c>
      <c r="H70" s="57">
        <f>'Tables A18-A25'!H55</f>
        <v>2.2546296296296293</v>
      </c>
      <c r="I70" s="57">
        <f>'Tables A18-A25'!I55</f>
        <v>2.2546296296296293</v>
      </c>
      <c r="J70" s="57">
        <f>'Tables A18-A25'!J55</f>
        <v>2.2546296296296293</v>
      </c>
      <c r="K70" s="57">
        <f>'Tables A18-A25'!K55</f>
        <v>2.2546296296296293</v>
      </c>
      <c r="L70" s="57">
        <f>'Tables A18-A25'!L55</f>
        <v>2.2546296296296293</v>
      </c>
      <c r="M70" s="57">
        <f>'Tables A18-A25'!M55</f>
        <v>0.9662698412698412</v>
      </c>
      <c r="P70" s="2"/>
    </row>
    <row r="71" spans="1:16" ht="13.5">
      <c r="A71" s="13" t="str">
        <f>A$10</f>
        <v>On-Site Other Fugitive PM10</v>
      </c>
      <c r="B71" s="135">
        <v>0</v>
      </c>
      <c r="C71" s="135">
        <v>0</v>
      </c>
      <c r="D71" s="135">
        <v>0</v>
      </c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P71" s="2"/>
    </row>
    <row r="72" spans="1:16" ht="13.5">
      <c r="A72" s="13" t="str">
        <f>A$11</f>
        <v>On-Site Architectural Coating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P72" s="2"/>
    </row>
    <row r="73" spans="1:16" ht="13.5">
      <c r="A73" s="16" t="str">
        <f>A$12</f>
        <v>On-Site Subtotal</v>
      </c>
      <c r="B73" s="58">
        <f aca="true" t="shared" si="17" ref="B73:G73">SUM(B69:B72)</f>
        <v>20.36036984126984</v>
      </c>
      <c r="C73" s="58">
        <f t="shared" si="17"/>
        <v>33.31446378835979</v>
      </c>
      <c r="D73" s="58">
        <f t="shared" si="17"/>
        <v>46.88668878835979</v>
      </c>
      <c r="E73" s="58">
        <f t="shared" si="17"/>
        <v>66.28969918253968</v>
      </c>
      <c r="F73" s="58">
        <f t="shared" si="17"/>
        <v>88.52321407671957</v>
      </c>
      <c r="G73" s="58">
        <f t="shared" si="17"/>
        <v>73.32810662962963</v>
      </c>
      <c r="H73" s="58">
        <f aca="true" t="shared" si="18" ref="H73:M73">SUM(H69:H72)</f>
        <v>74.13081662962962</v>
      </c>
      <c r="I73" s="58">
        <f t="shared" si="18"/>
        <v>68.66601662962962</v>
      </c>
      <c r="J73" s="58">
        <f t="shared" si="18"/>
        <v>70.33101662962963</v>
      </c>
      <c r="K73" s="58">
        <f t="shared" si="18"/>
        <v>56.876691629629626</v>
      </c>
      <c r="L73" s="58">
        <f t="shared" si="18"/>
        <v>56.876691629629626</v>
      </c>
      <c r="M73" s="58">
        <f t="shared" si="18"/>
        <v>37.91660684126984</v>
      </c>
      <c r="P73" s="2"/>
    </row>
    <row r="74" spans="1:16" ht="13.5">
      <c r="A74" s="13" t="str">
        <f>A$13</f>
        <v>Off-Site Motor Vehicles</v>
      </c>
      <c r="B74" s="57">
        <f>'Tables A18-A25'!B56</f>
        <v>2.869126984126984</v>
      </c>
      <c r="C74" s="57">
        <f>'Tables A18-A25'!C56</f>
        <v>4.79793430335097</v>
      </c>
      <c r="D74" s="57">
        <f>'Tables A18-A25'!D56</f>
        <v>6.280665784832451</v>
      </c>
      <c r="E74" s="57">
        <f>'Tables A18-A25'!E56</f>
        <v>8.187034832451499</v>
      </c>
      <c r="F74" s="57">
        <f>'Tables A18-A25'!F56</f>
        <v>10.799466490299825</v>
      </c>
      <c r="G74" s="57">
        <f>'Tables A18-A25'!G56</f>
        <v>14.117960758377425</v>
      </c>
      <c r="H74" s="57">
        <f>'Tables A18-A25'!H56</f>
        <v>17.436455026455025</v>
      </c>
      <c r="I74" s="57">
        <f>'Tables A18-A25'!I56</f>
        <v>15.530085978835979</v>
      </c>
      <c r="J74" s="57">
        <f>'Tables A18-A25'!J56</f>
        <v>15.883117283950618</v>
      </c>
      <c r="K74" s="57">
        <f>'Tables A18-A25'!K56</f>
        <v>15.013403880070548</v>
      </c>
      <c r="L74" s="57">
        <f>'Tables A18-A25'!L56</f>
        <v>13.883703703703702</v>
      </c>
      <c r="M74" s="57">
        <f>'Tables A18-A25'!M56</f>
        <v>9.364902998236332</v>
      </c>
      <c r="P74" s="2"/>
    </row>
    <row r="75" spans="1:16" ht="13.5">
      <c r="A75" s="16" t="str">
        <f>A$14</f>
        <v>Off-Site Subtotal</v>
      </c>
      <c r="B75" s="58">
        <f aca="true" t="shared" si="19" ref="B75:G75">B74</f>
        <v>2.869126984126984</v>
      </c>
      <c r="C75" s="58">
        <f t="shared" si="19"/>
        <v>4.79793430335097</v>
      </c>
      <c r="D75" s="58">
        <f t="shared" si="19"/>
        <v>6.280665784832451</v>
      </c>
      <c r="E75" s="58">
        <f t="shared" si="19"/>
        <v>8.187034832451499</v>
      </c>
      <c r="F75" s="58">
        <f t="shared" si="19"/>
        <v>10.799466490299825</v>
      </c>
      <c r="G75" s="58">
        <f t="shared" si="19"/>
        <v>14.117960758377425</v>
      </c>
      <c r="H75" s="58">
        <f aca="true" t="shared" si="20" ref="H75:M75">H74</f>
        <v>17.436455026455025</v>
      </c>
      <c r="I75" s="58">
        <f t="shared" si="20"/>
        <v>15.530085978835979</v>
      </c>
      <c r="J75" s="58">
        <f t="shared" si="20"/>
        <v>15.883117283950618</v>
      </c>
      <c r="K75" s="58">
        <f t="shared" si="20"/>
        <v>15.013403880070548</v>
      </c>
      <c r="L75" s="58">
        <f t="shared" si="20"/>
        <v>13.883703703703702</v>
      </c>
      <c r="M75" s="58">
        <f t="shared" si="20"/>
        <v>9.364902998236332</v>
      </c>
      <c r="P75" s="2"/>
    </row>
    <row r="76" spans="1:16" ht="13.5">
      <c r="A76" s="16" t="str">
        <f>A$15</f>
        <v>Total</v>
      </c>
      <c r="B76" s="58">
        <f aca="true" t="shared" si="21" ref="B76:G76">B75+B73</f>
        <v>23.229496825396822</v>
      </c>
      <c r="C76" s="58">
        <f t="shared" si="21"/>
        <v>38.11239809171076</v>
      </c>
      <c r="D76" s="58">
        <f t="shared" si="21"/>
        <v>53.16735457319224</v>
      </c>
      <c r="E76" s="58">
        <f t="shared" si="21"/>
        <v>74.47673401499118</v>
      </c>
      <c r="F76" s="58">
        <f t="shared" si="21"/>
        <v>99.32268056701939</v>
      </c>
      <c r="G76" s="58">
        <f t="shared" si="21"/>
        <v>87.44606738800705</v>
      </c>
      <c r="H76" s="58">
        <f aca="true" t="shared" si="22" ref="H76:M76">H75+H73</f>
        <v>91.56727165608464</v>
      </c>
      <c r="I76" s="58">
        <f t="shared" si="22"/>
        <v>84.19610260846561</v>
      </c>
      <c r="J76" s="58">
        <f t="shared" si="22"/>
        <v>86.21413391358024</v>
      </c>
      <c r="K76" s="58">
        <f t="shared" si="22"/>
        <v>71.89009550970017</v>
      </c>
      <c r="L76" s="58">
        <f t="shared" si="22"/>
        <v>70.76039533333332</v>
      </c>
      <c r="M76" s="58">
        <f t="shared" si="22"/>
        <v>47.28150983950617</v>
      </c>
      <c r="P76" s="2"/>
    </row>
    <row r="77" spans="8:16" ht="13.5">
      <c r="H77" s="2"/>
      <c r="I77" s="2"/>
      <c r="P77" s="2"/>
    </row>
    <row r="78" spans="8:16" ht="13.5">
      <c r="H78" s="2"/>
      <c r="I78" s="2"/>
      <c r="P78" s="2"/>
    </row>
    <row r="79" spans="8:16" ht="13.5">
      <c r="H79" s="2"/>
      <c r="I79" s="2"/>
      <c r="P79" s="2"/>
    </row>
    <row r="80" spans="1:16" ht="13.5">
      <c r="A80" s="22" t="s">
        <v>78</v>
      </c>
      <c r="B80" s="23"/>
      <c r="C80" s="23"/>
      <c r="D80" s="23"/>
      <c r="E80" s="23"/>
      <c r="F80" s="23"/>
      <c r="G80" s="23"/>
      <c r="H80" s="2"/>
      <c r="I80" s="2"/>
      <c r="P80" s="2"/>
    </row>
    <row r="81" spans="1:16" ht="13.5">
      <c r="A81" s="144" t="s">
        <v>46</v>
      </c>
      <c r="B81" s="24" t="s">
        <v>10</v>
      </c>
      <c r="C81" s="7"/>
      <c r="D81" s="7"/>
      <c r="E81" s="7"/>
      <c r="F81" s="7"/>
      <c r="G81" s="7"/>
      <c r="H81" s="7"/>
      <c r="I81" s="7"/>
      <c r="J81" s="9"/>
      <c r="K81" s="9"/>
      <c r="L81" s="9"/>
      <c r="M81" s="10"/>
      <c r="P81" s="2"/>
    </row>
    <row r="82" spans="1:16" ht="13.5">
      <c r="A82" s="144"/>
      <c r="B82" s="26">
        <v>1</v>
      </c>
      <c r="C82" s="26">
        <v>2</v>
      </c>
      <c r="D82" s="26">
        <v>3</v>
      </c>
      <c r="E82" s="26">
        <v>4</v>
      </c>
      <c r="F82" s="26">
        <v>5</v>
      </c>
      <c r="G82" s="26">
        <v>6</v>
      </c>
      <c r="H82" s="26">
        <v>7</v>
      </c>
      <c r="I82" s="26">
        <v>8</v>
      </c>
      <c r="J82" s="26">
        <v>9</v>
      </c>
      <c r="K82" s="26">
        <v>10</v>
      </c>
      <c r="L82" s="26">
        <v>11</v>
      </c>
      <c r="M82" s="26">
        <v>12</v>
      </c>
      <c r="P82" s="2"/>
    </row>
    <row r="83" spans="1:16" ht="13.5">
      <c r="A83" s="13" t="str">
        <f>A$8</f>
        <v>On-Site Heavy Equipment</v>
      </c>
      <c r="B83" s="57">
        <f>'Tables A10-A14'!B92</f>
        <v>0.32642902173913046</v>
      </c>
      <c r="C83" s="57">
        <f>'Tables A10-A14'!C92</f>
        <v>0.5390427913043478</v>
      </c>
      <c r="D83" s="57">
        <f>'Tables A10-A14'!D92</f>
        <v>0.7562455630434783</v>
      </c>
      <c r="E83" s="57">
        <f>'Tables A10-A14'!E92</f>
        <v>1.0477880038043477</v>
      </c>
      <c r="F83" s="57">
        <f>'Tables A10-A14'!F92</f>
        <v>1.4055477130434784</v>
      </c>
      <c r="G83" s="57">
        <f>'Tables A10-A14'!G92</f>
        <v>1.1552146451086955</v>
      </c>
      <c r="H83" s="57">
        <f>'Tables A10-A14'!H92</f>
        <v>1.152365264673913</v>
      </c>
      <c r="I83" s="57">
        <f>'Tables A10-A14'!I92</f>
        <v>1.060385264673913</v>
      </c>
      <c r="J83" s="57">
        <f>'Tables A10-A14'!J92</f>
        <v>1.0720493951086956</v>
      </c>
      <c r="K83" s="57">
        <f>'Tables A10-A14'!K92</f>
        <v>0.867573022826087</v>
      </c>
      <c r="L83" s="57">
        <f>'Tables A10-A14'!L92</f>
        <v>0.867573022826087</v>
      </c>
      <c r="M83" s="57">
        <f>'Tables A10-A14'!M92</f>
        <v>0.592112085326087</v>
      </c>
      <c r="P83" s="2"/>
    </row>
    <row r="84" spans="1:16" ht="13.5">
      <c r="A84" s="13" t="str">
        <f>A$9</f>
        <v>On-Site Motor Vehicles</v>
      </c>
      <c r="B84" s="57">
        <v>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P84" s="2"/>
    </row>
    <row r="85" spans="1:16" ht="13.5">
      <c r="A85" s="13" t="str">
        <f>A$10</f>
        <v>On-Site Other Fugitive PM10</v>
      </c>
      <c r="B85" s="135">
        <v>0</v>
      </c>
      <c r="C85" s="135">
        <v>0</v>
      </c>
      <c r="D85" s="135">
        <v>0</v>
      </c>
      <c r="E85" s="135">
        <v>0</v>
      </c>
      <c r="F85" s="135">
        <v>0</v>
      </c>
      <c r="G85" s="135">
        <v>0</v>
      </c>
      <c r="H85" s="135">
        <v>0</v>
      </c>
      <c r="I85" s="135">
        <v>0</v>
      </c>
      <c r="J85" s="135">
        <v>0</v>
      </c>
      <c r="K85" s="135">
        <v>0</v>
      </c>
      <c r="L85" s="135">
        <v>0</v>
      </c>
      <c r="M85" s="135">
        <v>0</v>
      </c>
      <c r="P85" s="2"/>
    </row>
    <row r="86" spans="1:16" ht="13.5">
      <c r="A86" s="13" t="str">
        <f>A$11</f>
        <v>On-Site Architectural Coating</v>
      </c>
      <c r="B86" s="57">
        <v>0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P86" s="2"/>
    </row>
    <row r="87" spans="1:16" ht="13.5">
      <c r="A87" s="16" t="str">
        <f>A$12</f>
        <v>On-Site Subtotal</v>
      </c>
      <c r="B87" s="58">
        <f aca="true" t="shared" si="23" ref="B87:G87">SUM(B83:B86)</f>
        <v>0.32642902173913046</v>
      </c>
      <c r="C87" s="58">
        <f t="shared" si="23"/>
        <v>0.5390427913043478</v>
      </c>
      <c r="D87" s="58">
        <f t="shared" si="23"/>
        <v>0.7562455630434783</v>
      </c>
      <c r="E87" s="58">
        <f t="shared" si="23"/>
        <v>1.0477880038043477</v>
      </c>
      <c r="F87" s="58">
        <f t="shared" si="23"/>
        <v>1.4055477130434784</v>
      </c>
      <c r="G87" s="58">
        <f t="shared" si="23"/>
        <v>1.1552146451086955</v>
      </c>
      <c r="H87" s="58">
        <f aca="true" t="shared" si="24" ref="H87:M87">SUM(H83:H86)</f>
        <v>1.152365264673913</v>
      </c>
      <c r="I87" s="58">
        <f t="shared" si="24"/>
        <v>1.060385264673913</v>
      </c>
      <c r="J87" s="58">
        <f t="shared" si="24"/>
        <v>1.0720493951086956</v>
      </c>
      <c r="K87" s="58">
        <f t="shared" si="24"/>
        <v>0.867573022826087</v>
      </c>
      <c r="L87" s="58">
        <f t="shared" si="24"/>
        <v>0.867573022826087</v>
      </c>
      <c r="M87" s="58">
        <f t="shared" si="24"/>
        <v>0.592112085326087</v>
      </c>
      <c r="P87" s="2"/>
    </row>
    <row r="88" spans="1:16" ht="13.5">
      <c r="A88" s="13" t="str">
        <f>A$13</f>
        <v>Off-Site Motor Vehicles</v>
      </c>
      <c r="B88" s="57">
        <v>0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1</v>
      </c>
      <c r="I88" s="57">
        <v>2</v>
      </c>
      <c r="J88" s="57">
        <v>3</v>
      </c>
      <c r="K88" s="57">
        <v>4</v>
      </c>
      <c r="L88" s="57">
        <v>5</v>
      </c>
      <c r="M88" s="57">
        <v>6</v>
      </c>
      <c r="P88" s="2"/>
    </row>
    <row r="89" spans="1:16" ht="13.5">
      <c r="A89" s="16" t="str">
        <f>A$14</f>
        <v>Off-Site Subtotal</v>
      </c>
      <c r="B89" s="58">
        <f aca="true" t="shared" si="25" ref="B89:G89">B88</f>
        <v>0</v>
      </c>
      <c r="C89" s="58">
        <f t="shared" si="25"/>
        <v>0</v>
      </c>
      <c r="D89" s="58">
        <f t="shared" si="25"/>
        <v>0</v>
      </c>
      <c r="E89" s="58">
        <f t="shared" si="25"/>
        <v>0</v>
      </c>
      <c r="F89" s="58">
        <f t="shared" si="25"/>
        <v>0</v>
      </c>
      <c r="G89" s="58">
        <f t="shared" si="25"/>
        <v>0</v>
      </c>
      <c r="H89" s="58">
        <f aca="true" t="shared" si="26" ref="H89:M89">H88</f>
        <v>1</v>
      </c>
      <c r="I89" s="58">
        <f t="shared" si="26"/>
        <v>2</v>
      </c>
      <c r="J89" s="58">
        <f t="shared" si="26"/>
        <v>3</v>
      </c>
      <c r="K89" s="58">
        <f t="shared" si="26"/>
        <v>4</v>
      </c>
      <c r="L89" s="58">
        <f t="shared" si="26"/>
        <v>5</v>
      </c>
      <c r="M89" s="58">
        <f t="shared" si="26"/>
        <v>6</v>
      </c>
      <c r="P89" s="2"/>
    </row>
    <row r="90" spans="1:16" ht="13.5">
      <c r="A90" s="16" t="str">
        <f>A$15</f>
        <v>Total</v>
      </c>
      <c r="B90" s="58">
        <f aca="true" t="shared" si="27" ref="B90:G90">B89+B87</f>
        <v>0.32642902173913046</v>
      </c>
      <c r="C90" s="58">
        <f t="shared" si="27"/>
        <v>0.5390427913043478</v>
      </c>
      <c r="D90" s="58">
        <f t="shared" si="27"/>
        <v>0.7562455630434783</v>
      </c>
      <c r="E90" s="58">
        <f t="shared" si="27"/>
        <v>1.0477880038043477</v>
      </c>
      <c r="F90" s="58">
        <f t="shared" si="27"/>
        <v>1.4055477130434784</v>
      </c>
      <c r="G90" s="58">
        <f t="shared" si="27"/>
        <v>1.1552146451086955</v>
      </c>
      <c r="H90" s="58">
        <f aca="true" t="shared" si="28" ref="H90:M90">H89+H87</f>
        <v>2.152365264673913</v>
      </c>
      <c r="I90" s="58">
        <f t="shared" si="28"/>
        <v>3.060385264673913</v>
      </c>
      <c r="J90" s="58">
        <f t="shared" si="28"/>
        <v>4.072049395108696</v>
      </c>
      <c r="K90" s="58">
        <f t="shared" si="28"/>
        <v>4.867573022826087</v>
      </c>
      <c r="L90" s="58">
        <f t="shared" si="28"/>
        <v>5.867573022826087</v>
      </c>
      <c r="M90" s="58">
        <f t="shared" si="28"/>
        <v>6.592112085326087</v>
      </c>
      <c r="P90" s="2"/>
    </row>
    <row r="91" spans="8:16" ht="13.5">
      <c r="H91" s="2"/>
      <c r="I91" s="2"/>
      <c r="P91" s="2"/>
    </row>
    <row r="92" spans="1:16" ht="13.5">
      <c r="A92" s="1"/>
      <c r="B92" s="2"/>
      <c r="C92" s="2"/>
      <c r="D92" s="2"/>
      <c r="E92" s="2"/>
      <c r="F92" s="2"/>
      <c r="G92" s="2"/>
      <c r="H92" s="2"/>
      <c r="I92" s="2"/>
      <c r="P92" s="2"/>
    </row>
    <row r="93" spans="1:16" ht="13.5">
      <c r="A93" s="22" t="s">
        <v>64</v>
      </c>
      <c r="B93" s="5"/>
      <c r="C93" s="5"/>
      <c r="D93" s="5"/>
      <c r="E93" s="5"/>
      <c r="F93" s="5"/>
      <c r="G93" s="5"/>
      <c r="H93" s="2"/>
      <c r="I93" s="2"/>
      <c r="P93" s="2"/>
    </row>
    <row r="94" spans="1:16" ht="13.5">
      <c r="A94" s="143" t="s">
        <v>46</v>
      </c>
      <c r="B94" s="24" t="s">
        <v>10</v>
      </c>
      <c r="C94" s="7"/>
      <c r="D94" s="7"/>
      <c r="E94" s="7"/>
      <c r="F94" s="7"/>
      <c r="G94" s="7"/>
      <c r="H94" s="7"/>
      <c r="I94" s="7"/>
      <c r="J94" s="9"/>
      <c r="K94" s="9"/>
      <c r="L94" s="9"/>
      <c r="M94" s="10"/>
      <c r="P94" s="2"/>
    </row>
    <row r="95" spans="1:16" ht="13.5">
      <c r="A95" s="144"/>
      <c r="B95" s="26">
        <v>1</v>
      </c>
      <c r="C95" s="26">
        <v>2</v>
      </c>
      <c r="D95" s="26">
        <v>3</v>
      </c>
      <c r="E95" s="26">
        <v>4</v>
      </c>
      <c r="F95" s="26">
        <v>5</v>
      </c>
      <c r="G95" s="26">
        <v>6</v>
      </c>
      <c r="H95" s="26">
        <v>7</v>
      </c>
      <c r="I95" s="26">
        <v>8</v>
      </c>
      <c r="J95" s="26">
        <v>9</v>
      </c>
      <c r="K95" s="26">
        <v>10</v>
      </c>
      <c r="L95" s="26">
        <v>11</v>
      </c>
      <c r="M95" s="26">
        <v>12</v>
      </c>
      <c r="P95" s="2"/>
    </row>
    <row r="96" spans="1:16" ht="13.5">
      <c r="A96" s="13" t="str">
        <f>A$8</f>
        <v>On-Site Heavy Equipment</v>
      </c>
      <c r="B96" s="57">
        <f>'Tables A10-A14'!B115</f>
        <v>0.8815500000000001</v>
      </c>
      <c r="C96" s="57">
        <f>'Tables A10-A14'!C115</f>
        <v>1.455732</v>
      </c>
      <c r="D96" s="57">
        <f>'Tables A10-A14'!D115</f>
        <v>2.3760944999999998</v>
      </c>
      <c r="E96" s="57">
        <f>'Tables A10-A14'!E115</f>
        <v>3.45015225</v>
      </c>
      <c r="F96" s="57">
        <f>'Tables A10-A14'!F115</f>
        <v>4.58320725</v>
      </c>
      <c r="G96" s="57">
        <f>'Tables A10-A14'!G115</f>
        <v>3.9071610000000003</v>
      </c>
      <c r="H96" s="57">
        <f>'Tables A10-A14'!H115</f>
        <v>3.9534659999999997</v>
      </c>
      <c r="I96" s="57">
        <f>'Tables A10-A14'!I115</f>
        <v>3.705066</v>
      </c>
      <c r="J96" s="57">
        <f>'Tables A10-A14'!J115</f>
        <v>3.790566</v>
      </c>
      <c r="K96" s="57">
        <f>'Tables A10-A14'!K115</f>
        <v>3.017466</v>
      </c>
      <c r="L96" s="57">
        <f>'Tables A10-A14'!L115</f>
        <v>3.017466</v>
      </c>
      <c r="M96" s="57">
        <f>'Tables A10-A14'!M115</f>
        <v>2.0526660000000003</v>
      </c>
      <c r="P96" s="2"/>
    </row>
    <row r="97" spans="1:16" ht="13.5">
      <c r="A97" s="13" t="str">
        <f>A$9</f>
        <v>On-Site Motor Vehicles</v>
      </c>
      <c r="B97" s="57">
        <f>'Tables A18-A25'!B68</f>
        <v>0.029850088183421518</v>
      </c>
      <c r="C97" s="57">
        <f>'Tables A18-A25'!C68</f>
        <v>0.030555555555555555</v>
      </c>
      <c r="D97" s="57">
        <f>'Tables A18-A25'!D68</f>
        <v>0.030555555555555555</v>
      </c>
      <c r="E97" s="57">
        <f>'Tables A18-A25'!E68</f>
        <v>0.03196649029982363</v>
      </c>
      <c r="F97" s="57">
        <f>'Tables A18-A25'!F68</f>
        <v>0.03337742504409171</v>
      </c>
      <c r="G97" s="57">
        <f>'Tables A18-A25'!G68</f>
        <v>0.0049382716049382715</v>
      </c>
      <c r="H97" s="57">
        <f>'Tables A18-A25'!H68</f>
        <v>0.0049382716049382715</v>
      </c>
      <c r="I97" s="57">
        <f>'Tables A18-A25'!I68</f>
        <v>0.0049382716049382715</v>
      </c>
      <c r="J97" s="57">
        <f>'Tables A18-A25'!J68</f>
        <v>0.0049382716049382715</v>
      </c>
      <c r="K97" s="57">
        <f>'Tables A18-A25'!K68</f>
        <v>0.0049382716049382715</v>
      </c>
      <c r="L97" s="57">
        <f>'Tables A18-A25'!L68</f>
        <v>0.0049382716049382715</v>
      </c>
      <c r="M97" s="57">
        <f>'Tables A18-A25'!M68</f>
        <v>0.002116402116402116</v>
      </c>
      <c r="P97" s="2"/>
    </row>
    <row r="98" spans="1:16" ht="13.5">
      <c r="A98" s="13" t="str">
        <f>A$10</f>
        <v>On-Site Other Fugitive PM10</v>
      </c>
      <c r="B98" s="135">
        <v>0</v>
      </c>
      <c r="C98" s="135">
        <v>0</v>
      </c>
      <c r="D98" s="135">
        <v>0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P98" s="2"/>
    </row>
    <row r="99" spans="1:16" ht="13.5">
      <c r="A99" s="13" t="str">
        <f>A$11</f>
        <v>On-Site Architectural Coating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P99" s="2"/>
    </row>
    <row r="100" spans="1:16" ht="13.5">
      <c r="A100" s="16" t="str">
        <f>A$12</f>
        <v>On-Site Subtotal</v>
      </c>
      <c r="B100" s="58">
        <f aca="true" t="shared" si="29" ref="B100:G100">SUM(B96:B99)</f>
        <v>0.9114000881834216</v>
      </c>
      <c r="C100" s="58">
        <f t="shared" si="29"/>
        <v>1.4862875555555555</v>
      </c>
      <c r="D100" s="58">
        <f t="shared" si="29"/>
        <v>2.4066500555555552</v>
      </c>
      <c r="E100" s="58">
        <f t="shared" si="29"/>
        <v>3.4821187402998235</v>
      </c>
      <c r="F100" s="58">
        <f t="shared" si="29"/>
        <v>4.616584675044092</v>
      </c>
      <c r="G100" s="58">
        <f t="shared" si="29"/>
        <v>3.9120992716049385</v>
      </c>
      <c r="H100" s="58">
        <f aca="true" t="shared" si="30" ref="H100:M100">SUM(H96:H99)</f>
        <v>3.958404271604938</v>
      </c>
      <c r="I100" s="58">
        <f t="shared" si="30"/>
        <v>3.710004271604938</v>
      </c>
      <c r="J100" s="58">
        <f t="shared" si="30"/>
        <v>3.7955042716049383</v>
      </c>
      <c r="K100" s="58">
        <f t="shared" si="30"/>
        <v>3.0224042716049384</v>
      </c>
      <c r="L100" s="58">
        <f t="shared" si="30"/>
        <v>3.0224042716049384</v>
      </c>
      <c r="M100" s="58">
        <f t="shared" si="30"/>
        <v>2.0547824021164023</v>
      </c>
      <c r="P100" s="2"/>
    </row>
    <row r="101" spans="1:16" ht="13.5">
      <c r="A101" s="13" t="str">
        <f>A$13</f>
        <v>Off-Site Motor Vehicles</v>
      </c>
      <c r="B101" s="57">
        <f>'Tables A18-A25'!B69</f>
        <v>0.05299603174603174</v>
      </c>
      <c r="C101" s="57">
        <f>'Tables A18-A25'!C69</f>
        <v>0.08389991181657848</v>
      </c>
      <c r="D101" s="57">
        <f>'Tables A18-A25'!D69</f>
        <v>0.09711750440917108</v>
      </c>
      <c r="E101" s="57">
        <f>'Tables A18-A25'!E69</f>
        <v>0.11411155202821868</v>
      </c>
      <c r="F101" s="57">
        <f>'Tables A18-A25'!F69</f>
        <v>0.13739969135802468</v>
      </c>
      <c r="G101" s="57">
        <f>'Tables A18-A25'!G69</f>
        <v>0.16698192239858906</v>
      </c>
      <c r="H101" s="57">
        <f>'Tables A18-A25'!H69</f>
        <v>0.19656415343915343</v>
      </c>
      <c r="I101" s="57">
        <f>'Tables A18-A25'!I69</f>
        <v>0.1795701058201058</v>
      </c>
      <c r="J101" s="57">
        <f>'Tables A18-A25'!J69</f>
        <v>0.182717151675485</v>
      </c>
      <c r="K101" s="57">
        <f>'Tables A18-A25'!K69</f>
        <v>0.16125440917107584</v>
      </c>
      <c r="L101" s="57">
        <f>'Tables A18-A25'!L69</f>
        <v>0.15118386243386242</v>
      </c>
      <c r="M101" s="57">
        <f>'Tables A18-A25'!M69</f>
        <v>0.11090167548500882</v>
      </c>
      <c r="P101" s="2"/>
    </row>
    <row r="102" spans="1:16" ht="13.5">
      <c r="A102" s="16" t="str">
        <f>A$14</f>
        <v>Off-Site Subtotal</v>
      </c>
      <c r="B102" s="58">
        <f aca="true" t="shared" si="31" ref="B102:G102">B101</f>
        <v>0.05299603174603174</v>
      </c>
      <c r="C102" s="58">
        <f t="shared" si="31"/>
        <v>0.08389991181657848</v>
      </c>
      <c r="D102" s="58">
        <f t="shared" si="31"/>
        <v>0.09711750440917108</v>
      </c>
      <c r="E102" s="58">
        <f t="shared" si="31"/>
        <v>0.11411155202821868</v>
      </c>
      <c r="F102" s="58">
        <f t="shared" si="31"/>
        <v>0.13739969135802468</v>
      </c>
      <c r="G102" s="58">
        <f t="shared" si="31"/>
        <v>0.16698192239858906</v>
      </c>
      <c r="H102" s="58">
        <f aca="true" t="shared" si="32" ref="H102:M102">H101</f>
        <v>0.19656415343915343</v>
      </c>
      <c r="I102" s="58">
        <f t="shared" si="32"/>
        <v>0.1795701058201058</v>
      </c>
      <c r="J102" s="58">
        <f t="shared" si="32"/>
        <v>0.182717151675485</v>
      </c>
      <c r="K102" s="58">
        <f t="shared" si="32"/>
        <v>0.16125440917107584</v>
      </c>
      <c r="L102" s="58">
        <f t="shared" si="32"/>
        <v>0.15118386243386242</v>
      </c>
      <c r="M102" s="58">
        <f t="shared" si="32"/>
        <v>0.11090167548500882</v>
      </c>
      <c r="P102" s="2"/>
    </row>
    <row r="103" spans="1:16" ht="13.5">
      <c r="A103" s="16" t="str">
        <f>A$15</f>
        <v>Total</v>
      </c>
      <c r="B103" s="58">
        <f aca="true" t="shared" si="33" ref="B103:G103">B102+B100</f>
        <v>0.9643961199294533</v>
      </c>
      <c r="C103" s="58">
        <f t="shared" si="33"/>
        <v>1.5701874673721339</v>
      </c>
      <c r="D103" s="58">
        <f t="shared" si="33"/>
        <v>2.5037675599647264</v>
      </c>
      <c r="E103" s="58">
        <f t="shared" si="33"/>
        <v>3.596230292328042</v>
      </c>
      <c r="F103" s="58">
        <f t="shared" si="33"/>
        <v>4.753984366402117</v>
      </c>
      <c r="G103" s="58">
        <f t="shared" si="33"/>
        <v>4.079081194003527</v>
      </c>
      <c r="H103" s="58">
        <f aca="true" t="shared" si="34" ref="H103:M103">H102+H100</f>
        <v>4.154968425044092</v>
      </c>
      <c r="I103" s="58">
        <f t="shared" si="34"/>
        <v>3.8895743774250437</v>
      </c>
      <c r="J103" s="58">
        <f t="shared" si="34"/>
        <v>3.978221423280423</v>
      </c>
      <c r="K103" s="58">
        <f t="shared" si="34"/>
        <v>3.183658680776014</v>
      </c>
      <c r="L103" s="58">
        <f t="shared" si="34"/>
        <v>3.173588134038801</v>
      </c>
      <c r="M103" s="58">
        <f t="shared" si="34"/>
        <v>2.1656840776014112</v>
      </c>
      <c r="P103" s="2"/>
    </row>
    <row r="104" spans="8:16" ht="13.5">
      <c r="H104" s="2"/>
      <c r="I104" s="2"/>
      <c r="P104" s="2"/>
    </row>
    <row r="105" spans="1:16" ht="13.5">
      <c r="A105" s="1"/>
      <c r="B105" s="2"/>
      <c r="C105" s="2"/>
      <c r="D105" s="2"/>
      <c r="E105" s="2"/>
      <c r="F105" s="2"/>
      <c r="G105" s="2"/>
      <c r="H105" s="2"/>
      <c r="I105" s="2"/>
      <c r="P105" s="2"/>
    </row>
    <row r="106" spans="1:16" ht="13.5">
      <c r="A106" s="22" t="s">
        <v>65</v>
      </c>
      <c r="B106" s="23"/>
      <c r="C106" s="23"/>
      <c r="D106" s="23"/>
      <c r="E106" s="23"/>
      <c r="F106" s="23"/>
      <c r="G106" s="23"/>
      <c r="H106" s="2"/>
      <c r="I106" s="2"/>
      <c r="P106" s="2"/>
    </row>
    <row r="107" spans="1:16" ht="13.5">
      <c r="A107" s="144" t="s">
        <v>46</v>
      </c>
      <c r="B107" s="24" t="s">
        <v>10</v>
      </c>
      <c r="C107" s="7"/>
      <c r="D107" s="7"/>
      <c r="E107" s="7"/>
      <c r="F107" s="7"/>
      <c r="G107" s="7"/>
      <c r="H107" s="7"/>
      <c r="I107" s="7"/>
      <c r="J107" s="9"/>
      <c r="K107" s="9"/>
      <c r="L107" s="9"/>
      <c r="M107" s="10"/>
      <c r="P107" s="2"/>
    </row>
    <row r="108" spans="1:16" ht="13.5">
      <c r="A108" s="144"/>
      <c r="B108" s="26">
        <v>1</v>
      </c>
      <c r="C108" s="26">
        <v>2</v>
      </c>
      <c r="D108" s="26">
        <v>3</v>
      </c>
      <c r="E108" s="26">
        <v>4</v>
      </c>
      <c r="F108" s="26">
        <v>5</v>
      </c>
      <c r="G108" s="26">
        <v>6</v>
      </c>
      <c r="H108" s="26">
        <v>7</v>
      </c>
      <c r="I108" s="26">
        <v>8</v>
      </c>
      <c r="J108" s="26">
        <v>9</v>
      </c>
      <c r="K108" s="26">
        <v>10</v>
      </c>
      <c r="L108" s="26">
        <v>11</v>
      </c>
      <c r="M108" s="26">
        <v>12</v>
      </c>
      <c r="P108" s="2"/>
    </row>
    <row r="109" spans="1:16" ht="13.5">
      <c r="A109" s="13" t="str">
        <f>A$8</f>
        <v>On-Site Heavy Equipment</v>
      </c>
      <c r="B109" s="57">
        <f>'Table A16'!C7</f>
        <v>22.474890376011615</v>
      </c>
      <c r="C109" s="57">
        <f>'Table A16'!D7</f>
        <v>23.726937139046136</v>
      </c>
      <c r="D109" s="57">
        <f>'Table A16'!E7</f>
        <v>25.034331391898824</v>
      </c>
      <c r="E109" s="57">
        <f>'Table A16'!F7</f>
        <v>27.833698157361614</v>
      </c>
      <c r="F109" s="57">
        <f>'Table A16'!G7</f>
        <v>29.819417296681003</v>
      </c>
      <c r="G109" s="57">
        <f>'Table A16'!H7</f>
        <v>28.647345783505006</v>
      </c>
      <c r="H109" s="57">
        <f>'Table A16'!I7</f>
        <v>7.504477420386436</v>
      </c>
      <c r="I109" s="57">
        <f>'Table A16'!J7</f>
        <v>7.504477420386436</v>
      </c>
      <c r="J109" s="57">
        <f>'Table A16'!K7</f>
        <v>8.916474683138004</v>
      </c>
      <c r="K109" s="57">
        <f>'Table A16'!L7</f>
        <v>7.556778925335873</v>
      </c>
      <c r="L109" s="57">
        <f>'Table A16'!M7</f>
        <v>7.556778925335873</v>
      </c>
      <c r="M109" s="57">
        <f>'Table A16'!N7</f>
        <v>4.079087273406391</v>
      </c>
      <c r="P109" s="2"/>
    </row>
    <row r="110" spans="1:16" ht="13.5">
      <c r="A110" s="13" t="str">
        <f>A$9</f>
        <v>On-Site Motor Vehicles</v>
      </c>
      <c r="B110" s="57">
        <f>'Tables A18-A25'!B81</f>
        <v>1.4100316528402042</v>
      </c>
      <c r="C110" s="57">
        <f>'Tables A18-A25'!C81</f>
        <v>1.4306687616143905</v>
      </c>
      <c r="D110" s="57">
        <f>'Tables A18-A25'!D81</f>
        <v>1.4306687616143905</v>
      </c>
      <c r="E110" s="57">
        <f>'Tables A18-A25'!E81</f>
        <v>1.471942979162763</v>
      </c>
      <c r="F110" s="57">
        <f>'Tables A18-A25'!F81</f>
        <v>1.5132171967111354</v>
      </c>
      <c r="G110" s="57">
        <f>'Tables A18-A25'!G81</f>
        <v>0.14445976141930353</v>
      </c>
      <c r="H110" s="57">
        <f>'Tables A18-A25'!H81</f>
        <v>0.14445976141930353</v>
      </c>
      <c r="I110" s="57">
        <f>'Tables A18-A25'!I81</f>
        <v>0.14445976141930353</v>
      </c>
      <c r="J110" s="57">
        <f>'Tables A18-A25'!J81</f>
        <v>0.14445976141930353</v>
      </c>
      <c r="K110" s="57">
        <f>'Tables A18-A25'!K81</f>
        <v>0.14445976141930353</v>
      </c>
      <c r="L110" s="57">
        <f>'Tables A18-A25'!L81</f>
        <v>0.14445976141930353</v>
      </c>
      <c r="M110" s="57">
        <f>'Tables A18-A25'!M81</f>
        <v>0.06191132632255866</v>
      </c>
      <c r="P110" s="2"/>
    </row>
    <row r="111" spans="1:16" ht="13.5">
      <c r="A111" s="13" t="str">
        <f>A$10</f>
        <v>On-Site Other Fugitive PM10</v>
      </c>
      <c r="B111" s="135">
        <f>SUM('Table A16'!C8:C9)</f>
        <v>0.2364075650118203</v>
      </c>
      <c r="C111" s="135">
        <f>SUM('Table A16'!D8:D9)</f>
        <v>0.21882978723404253</v>
      </c>
      <c r="D111" s="135">
        <f>SUM('Table A16'!E8:E9)</f>
        <v>0.21882978723404253</v>
      </c>
      <c r="E111" s="135">
        <f>SUM('Table A16'!F8:F9)</f>
        <v>0.21882978723404253</v>
      </c>
      <c r="F111" s="135">
        <f>SUM('Table A16'!G8:G9)</f>
        <v>0.21882978723404253</v>
      </c>
      <c r="G111" s="135">
        <f>SUM('Table A16'!H8:H9)</f>
        <v>0.21882978723404253</v>
      </c>
      <c r="H111" s="135">
        <f>SUM('Table A16'!I8:I9)</f>
        <v>0.10941489361702127</v>
      </c>
      <c r="I111" s="135">
        <f>SUM('Table A16'!J8:J9)</f>
        <v>0.10941489361702127</v>
      </c>
      <c r="J111" s="135">
        <f>SUM('Table A16'!K8:K9)</f>
        <v>0.10941489361702127</v>
      </c>
      <c r="K111" s="135">
        <f>SUM('Table A16'!L8:L9)</f>
        <v>0.10941489361702127</v>
      </c>
      <c r="L111" s="135">
        <f>SUM('Table A16'!M8:M9)</f>
        <v>0.10941489361702127</v>
      </c>
      <c r="M111" s="135">
        <f>SUM('Table A16'!N8:N9)</f>
        <v>0</v>
      </c>
      <c r="P111" s="2"/>
    </row>
    <row r="112" spans="1:16" ht="13.5">
      <c r="A112" s="13" t="str">
        <f>A$11</f>
        <v>On-Site Architectural Coating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P112" s="2"/>
    </row>
    <row r="113" spans="1:16" ht="13.5">
      <c r="A113" s="16" t="str">
        <f>A$12</f>
        <v>On-Site Subtotal</v>
      </c>
      <c r="B113" s="58">
        <f aca="true" t="shared" si="35" ref="B113:G113">SUM(B109:B112)</f>
        <v>24.12132959386364</v>
      </c>
      <c r="C113" s="58">
        <f t="shared" si="35"/>
        <v>25.37643568789457</v>
      </c>
      <c r="D113" s="58">
        <f t="shared" si="35"/>
        <v>26.68382994074726</v>
      </c>
      <c r="E113" s="58">
        <f t="shared" si="35"/>
        <v>29.524470923758418</v>
      </c>
      <c r="F113" s="58">
        <f t="shared" si="35"/>
        <v>31.55146428062618</v>
      </c>
      <c r="G113" s="58">
        <f t="shared" si="35"/>
        <v>29.01063533215835</v>
      </c>
      <c r="H113" s="58">
        <f aca="true" t="shared" si="36" ref="H113:M113">SUM(H109:H112)</f>
        <v>7.758352075422762</v>
      </c>
      <c r="I113" s="58">
        <f t="shared" si="36"/>
        <v>7.758352075422762</v>
      </c>
      <c r="J113" s="58">
        <f t="shared" si="36"/>
        <v>9.17034933817433</v>
      </c>
      <c r="K113" s="58">
        <f t="shared" si="36"/>
        <v>7.810653580372199</v>
      </c>
      <c r="L113" s="58">
        <f t="shared" si="36"/>
        <v>7.810653580372199</v>
      </c>
      <c r="M113" s="58">
        <f t="shared" si="36"/>
        <v>4.14099859972895</v>
      </c>
      <c r="P113" s="2"/>
    </row>
    <row r="114" spans="1:16" ht="13.5">
      <c r="A114" s="13" t="str">
        <f>A$13</f>
        <v>Off-Site Motor Vehicles</v>
      </c>
      <c r="B114" s="57">
        <f>'Tables A18-A25'!B82</f>
        <v>1.1214103782803333</v>
      </c>
      <c r="C114" s="57">
        <f>'Tables A18-A25'!C82</f>
        <v>1.7560138195966688</v>
      </c>
      <c r="D114" s="57">
        <f>'Tables A18-A25'!D82</f>
        <v>1.9777085761251751</v>
      </c>
      <c r="E114" s="57">
        <f>'Tables A18-A25'!E82</f>
        <v>2.262744691661826</v>
      </c>
      <c r="F114" s="57">
        <f>'Tables A18-A25'!F82</f>
        <v>2.653349738878718</v>
      </c>
      <c r="G114" s="57">
        <f>'Tables A18-A25'!G82</f>
        <v>3.1495237177758515</v>
      </c>
      <c r="H114" s="57">
        <f>'Tables A18-A25'!H82</f>
        <v>3.6456976966729844</v>
      </c>
      <c r="I114" s="57">
        <f>'Tables A18-A25'!I82</f>
        <v>3.3606615811363336</v>
      </c>
      <c r="J114" s="57">
        <f>'Tables A18-A25'!J82</f>
        <v>3.4134460469764543</v>
      </c>
      <c r="K114" s="57">
        <f>'Tables A18-A25'!K82</f>
        <v>2.9371960031804805</v>
      </c>
      <c r="L114" s="57">
        <f>'Tables A18-A25'!L82</f>
        <v>2.7682857124920948</v>
      </c>
      <c r="M114" s="57">
        <f>'Tables A18-A25'!M82</f>
        <v>2.0926445497385515</v>
      </c>
      <c r="P114" s="2"/>
    </row>
    <row r="115" spans="1:16" ht="13.5">
      <c r="A115" s="16" t="str">
        <f>A$14</f>
        <v>Off-Site Subtotal</v>
      </c>
      <c r="B115" s="58">
        <f aca="true" t="shared" si="37" ref="B115:G115">B114</f>
        <v>1.1214103782803333</v>
      </c>
      <c r="C115" s="58">
        <f t="shared" si="37"/>
        <v>1.7560138195966688</v>
      </c>
      <c r="D115" s="58">
        <f t="shared" si="37"/>
        <v>1.9777085761251751</v>
      </c>
      <c r="E115" s="58">
        <f t="shared" si="37"/>
        <v>2.262744691661826</v>
      </c>
      <c r="F115" s="58">
        <f t="shared" si="37"/>
        <v>2.653349738878718</v>
      </c>
      <c r="G115" s="58">
        <f t="shared" si="37"/>
        <v>3.1495237177758515</v>
      </c>
      <c r="H115" s="58">
        <f aca="true" t="shared" si="38" ref="H115:M115">H114</f>
        <v>3.6456976966729844</v>
      </c>
      <c r="I115" s="58">
        <f t="shared" si="38"/>
        <v>3.3606615811363336</v>
      </c>
      <c r="J115" s="58">
        <f t="shared" si="38"/>
        <v>3.4134460469764543</v>
      </c>
      <c r="K115" s="58">
        <f t="shared" si="38"/>
        <v>2.9371960031804805</v>
      </c>
      <c r="L115" s="58">
        <f t="shared" si="38"/>
        <v>2.7682857124920948</v>
      </c>
      <c r="M115" s="58">
        <f t="shared" si="38"/>
        <v>2.0926445497385515</v>
      </c>
      <c r="P115" s="2"/>
    </row>
    <row r="116" spans="1:16" ht="13.5">
      <c r="A116" s="16" t="str">
        <f>A$15</f>
        <v>Total</v>
      </c>
      <c r="B116" s="58">
        <f aca="true" t="shared" si="39" ref="B116:G116">B115+B113</f>
        <v>25.242739972143973</v>
      </c>
      <c r="C116" s="58">
        <f t="shared" si="39"/>
        <v>27.132449507491238</v>
      </c>
      <c r="D116" s="58">
        <f t="shared" si="39"/>
        <v>28.661538516872433</v>
      </c>
      <c r="E116" s="58">
        <f t="shared" si="39"/>
        <v>31.787215615420244</v>
      </c>
      <c r="F116" s="58">
        <f t="shared" si="39"/>
        <v>34.2048140195049</v>
      </c>
      <c r="G116" s="58">
        <f t="shared" si="39"/>
        <v>32.1601590499342</v>
      </c>
      <c r="H116" s="58">
        <f aca="true" t="shared" si="40" ref="H116:M116">H115+H113</f>
        <v>11.404049772095746</v>
      </c>
      <c r="I116" s="58">
        <f t="shared" si="40"/>
        <v>11.119013656559096</v>
      </c>
      <c r="J116" s="58">
        <f t="shared" si="40"/>
        <v>12.583795385150783</v>
      </c>
      <c r="K116" s="58">
        <f t="shared" si="40"/>
        <v>10.747849583552679</v>
      </c>
      <c r="L116" s="58">
        <f t="shared" si="40"/>
        <v>10.578939292864293</v>
      </c>
      <c r="M116" s="58">
        <f t="shared" si="40"/>
        <v>6.233643149467501</v>
      </c>
      <c r="P116" s="2"/>
    </row>
    <row r="117" spans="8:16" ht="13.5">
      <c r="H117" s="2"/>
      <c r="I117" s="2"/>
      <c r="P117" s="2"/>
    </row>
    <row r="118" spans="1:16" ht="13.5">
      <c r="A118" s="1"/>
      <c r="B118" s="2"/>
      <c r="C118" s="2"/>
      <c r="D118" s="2"/>
      <c r="E118" s="2"/>
      <c r="F118" s="2"/>
      <c r="G118" s="2"/>
      <c r="H118" s="2"/>
      <c r="I118" s="2"/>
      <c r="P118" s="2"/>
    </row>
    <row r="119" spans="1:16" ht="13.5">
      <c r="A119" s="1"/>
      <c r="B119" s="2"/>
      <c r="C119" s="2"/>
      <c r="D119" s="2"/>
      <c r="E119" s="2"/>
      <c r="F119" s="2"/>
      <c r="G119" s="2"/>
      <c r="H119" s="2"/>
      <c r="I119" s="2"/>
      <c r="P119" s="2"/>
    </row>
    <row r="120" spans="1:16" ht="13.5">
      <c r="A120" s="1"/>
      <c r="B120" s="2"/>
      <c r="C120" s="2"/>
      <c r="D120" s="2"/>
      <c r="E120" s="2"/>
      <c r="F120" s="2"/>
      <c r="G120" s="2"/>
      <c r="H120" s="2"/>
      <c r="I120" s="2"/>
      <c r="P120" s="2"/>
    </row>
    <row r="121" spans="1:16" ht="13.5">
      <c r="A121" s="1"/>
      <c r="B121" s="2"/>
      <c r="C121" s="2"/>
      <c r="D121" s="2"/>
      <c r="E121" s="2"/>
      <c r="F121" s="2"/>
      <c r="G121" s="2"/>
      <c r="H121" s="2"/>
      <c r="I121" s="2"/>
      <c r="P121" s="2"/>
    </row>
    <row r="122" spans="1:16" ht="13.5">
      <c r="A122" s="1"/>
      <c r="B122" s="2"/>
      <c r="C122" s="2"/>
      <c r="D122" s="2"/>
      <c r="E122" s="2"/>
      <c r="F122" s="2"/>
      <c r="G122" s="2"/>
      <c r="H122" s="2"/>
      <c r="I122" s="2"/>
      <c r="P122" s="2"/>
    </row>
    <row r="123" spans="1:16" ht="13.5">
      <c r="A123" s="22" t="s">
        <v>66</v>
      </c>
      <c r="B123" s="5"/>
      <c r="C123" s="5"/>
      <c r="D123" s="5"/>
      <c r="E123" s="5"/>
      <c r="F123" s="5"/>
      <c r="G123" s="5"/>
      <c r="H123" s="2"/>
      <c r="I123" s="2"/>
      <c r="P123" s="2"/>
    </row>
    <row r="124" spans="1:16" ht="13.5">
      <c r="A124" s="143" t="s">
        <v>46</v>
      </c>
      <c r="B124" s="24" t="s">
        <v>10</v>
      </c>
      <c r="C124" s="7"/>
      <c r="D124" s="7"/>
      <c r="E124" s="7"/>
      <c r="F124" s="7"/>
      <c r="G124" s="7"/>
      <c r="H124" s="7"/>
      <c r="I124" s="7"/>
      <c r="J124" s="9"/>
      <c r="K124" s="9"/>
      <c r="L124" s="9"/>
      <c r="M124" s="10"/>
      <c r="P124" s="2"/>
    </row>
    <row r="125" spans="1:16" ht="13.5">
      <c r="A125" s="144"/>
      <c r="B125" s="26">
        <v>1</v>
      </c>
      <c r="C125" s="26">
        <v>2</v>
      </c>
      <c r="D125" s="26">
        <v>3</v>
      </c>
      <c r="E125" s="26">
        <v>4</v>
      </c>
      <c r="F125" s="26">
        <v>5</v>
      </c>
      <c r="G125" s="26">
        <v>6</v>
      </c>
      <c r="H125" s="26">
        <v>7</v>
      </c>
      <c r="I125" s="26">
        <v>8</v>
      </c>
      <c r="J125" s="26">
        <v>9</v>
      </c>
      <c r="K125" s="26">
        <v>10</v>
      </c>
      <c r="L125" s="26">
        <v>11</v>
      </c>
      <c r="M125" s="26">
        <v>12</v>
      </c>
      <c r="P125" s="2"/>
    </row>
    <row r="126" spans="1:16" ht="13.5">
      <c r="A126" s="13" t="str">
        <f>A$8</f>
        <v>On-Site Heavy Equipment</v>
      </c>
      <c r="B126" s="57">
        <f aca="true" t="shared" si="41" ref="B126:G129">B96+B109</f>
        <v>23.356440376011616</v>
      </c>
      <c r="C126" s="57">
        <f t="shared" si="41"/>
        <v>25.182669139046137</v>
      </c>
      <c r="D126" s="57">
        <f t="shared" si="41"/>
        <v>27.410425891898825</v>
      </c>
      <c r="E126" s="57">
        <f t="shared" si="41"/>
        <v>31.283850407361612</v>
      </c>
      <c r="F126" s="57">
        <f t="shared" si="41"/>
        <v>34.402624546681004</v>
      </c>
      <c r="G126" s="57">
        <f t="shared" si="41"/>
        <v>32.554506783505005</v>
      </c>
      <c r="H126" s="57">
        <f aca="true" t="shared" si="42" ref="H126:M126">H96+H109</f>
        <v>11.457943420386435</v>
      </c>
      <c r="I126" s="57">
        <f t="shared" si="42"/>
        <v>11.209543420386437</v>
      </c>
      <c r="J126" s="57">
        <f t="shared" si="42"/>
        <v>12.707040683138004</v>
      </c>
      <c r="K126" s="57">
        <f t="shared" si="42"/>
        <v>10.574244925335874</v>
      </c>
      <c r="L126" s="57">
        <f t="shared" si="42"/>
        <v>10.574244925335874</v>
      </c>
      <c r="M126" s="57">
        <f t="shared" si="42"/>
        <v>6.1317532734063915</v>
      </c>
      <c r="P126" s="2"/>
    </row>
    <row r="127" spans="1:16" ht="13.5">
      <c r="A127" s="13" t="str">
        <f>A$9</f>
        <v>On-Site Motor Vehicles</v>
      </c>
      <c r="B127" s="57">
        <f t="shared" si="41"/>
        <v>1.4398817410236258</v>
      </c>
      <c r="C127" s="57">
        <f t="shared" si="41"/>
        <v>1.461224317169946</v>
      </c>
      <c r="D127" s="57">
        <f t="shared" si="41"/>
        <v>1.461224317169946</v>
      </c>
      <c r="E127" s="57">
        <f t="shared" si="41"/>
        <v>1.5039094694625865</v>
      </c>
      <c r="F127" s="57">
        <f t="shared" si="41"/>
        <v>1.546594621755227</v>
      </c>
      <c r="G127" s="57">
        <f t="shared" si="41"/>
        <v>0.1493980330242418</v>
      </c>
      <c r="H127" s="57">
        <f aca="true" t="shared" si="43" ref="H127:M127">H97+H110</f>
        <v>0.1493980330242418</v>
      </c>
      <c r="I127" s="57">
        <f t="shared" si="43"/>
        <v>0.1493980330242418</v>
      </c>
      <c r="J127" s="57">
        <f t="shared" si="43"/>
        <v>0.1493980330242418</v>
      </c>
      <c r="K127" s="57">
        <f t="shared" si="43"/>
        <v>0.1493980330242418</v>
      </c>
      <c r="L127" s="57">
        <f t="shared" si="43"/>
        <v>0.1493980330242418</v>
      </c>
      <c r="M127" s="57">
        <f t="shared" si="43"/>
        <v>0.06402772843896078</v>
      </c>
      <c r="P127" s="2"/>
    </row>
    <row r="128" spans="1:16" ht="13.5">
      <c r="A128" s="13" t="str">
        <f>A$10</f>
        <v>On-Site Other Fugitive PM10</v>
      </c>
      <c r="B128" s="57">
        <f t="shared" si="41"/>
        <v>0.2364075650118203</v>
      </c>
      <c r="C128" s="57">
        <f t="shared" si="41"/>
        <v>0.21882978723404253</v>
      </c>
      <c r="D128" s="57">
        <f t="shared" si="41"/>
        <v>0.21882978723404253</v>
      </c>
      <c r="E128" s="57">
        <f t="shared" si="41"/>
        <v>0.21882978723404253</v>
      </c>
      <c r="F128" s="57">
        <f t="shared" si="41"/>
        <v>0.21882978723404253</v>
      </c>
      <c r="G128" s="57">
        <f t="shared" si="41"/>
        <v>0.21882978723404253</v>
      </c>
      <c r="H128" s="57">
        <f aca="true" t="shared" si="44" ref="H128:M128">H98+H111</f>
        <v>0.10941489361702127</v>
      </c>
      <c r="I128" s="57">
        <f t="shared" si="44"/>
        <v>0.10941489361702127</v>
      </c>
      <c r="J128" s="57">
        <f t="shared" si="44"/>
        <v>0.10941489361702127</v>
      </c>
      <c r="K128" s="57">
        <f t="shared" si="44"/>
        <v>0.10941489361702127</v>
      </c>
      <c r="L128" s="57">
        <f t="shared" si="44"/>
        <v>0.10941489361702127</v>
      </c>
      <c r="M128" s="57">
        <f t="shared" si="44"/>
        <v>0</v>
      </c>
      <c r="P128" s="2"/>
    </row>
    <row r="129" spans="1:16" ht="13.5">
      <c r="A129" s="13" t="str">
        <f>A$11</f>
        <v>On-Site Architectural Coating</v>
      </c>
      <c r="B129" s="57">
        <f t="shared" si="41"/>
        <v>0</v>
      </c>
      <c r="C129" s="57">
        <f t="shared" si="41"/>
        <v>0</v>
      </c>
      <c r="D129" s="57">
        <f t="shared" si="41"/>
        <v>0</v>
      </c>
      <c r="E129" s="57">
        <f t="shared" si="41"/>
        <v>0</v>
      </c>
      <c r="F129" s="57">
        <f t="shared" si="41"/>
        <v>0</v>
      </c>
      <c r="G129" s="57">
        <f t="shared" si="41"/>
        <v>0</v>
      </c>
      <c r="H129" s="57">
        <f aca="true" t="shared" si="45" ref="H129:M129">H99+H112</f>
        <v>0</v>
      </c>
      <c r="I129" s="57">
        <f t="shared" si="45"/>
        <v>0</v>
      </c>
      <c r="J129" s="57">
        <f t="shared" si="45"/>
        <v>0</v>
      </c>
      <c r="K129" s="57">
        <f t="shared" si="45"/>
        <v>0</v>
      </c>
      <c r="L129" s="57">
        <f t="shared" si="45"/>
        <v>0</v>
      </c>
      <c r="M129" s="57">
        <f t="shared" si="45"/>
        <v>0</v>
      </c>
      <c r="P129" s="2"/>
    </row>
    <row r="130" spans="1:16" ht="13.5">
      <c r="A130" s="16" t="str">
        <f>A$12</f>
        <v>On-Site Subtotal</v>
      </c>
      <c r="B130" s="58">
        <f aca="true" t="shared" si="46" ref="B130:G130">SUM(B126:B129)</f>
        <v>25.032729682047062</v>
      </c>
      <c r="C130" s="58">
        <f t="shared" si="46"/>
        <v>26.862723243450127</v>
      </c>
      <c r="D130" s="58">
        <f t="shared" si="46"/>
        <v>29.090479996302815</v>
      </c>
      <c r="E130" s="58">
        <f t="shared" si="46"/>
        <v>33.00658966405824</v>
      </c>
      <c r="F130" s="58">
        <f t="shared" si="46"/>
        <v>36.16804895567027</v>
      </c>
      <c r="G130" s="58">
        <f t="shared" si="46"/>
        <v>32.92273460376329</v>
      </c>
      <c r="H130" s="58">
        <f aca="true" t="shared" si="47" ref="H130:M130">SUM(H126:H129)</f>
        <v>11.7167563470277</v>
      </c>
      <c r="I130" s="58">
        <f t="shared" si="47"/>
        <v>11.4683563470277</v>
      </c>
      <c r="J130" s="58">
        <f t="shared" si="47"/>
        <v>12.965853609779268</v>
      </c>
      <c r="K130" s="58">
        <f t="shared" si="47"/>
        <v>10.833057851977138</v>
      </c>
      <c r="L130" s="58">
        <f t="shared" si="47"/>
        <v>10.833057851977138</v>
      </c>
      <c r="M130" s="58">
        <f t="shared" si="47"/>
        <v>6.1957810018453525</v>
      </c>
      <c r="P130" s="2"/>
    </row>
    <row r="131" spans="1:16" ht="13.5">
      <c r="A131" s="13" t="str">
        <f>A$13</f>
        <v>Off-Site Motor Vehicles</v>
      </c>
      <c r="B131" s="57">
        <f aca="true" t="shared" si="48" ref="B131:G131">B101+B114</f>
        <v>1.1744064100263651</v>
      </c>
      <c r="C131" s="57">
        <f t="shared" si="48"/>
        <v>1.8399137314132472</v>
      </c>
      <c r="D131" s="57">
        <f t="shared" si="48"/>
        <v>2.074826080534346</v>
      </c>
      <c r="E131" s="57">
        <f t="shared" si="48"/>
        <v>2.3768562436900447</v>
      </c>
      <c r="F131" s="57">
        <f t="shared" si="48"/>
        <v>2.790749430236743</v>
      </c>
      <c r="G131" s="57">
        <f t="shared" si="48"/>
        <v>3.3165056401744404</v>
      </c>
      <c r="H131" s="57">
        <f aca="true" t="shared" si="49" ref="H131:M131">H101+H114</f>
        <v>3.8422618501121377</v>
      </c>
      <c r="I131" s="57">
        <f t="shared" si="49"/>
        <v>3.5402316869564396</v>
      </c>
      <c r="J131" s="57">
        <f t="shared" si="49"/>
        <v>3.596163198651939</v>
      </c>
      <c r="K131" s="57">
        <f t="shared" si="49"/>
        <v>3.098450412351556</v>
      </c>
      <c r="L131" s="57">
        <f t="shared" si="49"/>
        <v>2.9194695749259574</v>
      </c>
      <c r="M131" s="57">
        <f t="shared" si="49"/>
        <v>2.2035462252235605</v>
      </c>
      <c r="P131" s="2"/>
    </row>
    <row r="132" spans="1:16" ht="13.5">
      <c r="A132" s="16" t="str">
        <f>A$14</f>
        <v>Off-Site Subtotal</v>
      </c>
      <c r="B132" s="58">
        <f aca="true" t="shared" si="50" ref="B132:G132">B131</f>
        <v>1.1744064100263651</v>
      </c>
      <c r="C132" s="58">
        <f t="shared" si="50"/>
        <v>1.8399137314132472</v>
      </c>
      <c r="D132" s="58">
        <f t="shared" si="50"/>
        <v>2.074826080534346</v>
      </c>
      <c r="E132" s="58">
        <f t="shared" si="50"/>
        <v>2.3768562436900447</v>
      </c>
      <c r="F132" s="58">
        <f t="shared" si="50"/>
        <v>2.790749430236743</v>
      </c>
      <c r="G132" s="58">
        <f t="shared" si="50"/>
        <v>3.3165056401744404</v>
      </c>
      <c r="H132" s="58">
        <f aca="true" t="shared" si="51" ref="H132:M132">H131</f>
        <v>3.8422618501121377</v>
      </c>
      <c r="I132" s="58">
        <f t="shared" si="51"/>
        <v>3.5402316869564396</v>
      </c>
      <c r="J132" s="58">
        <f t="shared" si="51"/>
        <v>3.596163198651939</v>
      </c>
      <c r="K132" s="58">
        <f t="shared" si="51"/>
        <v>3.098450412351556</v>
      </c>
      <c r="L132" s="58">
        <f t="shared" si="51"/>
        <v>2.9194695749259574</v>
      </c>
      <c r="M132" s="58">
        <f t="shared" si="51"/>
        <v>2.2035462252235605</v>
      </c>
      <c r="P132" s="2"/>
    </row>
    <row r="133" spans="1:16" ht="13.5">
      <c r="A133" s="16" t="str">
        <f>A$15</f>
        <v>Total</v>
      </c>
      <c r="B133" s="58">
        <f aca="true" t="shared" si="52" ref="B133:G133">B132+B130</f>
        <v>26.207136092073426</v>
      </c>
      <c r="C133" s="58">
        <f t="shared" si="52"/>
        <v>28.702636974863374</v>
      </c>
      <c r="D133" s="58">
        <f t="shared" si="52"/>
        <v>31.16530607683716</v>
      </c>
      <c r="E133" s="58">
        <f t="shared" si="52"/>
        <v>35.38344590774828</v>
      </c>
      <c r="F133" s="58">
        <f t="shared" si="52"/>
        <v>38.958798385907016</v>
      </c>
      <c r="G133" s="58">
        <f t="shared" si="52"/>
        <v>36.23924024393773</v>
      </c>
      <c r="H133" s="58">
        <f aca="true" t="shared" si="53" ref="H133:M133">H132+H130</f>
        <v>15.559018197139837</v>
      </c>
      <c r="I133" s="58">
        <f t="shared" si="53"/>
        <v>15.00858803398414</v>
      </c>
      <c r="J133" s="58">
        <f t="shared" si="53"/>
        <v>16.562016808431206</v>
      </c>
      <c r="K133" s="58">
        <f t="shared" si="53"/>
        <v>13.931508264328695</v>
      </c>
      <c r="L133" s="58">
        <f t="shared" si="53"/>
        <v>13.752527426903095</v>
      </c>
      <c r="M133" s="58">
        <f t="shared" si="53"/>
        <v>8.399327227068913</v>
      </c>
      <c r="P133" s="2"/>
    </row>
    <row r="134" spans="8:16" ht="13.5">
      <c r="H134" s="2"/>
      <c r="I134" s="2"/>
      <c r="P134" s="2"/>
    </row>
    <row r="135" spans="8:16" ht="13.5">
      <c r="H135" s="2"/>
      <c r="I135" s="2"/>
      <c r="P135" s="2"/>
    </row>
  </sheetData>
  <sheetProtection/>
  <mergeCells count="7">
    <mergeCell ref="A124:A125"/>
    <mergeCell ref="A94:A95"/>
    <mergeCell ref="A107:A108"/>
    <mergeCell ref="A41:A42"/>
    <mergeCell ref="A81:A82"/>
    <mergeCell ref="A54:A55"/>
    <mergeCell ref="A67:A68"/>
  </mergeCells>
  <printOptions/>
  <pageMargins left="0.75" right="0.5" top="0.75" bottom="0.75" header="0.5" footer="0.5"/>
  <pageSetup horizontalDpi="300" verticalDpi="300" orientation="landscape" scale="90" r:id="rId1"/>
  <headerFooter alignWithMargins="0">
    <oddHeader>&amp;C&amp;"Arial,Bold"TABLES A-1 THROUGH A-9
PEAK DAY CONSTRUCTION CALCULATIONS</oddHeader>
    <oddFooter>&amp;L&amp;6N:\2184\CONSTRUCTION EMISSIONS&amp;C&amp;"Arial Narrow,Regular"A-&amp;P&amp;R5/21/03</oddFooter>
  </headerFooter>
  <rowBreaks count="2" manualBreakCount="2">
    <brk id="39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showGridLines="0" zoomScalePageLayoutView="0" workbookViewId="0" topLeftCell="A67">
      <pane xSplit="1" topLeftCell="B1" activePane="topRight" state="frozen"/>
      <selection pane="topLeft" activeCell="O21" sqref="O21"/>
      <selection pane="topRight" activeCell="O21" sqref="O21"/>
    </sheetView>
  </sheetViews>
  <sheetFormatPr defaultColWidth="9.140625" defaultRowHeight="12.75"/>
  <cols>
    <col min="1" max="1" width="22.00390625" style="3" customWidth="1"/>
    <col min="2" max="13" width="7.57421875" style="3" customWidth="1"/>
    <col min="14" max="14" width="8.421875" style="3" bestFit="1" customWidth="1"/>
    <col min="15" max="16" width="9.140625" style="3" customWidth="1"/>
    <col min="17" max="21" width="5.140625" style="3" customWidth="1"/>
    <col min="22" max="23" width="9.140625" style="3" customWidth="1"/>
    <col min="24" max="24" width="10.00390625" style="3" customWidth="1"/>
    <col min="25" max="16384" width="9.140625" style="3" customWidth="1"/>
  </cols>
  <sheetData>
    <row r="1" ht="13.5">
      <c r="A1" s="25" t="str">
        <f>'Tables A1-A9'!A1</f>
        <v>Chevron/Air Liquide EIR Construction Emissions</v>
      </c>
    </row>
    <row r="3" spans="1:14" ht="13.5">
      <c r="A3" s="22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3.5">
      <c r="A4" s="147" t="s">
        <v>9</v>
      </c>
      <c r="B4" s="24" t="s">
        <v>10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2"/>
    </row>
    <row r="5" spans="1:14" ht="13.5">
      <c r="A5" s="146"/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"/>
    </row>
    <row r="6" spans="1:14" ht="13.5">
      <c r="A6" s="13" t="str">
        <f>'Table A15'!A6</f>
        <v>175 CFM AIR COMPRESSOR</v>
      </c>
      <c r="B6" s="57">
        <f>'Table A15'!$AD6*'Table A15'!R6*VLOOKUP($A6,'Table A15'!$A$6:$Q$24,11,FALSE)</f>
        <v>2.5919999999999996</v>
      </c>
      <c r="C6" s="57">
        <f>'Table A15'!$AD6*'Table A15'!S6*VLOOKUP($A6,'Table A15'!$A$6:$Q$24,11,FALSE)</f>
        <v>2.5919999999999996</v>
      </c>
      <c r="D6" s="57">
        <f>'Table A15'!$AD6*'Table A15'!T6*VLOOKUP($A6,'Table A15'!$A$6:$Q$24,11,FALSE)</f>
        <v>2.5919999999999996</v>
      </c>
      <c r="E6" s="57">
        <f>'Table A15'!$AD6*'Table A15'!U6*VLOOKUP($A6,'Table A15'!$A$6:$Q$24,11,FALSE)</f>
        <v>2.5919999999999996</v>
      </c>
      <c r="F6" s="57">
        <f>'Table A15'!$AD6*'Table A15'!V6*VLOOKUP($A6,'Table A15'!$A$6:$Q$24,11,FALSE)</f>
        <v>2.5919999999999996</v>
      </c>
      <c r="G6" s="57">
        <f>'Table A15'!$AD6*'Table A15'!W6*VLOOKUP($A6,'Table A15'!$A$6:$Q$24,11,FALSE)</f>
        <v>0</v>
      </c>
      <c r="H6" s="57">
        <f>'Table A15'!$AD6*'Table A15'!X6*VLOOKUP($A6,'Table A15'!$A$6:$Q$24,11,FALSE)</f>
        <v>0</v>
      </c>
      <c r="I6" s="57">
        <f>'Table A15'!$AD6*'Table A15'!Y6*VLOOKUP($A6,'Table A15'!$A$6:$Q$24,11,FALSE)</f>
        <v>0</v>
      </c>
      <c r="J6" s="57">
        <f>'Table A15'!$AD6*'Table A15'!Z6*VLOOKUP($A6,'Table A15'!$A$6:$Q$24,11,FALSE)</f>
        <v>0</v>
      </c>
      <c r="K6" s="57">
        <f>'Table A15'!$AD6*'Table A15'!AA6*VLOOKUP($A6,'Table A15'!$A$6:$Q$24,11,FALSE)</f>
        <v>0</v>
      </c>
      <c r="L6" s="57">
        <f>'Table A15'!$AD6*'Table A15'!AB6*VLOOKUP($A6,'Table A15'!$A$6:$Q$24,11,FALSE)</f>
        <v>0</v>
      </c>
      <c r="M6" s="57">
        <f>'Table A15'!$AD6*'Table A15'!AC6*VLOOKUP($A6,'Table A15'!$A$6:$Q$24,11,FALSE)</f>
        <v>0</v>
      </c>
      <c r="N6" s="2"/>
    </row>
    <row r="7" spans="1:14" ht="13.5">
      <c r="A7" s="13" t="str">
        <f>'Table A15'!A7</f>
        <v>BACKHOE - CASE 580</v>
      </c>
      <c r="B7" s="57">
        <f>'Table A15'!$AD7*'Table A15'!R7*VLOOKUP($A7,'Table A15'!$A$6:$Q$24,11,FALSE)</f>
        <v>3.9548249999999996</v>
      </c>
      <c r="C7" s="57">
        <f>'Table A15'!$AD7*'Table A15'!S7*VLOOKUP($A7,'Table A15'!$A$6:$Q$24,11,FALSE)</f>
        <v>7.909649999999999</v>
      </c>
      <c r="D7" s="57">
        <f>'Table A15'!$AD7*'Table A15'!T7*VLOOKUP($A7,'Table A15'!$A$6:$Q$24,11,FALSE)</f>
        <v>7.909649999999999</v>
      </c>
      <c r="E7" s="57">
        <f>'Table A15'!$AD7*'Table A15'!U7*VLOOKUP($A7,'Table A15'!$A$6:$Q$24,11,FALSE)</f>
        <v>7.909649999999999</v>
      </c>
      <c r="F7" s="57">
        <f>'Table A15'!$AD7*'Table A15'!V7*VLOOKUP($A7,'Table A15'!$A$6:$Q$24,11,FALSE)</f>
        <v>11.864474999999999</v>
      </c>
      <c r="G7" s="57">
        <f>'Table A15'!$AD7*'Table A15'!W7*VLOOKUP($A7,'Table A15'!$A$6:$Q$24,11,FALSE)</f>
        <v>0</v>
      </c>
      <c r="H7" s="57">
        <f>'Table A15'!$AD7*'Table A15'!X7*VLOOKUP($A7,'Table A15'!$A$6:$Q$24,11,FALSE)</f>
        <v>0</v>
      </c>
      <c r="I7" s="57">
        <f>'Table A15'!$AD7*'Table A15'!Y7*VLOOKUP($A7,'Table A15'!$A$6:$Q$24,11,FALSE)</f>
        <v>0</v>
      </c>
      <c r="J7" s="57">
        <f>'Table A15'!$AD7*'Table A15'!Z7*VLOOKUP($A7,'Table A15'!$A$6:$Q$24,11,FALSE)</f>
        <v>0</v>
      </c>
      <c r="K7" s="57">
        <f>'Table A15'!$AD7*'Table A15'!AA7*VLOOKUP($A7,'Table A15'!$A$6:$Q$24,11,FALSE)</f>
        <v>0</v>
      </c>
      <c r="L7" s="57">
        <f>'Table A15'!$AD7*'Table A15'!AB7*VLOOKUP($A7,'Table A15'!$A$6:$Q$24,11,FALSE)</f>
        <v>0</v>
      </c>
      <c r="M7" s="57">
        <f>'Table A15'!$AD7*'Table A15'!AC7*VLOOKUP($A7,'Table A15'!$A$6:$Q$24,11,FALSE)</f>
        <v>0</v>
      </c>
      <c r="N7" s="2"/>
    </row>
    <row r="8" spans="1:14" ht="13.5">
      <c r="A8" s="13" t="str">
        <f>'Table A15'!A8</f>
        <v>BACKHOE -TRACK 1/2 CY</v>
      </c>
      <c r="B8" s="57">
        <f>'Table A15'!$AD8*'Table A15'!R8*VLOOKUP($A8,'Table A15'!$A$6:$Q$24,11,FALSE)</f>
        <v>0</v>
      </c>
      <c r="C8" s="57">
        <f>'Table A15'!$AD8*'Table A15'!S8*VLOOKUP($A8,'Table A15'!$A$6:$Q$24,11,FALSE)</f>
        <v>4.657905</v>
      </c>
      <c r="D8" s="57">
        <f>'Table A15'!$AD8*'Table A15'!T8*VLOOKUP($A8,'Table A15'!$A$6:$Q$24,11,FALSE)</f>
        <v>4.657905</v>
      </c>
      <c r="E8" s="57">
        <f>'Table A15'!$AD8*'Table A15'!U8*VLOOKUP($A8,'Table A15'!$A$6:$Q$24,11,FALSE)</f>
        <v>0</v>
      </c>
      <c r="F8" s="57">
        <f>'Table A15'!$AD8*'Table A15'!V8*VLOOKUP($A8,'Table A15'!$A$6:$Q$24,11,FALSE)</f>
        <v>0</v>
      </c>
      <c r="G8" s="57">
        <f>'Table A15'!$AD8*'Table A15'!W8*VLOOKUP($A8,'Table A15'!$A$6:$Q$24,11,FALSE)</f>
        <v>0</v>
      </c>
      <c r="H8" s="57">
        <f>'Table A15'!$AD8*'Table A15'!X8*VLOOKUP($A8,'Table A15'!$A$6:$Q$24,11,FALSE)</f>
        <v>0</v>
      </c>
      <c r="I8" s="57">
        <f>'Table A15'!$AD8*'Table A15'!Y8*VLOOKUP($A8,'Table A15'!$A$6:$Q$24,11,FALSE)</f>
        <v>0</v>
      </c>
      <c r="J8" s="57">
        <f>'Table A15'!$AD8*'Table A15'!Z8*VLOOKUP($A8,'Table A15'!$A$6:$Q$24,11,FALSE)</f>
        <v>0</v>
      </c>
      <c r="K8" s="57">
        <f>'Table A15'!$AD8*'Table A15'!AA8*VLOOKUP($A8,'Table A15'!$A$6:$Q$24,11,FALSE)</f>
        <v>0</v>
      </c>
      <c r="L8" s="57">
        <f>'Table A15'!$AD8*'Table A15'!AB8*VLOOKUP($A8,'Table A15'!$A$6:$Q$24,11,FALSE)</f>
        <v>0</v>
      </c>
      <c r="M8" s="57">
        <f>'Table A15'!$AD8*'Table A15'!AC8*VLOOKUP($A8,'Table A15'!$A$6:$Q$24,11,FALSE)</f>
        <v>0</v>
      </c>
      <c r="N8" s="2"/>
    </row>
    <row r="9" spans="1:14" ht="13.5">
      <c r="A9" s="13" t="str">
        <f>'Table A15'!A9</f>
        <v>BOBCAT OR DITCH WITCH</v>
      </c>
      <c r="B9" s="57">
        <f>'Table A15'!$AD9*'Table A15'!R9*VLOOKUP($A9,'Table A15'!$A$6:$Q$24,11,FALSE)</f>
        <v>5.461425</v>
      </c>
      <c r="C9" s="57">
        <f>'Table A15'!$AD9*'Table A15'!S9*VLOOKUP($A9,'Table A15'!$A$6:$Q$24,11,FALSE)</f>
        <v>5.461425</v>
      </c>
      <c r="D9" s="57">
        <f>'Table A15'!$AD9*'Table A15'!T9*VLOOKUP($A9,'Table A15'!$A$6:$Q$24,11,FALSE)</f>
        <v>5.461425</v>
      </c>
      <c r="E9" s="57">
        <f>'Table A15'!$AD9*'Table A15'!U9*VLOOKUP($A9,'Table A15'!$A$6:$Q$24,11,FALSE)</f>
        <v>5.461425</v>
      </c>
      <c r="F9" s="57">
        <f>'Table A15'!$AD9*'Table A15'!V9*VLOOKUP($A9,'Table A15'!$A$6:$Q$24,11,FALSE)</f>
        <v>5.461425</v>
      </c>
      <c r="G9" s="57">
        <f>'Table A15'!$AD9*'Table A15'!W9*VLOOKUP($A9,'Table A15'!$A$6:$Q$24,11,FALSE)</f>
        <v>5.461425</v>
      </c>
      <c r="H9" s="57">
        <f>'Table A15'!$AD9*'Table A15'!X9*VLOOKUP($A9,'Table A15'!$A$6:$Q$24,11,FALSE)</f>
        <v>0</v>
      </c>
      <c r="I9" s="57">
        <f>'Table A15'!$AD9*'Table A15'!Y9*VLOOKUP($A9,'Table A15'!$A$6:$Q$24,11,FALSE)</f>
        <v>0</v>
      </c>
      <c r="J9" s="57">
        <f>'Table A15'!$AD9*'Table A15'!Z9*VLOOKUP($A9,'Table A15'!$A$6:$Q$24,11,FALSE)</f>
        <v>0</v>
      </c>
      <c r="K9" s="57">
        <f>'Table A15'!$AD9*'Table A15'!AA9*VLOOKUP($A9,'Table A15'!$A$6:$Q$24,11,FALSE)</f>
        <v>0</v>
      </c>
      <c r="L9" s="57">
        <f>'Table A15'!$AD9*'Table A15'!AB9*VLOOKUP($A9,'Table A15'!$A$6:$Q$24,11,FALSE)</f>
        <v>0</v>
      </c>
      <c r="M9" s="57">
        <f>'Table A15'!$AD9*'Table A15'!AC9*VLOOKUP($A9,'Table A15'!$A$6:$Q$24,11,FALSE)</f>
        <v>0</v>
      </c>
      <c r="N9" s="2"/>
    </row>
    <row r="10" spans="1:14" ht="13.5">
      <c r="A10" s="13" t="str">
        <f>'Table A15'!A10</f>
        <v>4100W CRANE W/180 BOOM</v>
      </c>
      <c r="B10" s="57">
        <f>'Table A15'!$AD10*'Table A15'!R10*VLOOKUP($A10,'Table A15'!$A$6:$Q$24,11,FALSE)</f>
        <v>0</v>
      </c>
      <c r="C10" s="57">
        <f>'Table A15'!$AD10*'Table A15'!S10*VLOOKUP($A10,'Table A15'!$A$6:$Q$24,11,FALSE)</f>
        <v>0</v>
      </c>
      <c r="D10" s="57">
        <f>'Table A15'!$AD10*'Table A15'!T10*VLOOKUP($A10,'Table A15'!$A$6:$Q$24,11,FALSE)</f>
        <v>0</v>
      </c>
      <c r="E10" s="57">
        <f>'Table A15'!$AD10*'Table A15'!U10*VLOOKUP($A10,'Table A15'!$A$6:$Q$24,11,FALSE)</f>
        <v>0</v>
      </c>
      <c r="F10" s="57">
        <f>'Table A15'!$AD10*'Table A15'!V10*VLOOKUP($A10,'Table A15'!$A$6:$Q$24,11,FALSE)</f>
        <v>0</v>
      </c>
      <c r="G10" s="57">
        <f>'Table A15'!$AD10*'Table A15'!W10*VLOOKUP($A10,'Table A15'!$A$6:$Q$24,11,FALSE)</f>
        <v>2.511</v>
      </c>
      <c r="H10" s="57">
        <f>'Table A15'!$AD10*'Table A15'!X10*VLOOKUP($A10,'Table A15'!$A$6:$Q$24,11,FALSE)</f>
        <v>2.511</v>
      </c>
      <c r="I10" s="57">
        <f>'Table A15'!$AD10*'Table A15'!Y10*VLOOKUP($A10,'Table A15'!$A$6:$Q$24,11,FALSE)</f>
        <v>2.511</v>
      </c>
      <c r="J10" s="57">
        <f>'Table A15'!$AD10*'Table A15'!Z10*VLOOKUP($A10,'Table A15'!$A$6:$Q$24,11,FALSE)</f>
        <v>2.511</v>
      </c>
      <c r="K10" s="57">
        <f>'Table A15'!$AD10*'Table A15'!AA10*VLOOKUP($A10,'Table A15'!$A$6:$Q$24,11,FALSE)</f>
        <v>2.511</v>
      </c>
      <c r="L10" s="57">
        <f>'Table A15'!$AD10*'Table A15'!AB10*VLOOKUP($A10,'Table A15'!$A$6:$Q$24,11,FALSE)</f>
        <v>2.511</v>
      </c>
      <c r="M10" s="57">
        <f>'Table A15'!$AD10*'Table A15'!AC10*VLOOKUP($A10,'Table A15'!$A$6:$Q$24,11,FALSE)</f>
        <v>2.511</v>
      </c>
      <c r="N10" s="2"/>
    </row>
    <row r="11" spans="1:14" ht="13.5">
      <c r="A11" s="13" t="str">
        <f>'Table A15'!A11</f>
        <v>70 TON MOBILE CRANE</v>
      </c>
      <c r="B11" s="57">
        <f>'Table A15'!$AD11*'Table A15'!R11*VLOOKUP($A11,'Table A15'!$A$6:$Q$24,11,FALSE)</f>
        <v>0</v>
      </c>
      <c r="C11" s="57">
        <f>'Table A15'!$AD11*'Table A15'!S11*VLOOKUP($A11,'Table A15'!$A$6:$Q$24,11,FALSE)</f>
        <v>0</v>
      </c>
      <c r="D11" s="57">
        <f>'Table A15'!$AD11*'Table A15'!T11*VLOOKUP($A11,'Table A15'!$A$6:$Q$24,11,FALSE)</f>
        <v>0</v>
      </c>
      <c r="E11" s="57">
        <f>'Table A15'!$AD11*'Table A15'!U11*VLOOKUP($A11,'Table A15'!$A$6:$Q$24,11,FALSE)</f>
        <v>1.0125</v>
      </c>
      <c r="F11" s="57">
        <f>'Table A15'!$AD11*'Table A15'!V11*VLOOKUP($A11,'Table A15'!$A$6:$Q$24,11,FALSE)</f>
        <v>1.0125</v>
      </c>
      <c r="G11" s="57">
        <f>'Table A15'!$AD11*'Table A15'!W11*VLOOKUP($A11,'Table A15'!$A$6:$Q$24,11,FALSE)</f>
        <v>1.0125</v>
      </c>
      <c r="H11" s="57">
        <f>'Table A15'!$AD11*'Table A15'!X11*VLOOKUP($A11,'Table A15'!$A$6:$Q$24,11,FALSE)</f>
        <v>1.0125</v>
      </c>
      <c r="I11" s="57">
        <f>'Table A15'!$AD11*'Table A15'!Y11*VLOOKUP($A11,'Table A15'!$A$6:$Q$24,11,FALSE)</f>
        <v>1.0125</v>
      </c>
      <c r="J11" s="57">
        <f>'Table A15'!$AD11*'Table A15'!Z11*VLOOKUP($A11,'Table A15'!$A$6:$Q$24,11,FALSE)</f>
        <v>1.0125</v>
      </c>
      <c r="K11" s="57">
        <f>'Table A15'!$AD11*'Table A15'!AA11*VLOOKUP($A11,'Table A15'!$A$6:$Q$24,11,FALSE)</f>
        <v>1.0125</v>
      </c>
      <c r="L11" s="57">
        <f>'Table A15'!$AD11*'Table A15'!AB11*VLOOKUP($A11,'Table A15'!$A$6:$Q$24,11,FALSE)</f>
        <v>1.0125</v>
      </c>
      <c r="M11" s="57">
        <f>'Table A15'!$AD11*'Table A15'!AC11*VLOOKUP($A11,'Table A15'!$A$6:$Q$24,11,FALSE)</f>
        <v>1.0125</v>
      </c>
      <c r="N11" s="2"/>
    </row>
    <row r="12" spans="1:14" ht="13.5">
      <c r="A12" s="13" t="str">
        <f>'Table A15'!A12</f>
        <v>35 TON MOBILE CRANE</v>
      </c>
      <c r="B12" s="57">
        <f>'Table A15'!$AD12*'Table A15'!R12*VLOOKUP($A12,'Table A15'!$A$6:$Q$24,11,FALSE)</f>
        <v>0</v>
      </c>
      <c r="C12" s="57">
        <f>'Table A15'!$AD12*'Table A15'!S12*VLOOKUP($A12,'Table A15'!$A$6:$Q$24,11,FALSE)</f>
        <v>0</v>
      </c>
      <c r="D12" s="57">
        <f>'Table A15'!$AD12*'Table A15'!T12*VLOOKUP($A12,'Table A15'!$A$6:$Q$24,11,FALSE)</f>
        <v>0</v>
      </c>
      <c r="E12" s="57">
        <f>'Table A15'!$AD12*'Table A15'!U12*VLOOKUP($A12,'Table A15'!$A$6:$Q$24,11,FALSE)</f>
        <v>3.1764959999999998</v>
      </c>
      <c r="F12" s="57">
        <f>'Table A15'!$AD12*'Table A15'!V12*VLOOKUP($A12,'Table A15'!$A$6:$Q$24,11,FALSE)</f>
        <v>3.1764959999999998</v>
      </c>
      <c r="G12" s="57">
        <f>'Table A15'!$AD12*'Table A15'!W12*VLOOKUP($A12,'Table A15'!$A$6:$Q$24,11,FALSE)</f>
        <v>3.1764959999999998</v>
      </c>
      <c r="H12" s="57">
        <f>'Table A15'!$AD12*'Table A15'!X12*VLOOKUP($A12,'Table A15'!$A$6:$Q$24,11,FALSE)</f>
        <v>3.1764959999999998</v>
      </c>
      <c r="I12" s="57">
        <f>'Table A15'!$AD12*'Table A15'!Y12*VLOOKUP($A12,'Table A15'!$A$6:$Q$24,11,FALSE)</f>
        <v>3.1764959999999998</v>
      </c>
      <c r="J12" s="57">
        <f>'Table A15'!$AD12*'Table A15'!Z12*VLOOKUP($A12,'Table A15'!$A$6:$Q$24,11,FALSE)</f>
        <v>3.1764959999999998</v>
      </c>
      <c r="K12" s="57">
        <f>'Table A15'!$AD12*'Table A15'!AA12*VLOOKUP($A12,'Table A15'!$A$6:$Q$24,11,FALSE)</f>
        <v>3.1764959999999998</v>
      </c>
      <c r="L12" s="57">
        <f>'Table A15'!$AD12*'Table A15'!AB12*VLOOKUP($A12,'Table A15'!$A$6:$Q$24,11,FALSE)</f>
        <v>3.1764959999999998</v>
      </c>
      <c r="M12" s="57">
        <f>'Table A15'!$AD12*'Table A15'!AC12*VLOOKUP($A12,'Table A15'!$A$6:$Q$24,11,FALSE)</f>
        <v>3.1764959999999998</v>
      </c>
      <c r="N12" s="2"/>
    </row>
    <row r="13" spans="1:14" ht="13.5">
      <c r="A13" s="13" t="str">
        <f>'Table A15'!A13</f>
        <v>15 TON PICKER CRANE</v>
      </c>
      <c r="B13" s="57">
        <f>'Table A15'!$AD13*'Table A15'!R13*VLOOKUP($A13,'Table A15'!$A$6:$Q$24,11,FALSE)</f>
        <v>0</v>
      </c>
      <c r="C13" s="57">
        <f>'Table A15'!$AD13*'Table A15'!S13*VLOOKUP($A13,'Table A15'!$A$6:$Q$24,11,FALSE)</f>
        <v>0</v>
      </c>
      <c r="D13" s="57">
        <f>'Table A15'!$AD13*'Table A15'!T13*VLOOKUP($A13,'Table A15'!$A$6:$Q$24,11,FALSE)</f>
        <v>6.008175</v>
      </c>
      <c r="E13" s="57">
        <f>'Table A15'!$AD13*'Table A15'!U13*VLOOKUP($A13,'Table A15'!$A$6:$Q$24,11,FALSE)</f>
        <v>6.008175</v>
      </c>
      <c r="F13" s="57">
        <f>'Table A15'!$AD13*'Table A15'!V13*VLOOKUP($A13,'Table A15'!$A$6:$Q$24,11,FALSE)</f>
        <v>9.012262499999999</v>
      </c>
      <c r="G13" s="57">
        <f>'Table A15'!$AD13*'Table A15'!W13*VLOOKUP($A13,'Table A15'!$A$6:$Q$24,11,FALSE)</f>
        <v>9.012262499999999</v>
      </c>
      <c r="H13" s="57">
        <f>'Table A15'!$AD13*'Table A15'!X13*VLOOKUP($A13,'Table A15'!$A$6:$Q$24,11,FALSE)</f>
        <v>9.012262499999999</v>
      </c>
      <c r="I13" s="57">
        <f>'Table A15'!$AD13*'Table A15'!Y13*VLOOKUP($A13,'Table A15'!$A$6:$Q$24,11,FALSE)</f>
        <v>9.012262499999999</v>
      </c>
      <c r="J13" s="57">
        <f>'Table A15'!$AD13*'Table A15'!Z13*VLOOKUP($A13,'Table A15'!$A$6:$Q$24,11,FALSE)</f>
        <v>9.012262499999999</v>
      </c>
      <c r="K13" s="57">
        <f>'Table A15'!$AD13*'Table A15'!AA13*VLOOKUP($A13,'Table A15'!$A$6:$Q$24,11,FALSE)</f>
        <v>6.008175</v>
      </c>
      <c r="L13" s="57">
        <f>'Table A15'!$AD13*'Table A15'!AB13*VLOOKUP($A13,'Table A15'!$A$6:$Q$24,11,FALSE)</f>
        <v>6.008175</v>
      </c>
      <c r="M13" s="57">
        <f>'Table A15'!$AD13*'Table A15'!AC13*VLOOKUP($A13,'Table A15'!$A$6:$Q$24,11,FALSE)</f>
        <v>3.0040875</v>
      </c>
      <c r="N13" s="2"/>
    </row>
    <row r="14" spans="1:14" ht="13.5">
      <c r="A14" s="13" t="str">
        <f>'Table A15'!A14</f>
        <v>5000# FORKLIFT</v>
      </c>
      <c r="B14" s="57">
        <f>'Table A15'!$AD14*'Table A15'!R14*VLOOKUP($A14,'Table A15'!$A$6:$Q$24,11,FALSE)</f>
        <v>0</v>
      </c>
      <c r="C14" s="57">
        <f>'Table A15'!$AD14*'Table A15'!S14*VLOOKUP($A14,'Table A15'!$A$6:$Q$24,11,FALSE)</f>
        <v>0</v>
      </c>
      <c r="D14" s="57">
        <f>'Table A15'!$AD14*'Table A15'!T14*VLOOKUP($A14,'Table A15'!$A$6:$Q$24,11,FALSE)</f>
        <v>0</v>
      </c>
      <c r="E14" s="57">
        <f>'Table A15'!$AD14*'Table A15'!U14*VLOOKUP($A14,'Table A15'!$A$6:$Q$24,11,FALSE)</f>
        <v>1.404</v>
      </c>
      <c r="F14" s="57">
        <f>'Table A15'!$AD14*'Table A15'!V14*VLOOKUP($A14,'Table A15'!$A$6:$Q$24,11,FALSE)</f>
        <v>1.404</v>
      </c>
      <c r="G14" s="57">
        <f>'Table A15'!$AD14*'Table A15'!W14*VLOOKUP($A14,'Table A15'!$A$6:$Q$24,11,FALSE)</f>
        <v>1.404</v>
      </c>
      <c r="H14" s="57">
        <f>'Table A15'!$AD14*'Table A15'!X14*VLOOKUP($A14,'Table A15'!$A$6:$Q$24,11,FALSE)</f>
        <v>2.808</v>
      </c>
      <c r="I14" s="57">
        <f>'Table A15'!$AD14*'Table A15'!Y14*VLOOKUP($A14,'Table A15'!$A$6:$Q$24,11,FALSE)</f>
        <v>2.808</v>
      </c>
      <c r="J14" s="57">
        <f>'Table A15'!$AD14*'Table A15'!Z14*VLOOKUP($A14,'Table A15'!$A$6:$Q$24,11,FALSE)</f>
        <v>4.212</v>
      </c>
      <c r="K14" s="57">
        <f>'Table A15'!$AD14*'Table A15'!AA14*VLOOKUP($A14,'Table A15'!$A$6:$Q$24,11,FALSE)</f>
        <v>2.808</v>
      </c>
      <c r="L14" s="57">
        <f>'Table A15'!$AD14*'Table A15'!AB14*VLOOKUP($A14,'Table A15'!$A$6:$Q$24,11,FALSE)</f>
        <v>2.808</v>
      </c>
      <c r="M14" s="57">
        <f>'Table A15'!$AD14*'Table A15'!AC14*VLOOKUP($A14,'Table A15'!$A$6:$Q$24,11,FALSE)</f>
        <v>1.404</v>
      </c>
      <c r="N14" s="2"/>
    </row>
    <row r="15" spans="1:14" ht="13.5">
      <c r="A15" s="13" t="str">
        <f>'Table A15'!A15</f>
        <v>TRACTOR (TRUCK)</v>
      </c>
      <c r="B15" s="57">
        <f>'Table A15'!$AD15*'Table A15'!R15*VLOOKUP($A15,'Table A15'!$A$6:$Q$24,11,FALSE)</f>
        <v>0</v>
      </c>
      <c r="C15" s="57">
        <f>'Table A15'!$AD15*'Table A15'!S15*VLOOKUP($A15,'Table A15'!$A$6:$Q$24,11,FALSE)</f>
        <v>0</v>
      </c>
      <c r="D15" s="57">
        <f>'Table A15'!$AD15*'Table A15'!T15*VLOOKUP($A15,'Table A15'!$A$6:$Q$24,11,FALSE)</f>
        <v>0</v>
      </c>
      <c r="E15" s="57">
        <f>'Table A15'!$AD15*'Table A15'!U15*VLOOKUP($A15,'Table A15'!$A$6:$Q$24,11,FALSE)</f>
        <v>0</v>
      </c>
      <c r="F15" s="57">
        <f>'Table A15'!$AD15*'Table A15'!V15*VLOOKUP($A15,'Table A15'!$A$6:$Q$24,11,FALSE)</f>
        <v>2.511</v>
      </c>
      <c r="G15" s="57">
        <f>'Table A15'!$AD15*'Table A15'!W15*VLOOKUP($A15,'Table A15'!$A$6:$Q$24,11,FALSE)</f>
        <v>2.511</v>
      </c>
      <c r="H15" s="57">
        <f>'Table A15'!$AD15*'Table A15'!X15*VLOOKUP($A15,'Table A15'!$A$6:$Q$24,11,FALSE)</f>
        <v>5.022</v>
      </c>
      <c r="I15" s="57">
        <f>'Table A15'!$AD15*'Table A15'!Y15*VLOOKUP($A15,'Table A15'!$A$6:$Q$24,11,FALSE)</f>
        <v>2.511</v>
      </c>
      <c r="J15" s="57">
        <f>'Table A15'!$AD15*'Table A15'!Z15*VLOOKUP($A15,'Table A15'!$A$6:$Q$24,11,FALSE)</f>
        <v>0</v>
      </c>
      <c r="K15" s="57">
        <f>'Table A15'!$AD15*'Table A15'!AA15*VLOOKUP($A15,'Table A15'!$A$6:$Q$24,11,FALSE)</f>
        <v>0</v>
      </c>
      <c r="L15" s="57">
        <f>'Table A15'!$AD15*'Table A15'!AB15*VLOOKUP($A15,'Table A15'!$A$6:$Q$24,11,FALSE)</f>
        <v>0</v>
      </c>
      <c r="M15" s="57">
        <f>'Table A15'!$AD15*'Table A15'!AC15*VLOOKUP($A15,'Table A15'!$A$6:$Q$24,11,FALSE)</f>
        <v>0</v>
      </c>
      <c r="N15" s="2"/>
    </row>
    <row r="16" spans="1:14" ht="13.5">
      <c r="A16" s="13" t="str">
        <f>'Table A15'!A16</f>
        <v>JLG MANLIFT W/ 80' BOOM</v>
      </c>
      <c r="B16" s="57">
        <f>'Table A15'!$AD16*'Table A15'!R16*VLOOKUP($A16,'Table A15'!$A$6:$Q$24,11,FALSE)</f>
        <v>0</v>
      </c>
      <c r="C16" s="57">
        <f>'Table A15'!$AD16*'Table A15'!S16*VLOOKUP($A16,'Table A15'!$A$6:$Q$24,11,FALSE)</f>
        <v>0</v>
      </c>
      <c r="D16" s="57">
        <f>'Table A15'!$AD16*'Table A15'!T16*VLOOKUP($A16,'Table A15'!$A$6:$Q$24,11,FALSE)</f>
        <v>0</v>
      </c>
      <c r="E16" s="57">
        <f>'Table A15'!$AD16*'Table A15'!U16*VLOOKUP($A16,'Table A15'!$A$6:$Q$24,11,FALSE)</f>
        <v>1.3635</v>
      </c>
      <c r="F16" s="57">
        <f>'Table A15'!$AD16*'Table A15'!V16*VLOOKUP($A16,'Table A15'!$A$6:$Q$24,11,FALSE)</f>
        <v>1.3635</v>
      </c>
      <c r="G16" s="57">
        <f>'Table A15'!$AD16*'Table A15'!W16*VLOOKUP($A16,'Table A15'!$A$6:$Q$24,11,FALSE)</f>
        <v>1.3635</v>
      </c>
      <c r="H16" s="57">
        <f>'Table A15'!$AD16*'Table A15'!X16*VLOOKUP($A16,'Table A15'!$A$6:$Q$24,11,FALSE)</f>
        <v>1.3635</v>
      </c>
      <c r="I16" s="57">
        <f>'Table A15'!$AD16*'Table A15'!Y16*VLOOKUP($A16,'Table A15'!$A$6:$Q$24,11,FALSE)</f>
        <v>1.3635</v>
      </c>
      <c r="J16" s="57">
        <f>'Table A15'!$AD16*'Table A15'!Z16*VLOOKUP($A16,'Table A15'!$A$6:$Q$24,11,FALSE)</f>
        <v>2.727</v>
      </c>
      <c r="K16" s="57">
        <f>'Table A15'!$AD16*'Table A15'!AA16*VLOOKUP($A16,'Table A15'!$A$6:$Q$24,11,FALSE)</f>
        <v>4.0905</v>
      </c>
      <c r="L16" s="57">
        <f>'Table A15'!$AD16*'Table A15'!AB16*VLOOKUP($A16,'Table A15'!$A$6:$Q$24,11,FALSE)</f>
        <v>4.0905</v>
      </c>
      <c r="M16" s="57">
        <f>'Table A15'!$AD16*'Table A15'!AC16*VLOOKUP($A16,'Table A15'!$A$6:$Q$24,11,FALSE)</f>
        <v>1.3635</v>
      </c>
      <c r="N16" s="2"/>
    </row>
    <row r="17" spans="1:14" ht="13.5">
      <c r="A17" s="13" t="str">
        <f>'Table A15'!A17</f>
        <v>PERSONNEL LIFT</v>
      </c>
      <c r="B17" s="57">
        <f>'Table A15'!$AD17*'Table A15'!R17*VLOOKUP($A17,'Table A15'!$A$6:$Q$24,11,FALSE)</f>
        <v>0</v>
      </c>
      <c r="C17" s="57">
        <f>'Table A15'!$AD17*'Table A15'!S17*VLOOKUP($A17,'Table A15'!$A$6:$Q$24,11,FALSE)</f>
        <v>0</v>
      </c>
      <c r="D17" s="57">
        <f>'Table A15'!$AD17*'Table A15'!T17*VLOOKUP($A17,'Table A15'!$A$6:$Q$24,11,FALSE)</f>
        <v>0</v>
      </c>
      <c r="E17" s="57">
        <f>'Table A15'!$AD17*'Table A15'!U17*VLOOKUP($A17,'Table A15'!$A$6:$Q$24,11,FALSE)</f>
        <v>1.80478125</v>
      </c>
      <c r="F17" s="57">
        <f>'Table A15'!$AD17*'Table A15'!V17*VLOOKUP($A17,'Table A15'!$A$6:$Q$24,11,FALSE)</f>
        <v>3.6095625</v>
      </c>
      <c r="G17" s="57">
        <f>'Table A15'!$AD17*'Table A15'!W17*VLOOKUP($A17,'Table A15'!$A$6:$Q$24,11,FALSE)</f>
        <v>5.41434375</v>
      </c>
      <c r="H17" s="57">
        <f>'Table A15'!$AD17*'Table A15'!X17*VLOOKUP($A17,'Table A15'!$A$6:$Q$24,11,FALSE)</f>
        <v>5.41434375</v>
      </c>
      <c r="I17" s="57">
        <f>'Table A15'!$AD17*'Table A15'!Y17*VLOOKUP($A17,'Table A15'!$A$6:$Q$24,11,FALSE)</f>
        <v>5.41434375</v>
      </c>
      <c r="J17" s="57">
        <f>'Table A15'!$AD17*'Table A15'!Z17*VLOOKUP($A17,'Table A15'!$A$6:$Q$24,11,FALSE)</f>
        <v>5.41434375</v>
      </c>
      <c r="K17" s="57">
        <f>'Table A15'!$AD17*'Table A15'!AA17*VLOOKUP($A17,'Table A15'!$A$6:$Q$24,11,FALSE)</f>
        <v>3.6095625</v>
      </c>
      <c r="L17" s="57">
        <f>'Table A15'!$AD17*'Table A15'!AB17*VLOOKUP($A17,'Table A15'!$A$6:$Q$24,11,FALSE)</f>
        <v>3.6095625</v>
      </c>
      <c r="M17" s="57">
        <f>'Table A15'!$AD17*'Table A15'!AC17*VLOOKUP($A17,'Table A15'!$A$6:$Q$24,11,FALSE)</f>
        <v>1.80478125</v>
      </c>
      <c r="N17" s="2"/>
    </row>
    <row r="18" spans="1:14" ht="13.5">
      <c r="A18" s="13" t="str">
        <f>'Table A15'!A18</f>
        <v>375 CFM AIR COMPRESSOR</v>
      </c>
      <c r="B18" s="57">
        <f>'Table A15'!$AD18*'Table A15'!R18*VLOOKUP($A18,'Table A15'!$A$6:$Q$24,11,FALSE)</f>
        <v>0</v>
      </c>
      <c r="C18" s="57">
        <f>'Table A15'!$AD18*'Table A15'!S18*VLOOKUP($A18,'Table A15'!$A$6:$Q$24,11,FALSE)</f>
        <v>0</v>
      </c>
      <c r="D18" s="57">
        <f>'Table A15'!$AD18*'Table A15'!T18*VLOOKUP($A18,'Table A15'!$A$6:$Q$24,11,FALSE)</f>
        <v>0</v>
      </c>
      <c r="E18" s="57">
        <f>'Table A15'!$AD18*'Table A15'!U18*VLOOKUP($A18,'Table A15'!$A$6:$Q$24,11,FALSE)</f>
        <v>4.6979999999999995</v>
      </c>
      <c r="F18" s="57">
        <f>'Table A15'!$AD18*'Table A15'!V18*VLOOKUP($A18,'Table A15'!$A$6:$Q$24,11,FALSE)</f>
        <v>4.6979999999999995</v>
      </c>
      <c r="G18" s="57">
        <f>'Table A15'!$AD18*'Table A15'!W18*VLOOKUP($A18,'Table A15'!$A$6:$Q$24,11,FALSE)</f>
        <v>4.6979999999999995</v>
      </c>
      <c r="H18" s="57">
        <f>'Table A15'!$AD18*'Table A15'!X18*VLOOKUP($A18,'Table A15'!$A$6:$Q$24,11,FALSE)</f>
        <v>4.6979999999999995</v>
      </c>
      <c r="I18" s="57">
        <f>'Table A15'!$AD18*'Table A15'!Y18*VLOOKUP($A18,'Table A15'!$A$6:$Q$24,11,FALSE)</f>
        <v>4.6979999999999995</v>
      </c>
      <c r="J18" s="57">
        <f>'Table A15'!$AD18*'Table A15'!Z18*VLOOKUP($A18,'Table A15'!$A$6:$Q$24,11,FALSE)</f>
        <v>4.6979999999999995</v>
      </c>
      <c r="K18" s="57">
        <f>'Table A15'!$AD18*'Table A15'!AA18*VLOOKUP($A18,'Table A15'!$A$6:$Q$24,11,FALSE)</f>
        <v>4.6979999999999995</v>
      </c>
      <c r="L18" s="57">
        <f>'Table A15'!$AD18*'Table A15'!AB18*VLOOKUP($A18,'Table A15'!$A$6:$Q$24,11,FALSE)</f>
        <v>4.6979999999999995</v>
      </c>
      <c r="M18" s="57">
        <f>'Table A15'!$AD18*'Table A15'!AC18*VLOOKUP($A18,'Table A15'!$A$6:$Q$24,11,FALSE)</f>
        <v>4.6979999999999995</v>
      </c>
      <c r="N18" s="2"/>
    </row>
    <row r="19" spans="1:14" ht="13.5">
      <c r="A19" s="13" t="str">
        <f>'Table A15'!A19</f>
        <v>Diesel Welding Machine</v>
      </c>
      <c r="B19" s="57">
        <f>'Table A15'!$AD19*'Table A15'!R19*VLOOKUP($A19,'Table A15'!$A$6:$Q$24,11,FALSE)</f>
        <v>1.215</v>
      </c>
      <c r="C19" s="57">
        <f>'Table A15'!$AD19*'Table A15'!S19*VLOOKUP($A19,'Table A15'!$A$6:$Q$24,11,FALSE)</f>
        <v>1.215</v>
      </c>
      <c r="D19" s="57">
        <f>'Table A15'!$AD19*'Table A15'!T19*VLOOKUP($A19,'Table A15'!$A$6:$Q$24,11,FALSE)</f>
        <v>0</v>
      </c>
      <c r="E19" s="57">
        <f>'Table A15'!$AD19*'Table A15'!U19*VLOOKUP($A19,'Table A15'!$A$6:$Q$24,11,FALSE)</f>
        <v>0</v>
      </c>
      <c r="F19" s="57">
        <f>'Table A15'!$AD19*'Table A15'!V19*VLOOKUP($A19,'Table A15'!$A$6:$Q$24,11,FALSE)</f>
        <v>1.215</v>
      </c>
      <c r="G19" s="57">
        <f>'Table A15'!$AD19*'Table A15'!W19*VLOOKUP($A19,'Table A15'!$A$6:$Q$24,11,FALSE)</f>
        <v>1.215</v>
      </c>
      <c r="H19" s="57">
        <f>'Table A15'!$AD19*'Table A15'!X19*VLOOKUP($A19,'Table A15'!$A$6:$Q$24,11,FALSE)</f>
        <v>2.43</v>
      </c>
      <c r="I19" s="57">
        <f>'Table A15'!$AD19*'Table A15'!Y19*VLOOKUP($A19,'Table A15'!$A$6:$Q$24,11,FALSE)</f>
        <v>1.215</v>
      </c>
      <c r="J19" s="57">
        <f>'Table A15'!$AD19*'Table A15'!Z19*VLOOKUP($A19,'Table A15'!$A$6:$Q$24,11,FALSE)</f>
        <v>1.215</v>
      </c>
      <c r="K19" s="57">
        <f>'Table A15'!$AD19*'Table A15'!AA19*VLOOKUP($A19,'Table A15'!$A$6:$Q$24,11,FALSE)</f>
        <v>0</v>
      </c>
      <c r="L19" s="57">
        <f>'Table A15'!$AD19*'Table A15'!AB19*VLOOKUP($A19,'Table A15'!$A$6:$Q$24,11,FALSE)</f>
        <v>0</v>
      </c>
      <c r="M19" s="57">
        <f>'Table A15'!$AD19*'Table A15'!AC19*VLOOKUP($A19,'Table A15'!$A$6:$Q$24,11,FALSE)</f>
        <v>0</v>
      </c>
      <c r="N19" s="2"/>
    </row>
    <row r="20" spans="1:14" ht="13.5">
      <c r="A20" s="13" t="str">
        <f>'Table A15'!A20</f>
        <v>Electric Welding Machine</v>
      </c>
      <c r="B20" s="57">
        <f>'Table A15'!$AD20*'Table A15'!R20*VLOOKUP($A20,'Table A15'!$A$6:$Q$24,11,FALSE)</f>
        <v>0</v>
      </c>
      <c r="C20" s="57">
        <f>'Table A15'!$AD20*'Table A15'!S20*VLOOKUP($A20,'Table A15'!$A$6:$Q$24,11,FALSE)</f>
        <v>0</v>
      </c>
      <c r="D20" s="57">
        <f>'Table A15'!$AD20*'Table A15'!T20*VLOOKUP($A20,'Table A15'!$A$6:$Q$24,11,FALSE)</f>
        <v>0</v>
      </c>
      <c r="E20" s="57">
        <f>'Table A15'!$AD20*'Table A15'!U20*VLOOKUP($A20,'Table A15'!$A$6:$Q$24,11,FALSE)</f>
        <v>0</v>
      </c>
      <c r="F20" s="57">
        <f>'Table A15'!$AD20*'Table A15'!V20*VLOOKUP($A20,'Table A15'!$A$6:$Q$24,11,FALSE)</f>
        <v>0</v>
      </c>
      <c r="G20" s="57">
        <f>'Table A15'!$AD20*'Table A15'!W20*VLOOKUP($A20,'Table A15'!$A$6:$Q$24,11,FALSE)</f>
        <v>0</v>
      </c>
      <c r="H20" s="57">
        <f>'Table A15'!$AD20*'Table A15'!X20*VLOOKUP($A20,'Table A15'!$A$6:$Q$24,11,FALSE)</f>
        <v>0</v>
      </c>
      <c r="I20" s="57">
        <f>'Table A15'!$AD20*'Table A15'!Y20*VLOOKUP($A20,'Table A15'!$A$6:$Q$24,11,FALSE)</f>
        <v>0</v>
      </c>
      <c r="J20" s="57">
        <f>'Table A15'!$AD20*'Table A15'!Z20*VLOOKUP($A20,'Table A15'!$A$6:$Q$24,11,FALSE)</f>
        <v>0</v>
      </c>
      <c r="K20" s="57">
        <f>'Table A15'!$AD20*'Table A15'!AA20*VLOOKUP($A20,'Table A15'!$A$6:$Q$24,11,FALSE)</f>
        <v>0</v>
      </c>
      <c r="L20" s="57">
        <f>'Table A15'!$AD20*'Table A15'!AB20*VLOOKUP($A20,'Table A15'!$A$6:$Q$24,11,FALSE)</f>
        <v>0</v>
      </c>
      <c r="M20" s="57">
        <f>'Table A15'!$AD20*'Table A15'!AC20*VLOOKUP($A20,'Table A15'!$A$6:$Q$24,11,FALSE)</f>
        <v>0</v>
      </c>
      <c r="N20" s="2"/>
    </row>
    <row r="21" spans="1:14" ht="13.5">
      <c r="A21" s="13" t="str">
        <f>'Table A15'!A21</f>
        <v>Trash Pump (3-inch)</v>
      </c>
      <c r="B21" s="57">
        <f>'Table A15'!$AD21*'Table A15'!R21*VLOOKUP($A21,'Table A15'!$A$6:$Q$24,11,FALSE)</f>
        <v>0</v>
      </c>
      <c r="C21" s="57">
        <f>'Table A15'!$AD21*'Table A15'!S21*VLOOKUP($A21,'Table A15'!$A$6:$Q$24,11,FALSE)</f>
        <v>0</v>
      </c>
      <c r="D21" s="57">
        <f>'Table A15'!$AD21*'Table A15'!T21*VLOOKUP($A21,'Table A15'!$A$6:$Q$24,11,FALSE)</f>
        <v>0</v>
      </c>
      <c r="E21" s="57">
        <f>'Table A15'!$AD21*'Table A15'!U21*VLOOKUP($A21,'Table A15'!$A$6:$Q$24,11,FALSE)</f>
        <v>0</v>
      </c>
      <c r="F21" s="57">
        <f>'Table A15'!$AD21*'Table A15'!V21*VLOOKUP($A21,'Table A15'!$A$6:$Q$24,11,FALSE)</f>
        <v>0</v>
      </c>
      <c r="G21" s="57">
        <f>'Table A15'!$AD21*'Table A15'!W21*VLOOKUP($A21,'Table A15'!$A$6:$Q$24,11,FALSE)</f>
        <v>0</v>
      </c>
      <c r="H21" s="57">
        <f>'Table A15'!$AD21*'Table A15'!X21*VLOOKUP($A21,'Table A15'!$A$6:$Q$24,11,FALSE)</f>
        <v>0</v>
      </c>
      <c r="I21" s="57">
        <f>'Table A15'!$AD21*'Table A15'!Y21*VLOOKUP($A21,'Table A15'!$A$6:$Q$24,11,FALSE)</f>
        <v>0</v>
      </c>
      <c r="J21" s="57">
        <f>'Table A15'!$AD21*'Table A15'!Z21*VLOOKUP($A21,'Table A15'!$A$6:$Q$24,11,FALSE)</f>
        <v>0</v>
      </c>
      <c r="K21" s="57">
        <f>'Table A15'!$AD21*'Table A15'!AA21*VLOOKUP($A21,'Table A15'!$A$6:$Q$24,11,FALSE)</f>
        <v>0</v>
      </c>
      <c r="L21" s="57">
        <f>'Table A15'!$AD21*'Table A15'!AB21*VLOOKUP($A21,'Table A15'!$A$6:$Q$24,11,FALSE)</f>
        <v>0</v>
      </c>
      <c r="M21" s="57">
        <f>'Table A15'!$AD21*'Table A15'!AC21*VLOOKUP($A21,'Table A15'!$A$6:$Q$24,11,FALSE)</f>
        <v>0</v>
      </c>
      <c r="N21" s="2"/>
    </row>
    <row r="22" spans="1:14" ht="13.5">
      <c r="A22" s="1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"/>
    </row>
    <row r="23" spans="1:14" ht="13.5">
      <c r="A23" s="13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2"/>
    </row>
    <row r="24" spans="1:14" ht="13.5">
      <c r="A24" s="16" t="s">
        <v>11</v>
      </c>
      <c r="B24" s="58">
        <f aca="true" t="shared" si="0" ref="B24:M24">SUM(B6:B23)</f>
        <v>13.22325</v>
      </c>
      <c r="C24" s="58">
        <f t="shared" si="0"/>
        <v>21.835979999999996</v>
      </c>
      <c r="D24" s="58">
        <f t="shared" si="0"/>
        <v>26.629154999999997</v>
      </c>
      <c r="E24" s="58">
        <f t="shared" si="0"/>
        <v>35.43052725</v>
      </c>
      <c r="F24" s="58">
        <f t="shared" si="0"/>
        <v>47.920221000000005</v>
      </c>
      <c r="G24" s="58">
        <f t="shared" si="0"/>
        <v>37.77952725</v>
      </c>
      <c r="H24" s="58">
        <f t="shared" si="0"/>
        <v>37.44810224999999</v>
      </c>
      <c r="I24" s="58">
        <f t="shared" si="0"/>
        <v>33.72210225</v>
      </c>
      <c r="J24" s="58">
        <f t="shared" si="0"/>
        <v>33.97860225</v>
      </c>
      <c r="K24" s="58">
        <f t="shared" si="0"/>
        <v>27.914233499999998</v>
      </c>
      <c r="L24" s="58">
        <f t="shared" si="0"/>
        <v>27.914233499999998</v>
      </c>
      <c r="M24" s="58">
        <f t="shared" si="0"/>
        <v>18.97436475</v>
      </c>
      <c r="N24" s="2"/>
    </row>
    <row r="25" spans="2:14" ht="13.5">
      <c r="B25" s="29"/>
      <c r="N25" s="2"/>
    </row>
    <row r="26" spans="2:14" ht="13.5">
      <c r="B26" s="29"/>
      <c r="N26" s="2"/>
    </row>
    <row r="27" spans="1:14" ht="13.5">
      <c r="A27" s="22" t="s">
        <v>68</v>
      </c>
      <c r="B27" s="23"/>
      <c r="C27" s="23"/>
      <c r="D27" s="23"/>
      <c r="E27" s="23"/>
      <c r="F27" s="23"/>
      <c r="G27" s="23"/>
      <c r="H27" s="5"/>
      <c r="I27" s="5"/>
      <c r="J27" s="5"/>
      <c r="K27" s="5"/>
      <c r="L27" s="5"/>
      <c r="M27" s="5"/>
      <c r="N27" s="2"/>
    </row>
    <row r="28" spans="1:14" ht="13.5">
      <c r="A28" s="145" t="s">
        <v>9</v>
      </c>
      <c r="B28" s="24" t="s">
        <v>10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2"/>
    </row>
    <row r="29" spans="1:14" ht="13.5">
      <c r="A29" s="146"/>
      <c r="B29" s="11">
        <v>1</v>
      </c>
      <c r="C29" s="11">
        <v>2</v>
      </c>
      <c r="D29" s="11">
        <v>3</v>
      </c>
      <c r="E29" s="11">
        <v>4</v>
      </c>
      <c r="F29" s="11">
        <v>5</v>
      </c>
      <c r="G29" s="11">
        <v>6</v>
      </c>
      <c r="H29" s="11">
        <v>7</v>
      </c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2"/>
    </row>
    <row r="30" spans="1:14" ht="13.5">
      <c r="A30" s="28" t="str">
        <f>'Table A15'!A6</f>
        <v>175 CFM AIR COMPRESSOR</v>
      </c>
      <c r="B30" s="57">
        <f>'Table A15'!R6*'Table A15'!$AD6*VLOOKUP($A30,'Table A15'!$A$6:$R$24,12,FALSE)</f>
        <v>0.5184</v>
      </c>
      <c r="C30" s="57">
        <f>'Table A15'!S6*'Table A15'!$AD6*VLOOKUP($A30,'Table A15'!$A$6:$R$24,12,FALSE)</f>
        <v>0.5184</v>
      </c>
      <c r="D30" s="57">
        <f>'Table A15'!T6*'Table A15'!$AD6*VLOOKUP($A30,'Table A15'!$A$6:$R$24,12,FALSE)</f>
        <v>0.5184</v>
      </c>
      <c r="E30" s="57">
        <f>'Table A15'!U6*'Table A15'!$AD6*VLOOKUP($A30,'Table A15'!$A$6:$R$24,12,FALSE)</f>
        <v>0.5184</v>
      </c>
      <c r="F30" s="57">
        <f>'Table A15'!V6*'Table A15'!$AD6*VLOOKUP($A30,'Table A15'!$A$6:$R$24,12,FALSE)</f>
        <v>0.5184</v>
      </c>
      <c r="G30" s="57">
        <f>'Table A15'!W6*'Table A15'!$AD6*VLOOKUP($A30,'Table A15'!$A$6:$R$24,12,FALSE)</f>
        <v>0</v>
      </c>
      <c r="H30" s="57">
        <f>'Table A15'!X6*'Table A15'!$AD6*VLOOKUP($A30,'Table A15'!$A$6:$R$24,12,FALSE)</f>
        <v>0</v>
      </c>
      <c r="I30" s="57">
        <f>'Table A15'!Y6*'Table A15'!$AD6*VLOOKUP($A30,'Table A15'!$A$6:$R$24,12,FALSE)</f>
        <v>0</v>
      </c>
      <c r="J30" s="57">
        <f>'Table A15'!Z6*'Table A15'!$AD6*VLOOKUP($A30,'Table A15'!$A$6:$R$24,12,FALSE)</f>
        <v>0</v>
      </c>
      <c r="K30" s="57">
        <f>'Table A15'!AA6*'Table A15'!$AD6*VLOOKUP($A30,'Table A15'!$A$6:$R$24,12,FALSE)</f>
        <v>0</v>
      </c>
      <c r="L30" s="57">
        <f>'Table A15'!AB6*'Table A15'!$AD6*VLOOKUP($A30,'Table A15'!$A$6:$R$24,12,FALSE)</f>
        <v>0</v>
      </c>
      <c r="M30" s="57">
        <f>'Table A15'!AC6*'Table A15'!$AD6*VLOOKUP($A30,'Table A15'!$A$6:$R$24,12,FALSE)</f>
        <v>0</v>
      </c>
      <c r="N30" s="2"/>
    </row>
    <row r="31" spans="1:14" ht="13.5">
      <c r="A31" s="28" t="str">
        <f>'Table A15'!A7</f>
        <v>BACKHOE - CASE 580</v>
      </c>
      <c r="B31" s="57">
        <f>'Table A15'!R7*'Table A15'!$AD7*VLOOKUP($A31,'Table A15'!$A$6:$R$24,12,FALSE)</f>
        <v>0.7909649999999999</v>
      </c>
      <c r="C31" s="57">
        <f>'Table A15'!S7*'Table A15'!$AD7*VLOOKUP($A31,'Table A15'!$A$6:$R$24,12,FALSE)</f>
        <v>1.5819299999999998</v>
      </c>
      <c r="D31" s="57">
        <f>'Table A15'!T7*'Table A15'!$AD7*VLOOKUP($A31,'Table A15'!$A$6:$R$24,12,FALSE)</f>
        <v>1.5819299999999998</v>
      </c>
      <c r="E31" s="57">
        <f>'Table A15'!U7*'Table A15'!$AD7*VLOOKUP($A31,'Table A15'!$A$6:$R$24,12,FALSE)</f>
        <v>1.5819299999999998</v>
      </c>
      <c r="F31" s="57">
        <f>'Table A15'!V7*'Table A15'!$AD7*VLOOKUP($A31,'Table A15'!$A$6:$R$24,12,FALSE)</f>
        <v>2.3728949999999998</v>
      </c>
      <c r="G31" s="57">
        <f>'Table A15'!W7*'Table A15'!$AD7*VLOOKUP($A31,'Table A15'!$A$6:$R$24,12,FALSE)</f>
        <v>0</v>
      </c>
      <c r="H31" s="57">
        <f>'Table A15'!X7*'Table A15'!$AD7*VLOOKUP($A31,'Table A15'!$A$6:$R$24,12,FALSE)</f>
        <v>0</v>
      </c>
      <c r="I31" s="57">
        <f>'Table A15'!Y7*'Table A15'!$AD7*VLOOKUP($A31,'Table A15'!$A$6:$R$24,12,FALSE)</f>
        <v>0</v>
      </c>
      <c r="J31" s="57">
        <f>'Table A15'!Z7*'Table A15'!$AD7*VLOOKUP($A31,'Table A15'!$A$6:$R$24,12,FALSE)</f>
        <v>0</v>
      </c>
      <c r="K31" s="57">
        <f>'Table A15'!AA7*'Table A15'!$AD7*VLOOKUP($A31,'Table A15'!$A$6:$R$24,12,FALSE)</f>
        <v>0</v>
      </c>
      <c r="L31" s="57">
        <f>'Table A15'!AB7*'Table A15'!$AD7*VLOOKUP($A31,'Table A15'!$A$6:$R$24,12,FALSE)</f>
        <v>0</v>
      </c>
      <c r="M31" s="57">
        <f>'Table A15'!AC7*'Table A15'!$AD7*VLOOKUP($A31,'Table A15'!$A$6:$R$24,12,FALSE)</f>
        <v>0</v>
      </c>
      <c r="N31" s="2"/>
    </row>
    <row r="32" spans="1:14" ht="13.5">
      <c r="A32" s="28" t="str">
        <f>'Table A15'!A8</f>
        <v>BACKHOE -TRACK 1/2 CY</v>
      </c>
      <c r="B32" s="57">
        <f>'Table A15'!R8*'Table A15'!$AD8*VLOOKUP($A32,'Table A15'!$A$6:$R$24,12,FALSE)</f>
        <v>0</v>
      </c>
      <c r="C32" s="57">
        <f>'Table A15'!S8*'Table A15'!$AD8*VLOOKUP($A32,'Table A15'!$A$6:$R$24,12,FALSE)</f>
        <v>0.931581</v>
      </c>
      <c r="D32" s="57">
        <f>'Table A15'!T8*'Table A15'!$AD8*VLOOKUP($A32,'Table A15'!$A$6:$R$24,12,FALSE)</f>
        <v>0.931581</v>
      </c>
      <c r="E32" s="57">
        <f>'Table A15'!U8*'Table A15'!$AD8*VLOOKUP($A32,'Table A15'!$A$6:$R$24,12,FALSE)</f>
        <v>0</v>
      </c>
      <c r="F32" s="57">
        <f>'Table A15'!V8*'Table A15'!$AD8*VLOOKUP($A32,'Table A15'!$A$6:$R$24,12,FALSE)</f>
        <v>0</v>
      </c>
      <c r="G32" s="57">
        <f>'Table A15'!W8*'Table A15'!$AD8*VLOOKUP($A32,'Table A15'!$A$6:$R$24,12,FALSE)</f>
        <v>0</v>
      </c>
      <c r="H32" s="57">
        <f>'Table A15'!X8*'Table A15'!$AD8*VLOOKUP($A32,'Table A15'!$A$6:$R$24,12,FALSE)</f>
        <v>0</v>
      </c>
      <c r="I32" s="57">
        <f>'Table A15'!Y8*'Table A15'!$AD8*VLOOKUP($A32,'Table A15'!$A$6:$R$24,12,FALSE)</f>
        <v>0</v>
      </c>
      <c r="J32" s="57">
        <f>'Table A15'!Z8*'Table A15'!$AD8*VLOOKUP($A32,'Table A15'!$A$6:$R$24,12,FALSE)</f>
        <v>0</v>
      </c>
      <c r="K32" s="57">
        <f>'Table A15'!AA8*'Table A15'!$AD8*VLOOKUP($A32,'Table A15'!$A$6:$R$24,12,FALSE)</f>
        <v>0</v>
      </c>
      <c r="L32" s="57">
        <f>'Table A15'!AB8*'Table A15'!$AD8*VLOOKUP($A32,'Table A15'!$A$6:$R$24,12,FALSE)</f>
        <v>0</v>
      </c>
      <c r="M32" s="57">
        <f>'Table A15'!AC8*'Table A15'!$AD8*VLOOKUP($A32,'Table A15'!$A$6:$R$24,12,FALSE)</f>
        <v>0</v>
      </c>
      <c r="N32" s="2"/>
    </row>
    <row r="33" spans="1:14" ht="13.5">
      <c r="A33" s="28" t="str">
        <f>'Table A15'!A9</f>
        <v>BOBCAT OR DITCH WITCH</v>
      </c>
      <c r="B33" s="57">
        <f>'Table A15'!R9*'Table A15'!$AD9*VLOOKUP($A33,'Table A15'!$A$6:$R$24,12,FALSE)</f>
        <v>1.0922850000000002</v>
      </c>
      <c r="C33" s="57">
        <f>'Table A15'!S9*'Table A15'!$AD9*VLOOKUP($A33,'Table A15'!$A$6:$R$24,12,FALSE)</f>
        <v>1.0922850000000002</v>
      </c>
      <c r="D33" s="57">
        <f>'Table A15'!T9*'Table A15'!$AD9*VLOOKUP($A33,'Table A15'!$A$6:$R$24,12,FALSE)</f>
        <v>1.0922850000000002</v>
      </c>
      <c r="E33" s="57">
        <f>'Table A15'!U9*'Table A15'!$AD9*VLOOKUP($A33,'Table A15'!$A$6:$R$24,12,FALSE)</f>
        <v>1.0922850000000002</v>
      </c>
      <c r="F33" s="57">
        <f>'Table A15'!V9*'Table A15'!$AD9*VLOOKUP($A33,'Table A15'!$A$6:$R$24,12,FALSE)</f>
        <v>1.0922850000000002</v>
      </c>
      <c r="G33" s="57">
        <f>'Table A15'!W9*'Table A15'!$AD9*VLOOKUP($A33,'Table A15'!$A$6:$R$24,12,FALSE)</f>
        <v>1.0922850000000002</v>
      </c>
      <c r="H33" s="57">
        <f>'Table A15'!X9*'Table A15'!$AD9*VLOOKUP($A33,'Table A15'!$A$6:$R$24,12,FALSE)</f>
        <v>0</v>
      </c>
      <c r="I33" s="57">
        <f>'Table A15'!Y9*'Table A15'!$AD9*VLOOKUP($A33,'Table A15'!$A$6:$R$24,12,FALSE)</f>
        <v>0</v>
      </c>
      <c r="J33" s="57">
        <f>'Table A15'!Z9*'Table A15'!$AD9*VLOOKUP($A33,'Table A15'!$A$6:$R$24,12,FALSE)</f>
        <v>0</v>
      </c>
      <c r="K33" s="57">
        <f>'Table A15'!AA9*'Table A15'!$AD9*VLOOKUP($A33,'Table A15'!$A$6:$R$24,12,FALSE)</f>
        <v>0</v>
      </c>
      <c r="L33" s="57">
        <f>'Table A15'!AB9*'Table A15'!$AD9*VLOOKUP($A33,'Table A15'!$A$6:$R$24,12,FALSE)</f>
        <v>0</v>
      </c>
      <c r="M33" s="57">
        <f>'Table A15'!AC9*'Table A15'!$AD9*VLOOKUP($A33,'Table A15'!$A$6:$R$24,12,FALSE)</f>
        <v>0</v>
      </c>
      <c r="N33" s="2"/>
    </row>
    <row r="34" spans="1:14" ht="13.5">
      <c r="A34" s="28" t="str">
        <f>'Table A15'!A10</f>
        <v>4100W CRANE W/180 BOOM</v>
      </c>
      <c r="B34" s="57">
        <f>'Table A15'!R10*'Table A15'!$AD10*VLOOKUP($A34,'Table A15'!$A$6:$R$24,12,FALSE)</f>
        <v>0</v>
      </c>
      <c r="C34" s="57">
        <f>'Table A15'!S10*'Table A15'!$AD10*VLOOKUP($A34,'Table A15'!$A$6:$R$24,12,FALSE)</f>
        <v>0</v>
      </c>
      <c r="D34" s="57">
        <f>'Table A15'!T10*'Table A15'!$AD10*VLOOKUP($A34,'Table A15'!$A$6:$R$24,12,FALSE)</f>
        <v>0</v>
      </c>
      <c r="E34" s="57">
        <f>'Table A15'!U10*'Table A15'!$AD10*VLOOKUP($A34,'Table A15'!$A$6:$R$24,12,FALSE)</f>
        <v>0</v>
      </c>
      <c r="F34" s="57">
        <f>'Table A15'!V10*'Table A15'!$AD10*VLOOKUP($A34,'Table A15'!$A$6:$R$24,12,FALSE)</f>
        <v>0</v>
      </c>
      <c r="G34" s="57">
        <f>'Table A15'!W10*'Table A15'!$AD10*VLOOKUP($A34,'Table A15'!$A$6:$R$24,12,FALSE)</f>
        <v>0.5022</v>
      </c>
      <c r="H34" s="57">
        <f>'Table A15'!X10*'Table A15'!$AD10*VLOOKUP($A34,'Table A15'!$A$6:$R$24,12,FALSE)</f>
        <v>0.5022</v>
      </c>
      <c r="I34" s="57">
        <f>'Table A15'!Y10*'Table A15'!$AD10*VLOOKUP($A34,'Table A15'!$A$6:$R$24,12,FALSE)</f>
        <v>0.5022</v>
      </c>
      <c r="J34" s="57">
        <f>'Table A15'!Z10*'Table A15'!$AD10*VLOOKUP($A34,'Table A15'!$A$6:$R$24,12,FALSE)</f>
        <v>0.5022</v>
      </c>
      <c r="K34" s="57">
        <f>'Table A15'!AA10*'Table A15'!$AD10*VLOOKUP($A34,'Table A15'!$A$6:$R$24,12,FALSE)</f>
        <v>0.5022</v>
      </c>
      <c r="L34" s="57">
        <f>'Table A15'!AB10*'Table A15'!$AD10*VLOOKUP($A34,'Table A15'!$A$6:$R$24,12,FALSE)</f>
        <v>0.5022</v>
      </c>
      <c r="M34" s="57">
        <f>'Table A15'!AC10*'Table A15'!$AD10*VLOOKUP($A34,'Table A15'!$A$6:$R$24,12,FALSE)</f>
        <v>0.5022</v>
      </c>
      <c r="N34" s="2"/>
    </row>
    <row r="35" spans="1:14" ht="13.5">
      <c r="A35" s="28" t="str">
        <f>'Table A15'!A11</f>
        <v>70 TON MOBILE CRANE</v>
      </c>
      <c r="B35" s="57">
        <f>'Table A15'!R11*'Table A15'!$AD11*VLOOKUP($A35,'Table A15'!$A$6:$R$24,12,FALSE)</f>
        <v>0</v>
      </c>
      <c r="C35" s="57">
        <f>'Table A15'!S11*'Table A15'!$AD11*VLOOKUP($A35,'Table A15'!$A$6:$R$24,12,FALSE)</f>
        <v>0</v>
      </c>
      <c r="D35" s="57">
        <f>'Table A15'!T11*'Table A15'!$AD11*VLOOKUP($A35,'Table A15'!$A$6:$R$24,12,FALSE)</f>
        <v>0</v>
      </c>
      <c r="E35" s="57">
        <f>'Table A15'!U11*'Table A15'!$AD11*VLOOKUP($A35,'Table A15'!$A$6:$R$24,12,FALSE)</f>
        <v>0.33749999999999997</v>
      </c>
      <c r="F35" s="57">
        <f>'Table A15'!V11*'Table A15'!$AD11*VLOOKUP($A35,'Table A15'!$A$6:$R$24,12,FALSE)</f>
        <v>0.33749999999999997</v>
      </c>
      <c r="G35" s="57">
        <f>'Table A15'!W11*'Table A15'!$AD11*VLOOKUP($A35,'Table A15'!$A$6:$R$24,12,FALSE)</f>
        <v>0.33749999999999997</v>
      </c>
      <c r="H35" s="57">
        <f>'Table A15'!X11*'Table A15'!$AD11*VLOOKUP($A35,'Table A15'!$A$6:$R$24,12,FALSE)</f>
        <v>0.33749999999999997</v>
      </c>
      <c r="I35" s="57">
        <f>'Table A15'!Y11*'Table A15'!$AD11*VLOOKUP($A35,'Table A15'!$A$6:$R$24,12,FALSE)</f>
        <v>0.33749999999999997</v>
      </c>
      <c r="J35" s="57">
        <f>'Table A15'!Z11*'Table A15'!$AD11*VLOOKUP($A35,'Table A15'!$A$6:$R$24,12,FALSE)</f>
        <v>0.33749999999999997</v>
      </c>
      <c r="K35" s="57">
        <f>'Table A15'!AA11*'Table A15'!$AD11*VLOOKUP($A35,'Table A15'!$A$6:$R$24,12,FALSE)</f>
        <v>0.33749999999999997</v>
      </c>
      <c r="L35" s="57">
        <f>'Table A15'!AB11*'Table A15'!$AD11*VLOOKUP($A35,'Table A15'!$A$6:$R$24,12,FALSE)</f>
        <v>0.33749999999999997</v>
      </c>
      <c r="M35" s="57">
        <f>'Table A15'!AC11*'Table A15'!$AD11*VLOOKUP($A35,'Table A15'!$A$6:$R$24,12,FALSE)</f>
        <v>0.33749999999999997</v>
      </c>
      <c r="N35" s="2"/>
    </row>
    <row r="36" spans="1:14" ht="13.5">
      <c r="A36" s="28" t="str">
        <f>'Table A15'!A12</f>
        <v>35 TON MOBILE CRANE</v>
      </c>
      <c r="B36" s="57">
        <f>'Table A15'!R12*'Table A15'!$AD12*VLOOKUP($A36,'Table A15'!$A$6:$R$24,12,FALSE)</f>
        <v>0</v>
      </c>
      <c r="C36" s="57">
        <f>'Table A15'!S12*'Table A15'!$AD12*VLOOKUP($A36,'Table A15'!$A$6:$R$24,12,FALSE)</f>
        <v>0</v>
      </c>
      <c r="D36" s="57">
        <f>'Table A15'!T12*'Table A15'!$AD12*VLOOKUP($A36,'Table A15'!$A$6:$R$24,12,FALSE)</f>
        <v>0</v>
      </c>
      <c r="E36" s="57">
        <f>'Table A15'!U12*'Table A15'!$AD12*VLOOKUP($A36,'Table A15'!$A$6:$R$24,12,FALSE)</f>
        <v>1.058832</v>
      </c>
      <c r="F36" s="57">
        <f>'Table A15'!V12*'Table A15'!$AD12*VLOOKUP($A36,'Table A15'!$A$6:$R$24,12,FALSE)</f>
        <v>1.058832</v>
      </c>
      <c r="G36" s="57">
        <f>'Table A15'!W12*'Table A15'!$AD12*VLOOKUP($A36,'Table A15'!$A$6:$R$24,12,FALSE)</f>
        <v>1.058832</v>
      </c>
      <c r="H36" s="57">
        <f>'Table A15'!X12*'Table A15'!$AD12*VLOOKUP($A36,'Table A15'!$A$6:$R$24,12,FALSE)</f>
        <v>1.058832</v>
      </c>
      <c r="I36" s="57">
        <f>'Table A15'!Y12*'Table A15'!$AD12*VLOOKUP($A36,'Table A15'!$A$6:$R$24,12,FALSE)</f>
        <v>1.058832</v>
      </c>
      <c r="J36" s="57">
        <f>'Table A15'!Z12*'Table A15'!$AD12*VLOOKUP($A36,'Table A15'!$A$6:$R$24,12,FALSE)</f>
        <v>1.058832</v>
      </c>
      <c r="K36" s="57">
        <f>'Table A15'!AA12*'Table A15'!$AD12*VLOOKUP($A36,'Table A15'!$A$6:$R$24,12,FALSE)</f>
        <v>1.058832</v>
      </c>
      <c r="L36" s="57">
        <f>'Table A15'!AB12*'Table A15'!$AD12*VLOOKUP($A36,'Table A15'!$A$6:$R$24,12,FALSE)</f>
        <v>1.058832</v>
      </c>
      <c r="M36" s="57">
        <f>'Table A15'!AC12*'Table A15'!$AD12*VLOOKUP($A36,'Table A15'!$A$6:$R$24,12,FALSE)</f>
        <v>1.058832</v>
      </c>
      <c r="N36" s="2"/>
    </row>
    <row r="37" spans="1:14" ht="13.5">
      <c r="A37" s="28" t="str">
        <f>'Table A15'!A13</f>
        <v>15 TON PICKER CRANE</v>
      </c>
      <c r="B37" s="57">
        <f>'Table A15'!R13*'Table A15'!$AD13*VLOOKUP($A37,'Table A15'!$A$6:$R$24,12,FALSE)</f>
        <v>0</v>
      </c>
      <c r="C37" s="57">
        <f>'Table A15'!S13*'Table A15'!$AD13*VLOOKUP($A37,'Table A15'!$A$6:$R$24,12,FALSE)</f>
        <v>0</v>
      </c>
      <c r="D37" s="57">
        <f>'Table A15'!T13*'Table A15'!$AD13*VLOOKUP($A37,'Table A15'!$A$6:$R$24,12,FALSE)</f>
        <v>2.002725</v>
      </c>
      <c r="E37" s="57">
        <f>'Table A15'!U13*'Table A15'!$AD13*VLOOKUP($A37,'Table A15'!$A$6:$R$24,12,FALSE)</f>
        <v>2.002725</v>
      </c>
      <c r="F37" s="57">
        <f>'Table A15'!V13*'Table A15'!$AD13*VLOOKUP($A37,'Table A15'!$A$6:$R$24,12,FALSE)</f>
        <v>3.0040875</v>
      </c>
      <c r="G37" s="57">
        <f>'Table A15'!W13*'Table A15'!$AD13*VLOOKUP($A37,'Table A15'!$A$6:$R$24,12,FALSE)</f>
        <v>3.0040875</v>
      </c>
      <c r="H37" s="57">
        <f>'Table A15'!X13*'Table A15'!$AD13*VLOOKUP($A37,'Table A15'!$A$6:$R$24,12,FALSE)</f>
        <v>3.0040875</v>
      </c>
      <c r="I37" s="57">
        <f>'Table A15'!Y13*'Table A15'!$AD13*VLOOKUP($A37,'Table A15'!$A$6:$R$24,12,FALSE)</f>
        <v>3.0040875</v>
      </c>
      <c r="J37" s="57">
        <f>'Table A15'!Z13*'Table A15'!$AD13*VLOOKUP($A37,'Table A15'!$A$6:$R$24,12,FALSE)</f>
        <v>3.0040875</v>
      </c>
      <c r="K37" s="57">
        <f>'Table A15'!AA13*'Table A15'!$AD13*VLOOKUP($A37,'Table A15'!$A$6:$R$24,12,FALSE)</f>
        <v>2.002725</v>
      </c>
      <c r="L37" s="57">
        <f>'Table A15'!AB13*'Table A15'!$AD13*VLOOKUP($A37,'Table A15'!$A$6:$R$24,12,FALSE)</f>
        <v>2.002725</v>
      </c>
      <c r="M37" s="57">
        <f>'Table A15'!AC13*'Table A15'!$AD13*VLOOKUP($A37,'Table A15'!$A$6:$R$24,12,FALSE)</f>
        <v>1.0013625</v>
      </c>
      <c r="N37" s="2"/>
    </row>
    <row r="38" spans="1:14" ht="13.5">
      <c r="A38" s="28" t="str">
        <f>'Table A15'!A14</f>
        <v>5000# FORKLIFT</v>
      </c>
      <c r="B38" s="57">
        <f>'Table A15'!R14*'Table A15'!$AD14*VLOOKUP($A38,'Table A15'!$A$6:$R$24,12,FALSE)</f>
        <v>0</v>
      </c>
      <c r="C38" s="57">
        <f>'Table A15'!S14*'Table A15'!$AD14*VLOOKUP($A38,'Table A15'!$A$6:$R$24,12,FALSE)</f>
        <v>0</v>
      </c>
      <c r="D38" s="57">
        <f>'Table A15'!T14*'Table A15'!$AD14*VLOOKUP($A38,'Table A15'!$A$6:$R$24,12,FALSE)</f>
        <v>0</v>
      </c>
      <c r="E38" s="57">
        <f>'Table A15'!U14*'Table A15'!$AD14*VLOOKUP($A38,'Table A15'!$A$6:$R$24,12,FALSE)</f>
        <v>0.32400000000000007</v>
      </c>
      <c r="F38" s="57">
        <f>'Table A15'!V14*'Table A15'!$AD14*VLOOKUP($A38,'Table A15'!$A$6:$R$24,12,FALSE)</f>
        <v>0.32400000000000007</v>
      </c>
      <c r="G38" s="57">
        <f>'Table A15'!W14*'Table A15'!$AD14*VLOOKUP($A38,'Table A15'!$A$6:$R$24,12,FALSE)</f>
        <v>0.32400000000000007</v>
      </c>
      <c r="H38" s="57">
        <f>'Table A15'!X14*'Table A15'!$AD14*VLOOKUP($A38,'Table A15'!$A$6:$R$24,12,FALSE)</f>
        <v>0.6480000000000001</v>
      </c>
      <c r="I38" s="57">
        <f>'Table A15'!Y14*'Table A15'!$AD14*VLOOKUP($A38,'Table A15'!$A$6:$R$24,12,FALSE)</f>
        <v>0.6480000000000001</v>
      </c>
      <c r="J38" s="57">
        <f>'Table A15'!Z14*'Table A15'!$AD14*VLOOKUP($A38,'Table A15'!$A$6:$R$24,12,FALSE)</f>
        <v>0.9720000000000001</v>
      </c>
      <c r="K38" s="57">
        <f>'Table A15'!AA14*'Table A15'!$AD14*VLOOKUP($A38,'Table A15'!$A$6:$R$24,12,FALSE)</f>
        <v>0.6480000000000001</v>
      </c>
      <c r="L38" s="57">
        <f>'Table A15'!AB14*'Table A15'!$AD14*VLOOKUP($A38,'Table A15'!$A$6:$R$24,12,FALSE)</f>
        <v>0.6480000000000001</v>
      </c>
      <c r="M38" s="57">
        <f>'Table A15'!AC14*'Table A15'!$AD14*VLOOKUP($A38,'Table A15'!$A$6:$R$24,12,FALSE)</f>
        <v>0.32400000000000007</v>
      </c>
      <c r="N38" s="2"/>
    </row>
    <row r="39" spans="1:14" ht="13.5">
      <c r="A39" s="28" t="str">
        <f>'Table A15'!A15</f>
        <v>TRACTOR (TRUCK)</v>
      </c>
      <c r="B39" s="57">
        <f>'Table A15'!R15*'Table A15'!$AD15*VLOOKUP($A39,'Table A15'!$A$6:$R$24,12,FALSE)</f>
        <v>0</v>
      </c>
      <c r="C39" s="57">
        <f>'Table A15'!S15*'Table A15'!$AD15*VLOOKUP($A39,'Table A15'!$A$6:$R$24,12,FALSE)</f>
        <v>0</v>
      </c>
      <c r="D39" s="57">
        <f>'Table A15'!T15*'Table A15'!$AD15*VLOOKUP($A39,'Table A15'!$A$6:$R$24,12,FALSE)</f>
        <v>0</v>
      </c>
      <c r="E39" s="57">
        <f>'Table A15'!U15*'Table A15'!$AD15*VLOOKUP($A39,'Table A15'!$A$6:$R$24,12,FALSE)</f>
        <v>0</v>
      </c>
      <c r="F39" s="57">
        <f>'Table A15'!V15*'Table A15'!$AD15*VLOOKUP($A39,'Table A15'!$A$6:$R$24,12,FALSE)</f>
        <v>0.5022</v>
      </c>
      <c r="G39" s="57">
        <f>'Table A15'!W15*'Table A15'!$AD15*VLOOKUP($A39,'Table A15'!$A$6:$R$24,12,FALSE)</f>
        <v>0.5022</v>
      </c>
      <c r="H39" s="57">
        <f>'Table A15'!X15*'Table A15'!$AD15*VLOOKUP($A39,'Table A15'!$A$6:$R$24,12,FALSE)</f>
        <v>1.0044</v>
      </c>
      <c r="I39" s="57">
        <f>'Table A15'!Y15*'Table A15'!$AD15*VLOOKUP($A39,'Table A15'!$A$6:$R$24,12,FALSE)</f>
        <v>0.5022</v>
      </c>
      <c r="J39" s="57">
        <f>'Table A15'!Z15*'Table A15'!$AD15*VLOOKUP($A39,'Table A15'!$A$6:$R$24,12,FALSE)</f>
        <v>0</v>
      </c>
      <c r="K39" s="57">
        <f>'Table A15'!AA15*'Table A15'!$AD15*VLOOKUP($A39,'Table A15'!$A$6:$R$24,12,FALSE)</f>
        <v>0</v>
      </c>
      <c r="L39" s="57">
        <f>'Table A15'!AB15*'Table A15'!$AD15*VLOOKUP($A39,'Table A15'!$A$6:$R$24,12,FALSE)</f>
        <v>0</v>
      </c>
      <c r="M39" s="57">
        <f>'Table A15'!AC15*'Table A15'!$AD15*VLOOKUP($A39,'Table A15'!$A$6:$R$24,12,FALSE)</f>
        <v>0</v>
      </c>
      <c r="N39" s="2"/>
    </row>
    <row r="40" spans="1:14" ht="13.5">
      <c r="A40" s="28" t="str">
        <f>'Table A15'!A16</f>
        <v>JLG MANLIFT W/ 80' BOOM</v>
      </c>
      <c r="B40" s="57">
        <f>'Table A15'!R16*'Table A15'!$AD16*VLOOKUP($A40,'Table A15'!$A$6:$R$24,12,FALSE)</f>
        <v>0</v>
      </c>
      <c r="C40" s="57">
        <f>'Table A15'!S16*'Table A15'!$AD16*VLOOKUP($A40,'Table A15'!$A$6:$R$24,12,FALSE)</f>
        <v>0</v>
      </c>
      <c r="D40" s="57">
        <f>'Table A15'!T16*'Table A15'!$AD16*VLOOKUP($A40,'Table A15'!$A$6:$R$24,12,FALSE)</f>
        <v>0</v>
      </c>
      <c r="E40" s="57">
        <f>'Table A15'!U16*'Table A15'!$AD16*VLOOKUP($A40,'Table A15'!$A$6:$R$24,12,FALSE)</f>
        <v>0.2727</v>
      </c>
      <c r="F40" s="57">
        <f>'Table A15'!V16*'Table A15'!$AD16*VLOOKUP($A40,'Table A15'!$A$6:$R$24,12,FALSE)</f>
        <v>0.2727</v>
      </c>
      <c r="G40" s="57">
        <f>'Table A15'!W16*'Table A15'!$AD16*VLOOKUP($A40,'Table A15'!$A$6:$R$24,12,FALSE)</f>
        <v>0.2727</v>
      </c>
      <c r="H40" s="57">
        <f>'Table A15'!X16*'Table A15'!$AD16*VLOOKUP($A40,'Table A15'!$A$6:$R$24,12,FALSE)</f>
        <v>0.2727</v>
      </c>
      <c r="I40" s="57">
        <f>'Table A15'!Y16*'Table A15'!$AD16*VLOOKUP($A40,'Table A15'!$A$6:$R$24,12,FALSE)</f>
        <v>0.2727</v>
      </c>
      <c r="J40" s="57">
        <f>'Table A15'!Z16*'Table A15'!$AD16*VLOOKUP($A40,'Table A15'!$A$6:$R$24,12,FALSE)</f>
        <v>0.5454</v>
      </c>
      <c r="K40" s="57">
        <f>'Table A15'!AA16*'Table A15'!$AD16*VLOOKUP($A40,'Table A15'!$A$6:$R$24,12,FALSE)</f>
        <v>0.8181</v>
      </c>
      <c r="L40" s="57">
        <f>'Table A15'!AB16*'Table A15'!$AD16*VLOOKUP($A40,'Table A15'!$A$6:$R$24,12,FALSE)</f>
        <v>0.8181</v>
      </c>
      <c r="M40" s="57">
        <f>'Table A15'!AC16*'Table A15'!$AD16*VLOOKUP($A40,'Table A15'!$A$6:$R$24,12,FALSE)</f>
        <v>0.2727</v>
      </c>
      <c r="N40" s="2"/>
    </row>
    <row r="41" spans="1:14" ht="13.5">
      <c r="A41" s="28" t="str">
        <f>'Table A15'!A17</f>
        <v>PERSONNEL LIFT</v>
      </c>
      <c r="B41" s="57">
        <f>'Table A15'!R17*'Table A15'!$AD17*VLOOKUP($A41,'Table A15'!$A$6:$R$24,12,FALSE)</f>
        <v>0</v>
      </c>
      <c r="C41" s="57">
        <f>'Table A15'!S17*'Table A15'!$AD17*VLOOKUP($A41,'Table A15'!$A$6:$R$24,12,FALSE)</f>
        <v>0</v>
      </c>
      <c r="D41" s="57">
        <f>'Table A15'!T17*'Table A15'!$AD17*VLOOKUP($A41,'Table A15'!$A$6:$R$24,12,FALSE)</f>
        <v>0</v>
      </c>
      <c r="E41" s="57">
        <f>'Table A15'!U17*'Table A15'!$AD17*VLOOKUP($A41,'Table A15'!$A$6:$R$24,12,FALSE)</f>
        <v>0.36095625000000003</v>
      </c>
      <c r="F41" s="57">
        <f>'Table A15'!V17*'Table A15'!$AD17*VLOOKUP($A41,'Table A15'!$A$6:$R$24,12,FALSE)</f>
        <v>0.7219125000000001</v>
      </c>
      <c r="G41" s="57">
        <f>'Table A15'!W17*'Table A15'!$AD17*VLOOKUP($A41,'Table A15'!$A$6:$R$24,12,FALSE)</f>
        <v>1.08286875</v>
      </c>
      <c r="H41" s="57">
        <f>'Table A15'!X17*'Table A15'!$AD17*VLOOKUP($A41,'Table A15'!$A$6:$R$24,12,FALSE)</f>
        <v>1.08286875</v>
      </c>
      <c r="I41" s="57">
        <f>'Table A15'!Y17*'Table A15'!$AD17*VLOOKUP($A41,'Table A15'!$A$6:$R$24,12,FALSE)</f>
        <v>1.08286875</v>
      </c>
      <c r="J41" s="57">
        <f>'Table A15'!Z17*'Table A15'!$AD17*VLOOKUP($A41,'Table A15'!$A$6:$R$24,12,FALSE)</f>
        <v>1.08286875</v>
      </c>
      <c r="K41" s="57">
        <f>'Table A15'!AA17*'Table A15'!$AD17*VLOOKUP($A41,'Table A15'!$A$6:$R$24,12,FALSE)</f>
        <v>0.7219125000000001</v>
      </c>
      <c r="L41" s="57">
        <f>'Table A15'!AB17*'Table A15'!$AD17*VLOOKUP($A41,'Table A15'!$A$6:$R$24,12,FALSE)</f>
        <v>0.7219125000000001</v>
      </c>
      <c r="M41" s="57">
        <f>'Table A15'!AC17*'Table A15'!$AD17*VLOOKUP($A41,'Table A15'!$A$6:$R$24,12,FALSE)</f>
        <v>0.36095625000000003</v>
      </c>
      <c r="N41" s="2"/>
    </row>
    <row r="42" spans="1:14" ht="13.5">
      <c r="A42" s="28" t="str">
        <f>'Table A15'!A18</f>
        <v>375 CFM AIR COMPRESSOR</v>
      </c>
      <c r="B42" s="57">
        <f>'Table A15'!R18*'Table A15'!$AD18*VLOOKUP($A42,'Table A15'!$A$6:$R$24,12,FALSE)</f>
        <v>0</v>
      </c>
      <c r="C42" s="57">
        <f>'Table A15'!S18*'Table A15'!$AD18*VLOOKUP($A42,'Table A15'!$A$6:$R$24,12,FALSE)</f>
        <v>0</v>
      </c>
      <c r="D42" s="57">
        <f>'Table A15'!T18*'Table A15'!$AD18*VLOOKUP($A42,'Table A15'!$A$6:$R$24,12,FALSE)</f>
        <v>0</v>
      </c>
      <c r="E42" s="57">
        <f>'Table A15'!U18*'Table A15'!$AD18*VLOOKUP($A42,'Table A15'!$A$6:$R$24,12,FALSE)</f>
        <v>0.9396</v>
      </c>
      <c r="F42" s="57">
        <f>'Table A15'!V18*'Table A15'!$AD18*VLOOKUP($A42,'Table A15'!$A$6:$R$24,12,FALSE)</f>
        <v>0.9396</v>
      </c>
      <c r="G42" s="57">
        <f>'Table A15'!W18*'Table A15'!$AD18*VLOOKUP($A42,'Table A15'!$A$6:$R$24,12,FALSE)</f>
        <v>0.9396</v>
      </c>
      <c r="H42" s="57">
        <f>'Table A15'!X18*'Table A15'!$AD18*VLOOKUP($A42,'Table A15'!$A$6:$R$24,12,FALSE)</f>
        <v>0.9396</v>
      </c>
      <c r="I42" s="57">
        <f>'Table A15'!Y18*'Table A15'!$AD18*VLOOKUP($A42,'Table A15'!$A$6:$R$24,12,FALSE)</f>
        <v>0.9396</v>
      </c>
      <c r="J42" s="57">
        <f>'Table A15'!Z18*'Table A15'!$AD18*VLOOKUP($A42,'Table A15'!$A$6:$R$24,12,FALSE)</f>
        <v>0.9396</v>
      </c>
      <c r="K42" s="57">
        <f>'Table A15'!AA18*'Table A15'!$AD18*VLOOKUP($A42,'Table A15'!$A$6:$R$24,12,FALSE)</f>
        <v>0.9396</v>
      </c>
      <c r="L42" s="57">
        <f>'Table A15'!AB18*'Table A15'!$AD18*VLOOKUP($A42,'Table A15'!$A$6:$R$24,12,FALSE)</f>
        <v>0.9396</v>
      </c>
      <c r="M42" s="57">
        <f>'Table A15'!AC18*'Table A15'!$AD18*VLOOKUP($A42,'Table A15'!$A$6:$R$24,12,FALSE)</f>
        <v>0.9396</v>
      </c>
      <c r="N42" s="2"/>
    </row>
    <row r="43" spans="1:14" ht="13.5">
      <c r="A43" s="28" t="str">
        <f>'Table A15'!A19</f>
        <v>Diesel Welding Machine</v>
      </c>
      <c r="B43" s="57">
        <f>'Table A15'!R19*'Table A15'!$AD19*VLOOKUP($A43,'Table A15'!$A$6:$R$24,12,FALSE)</f>
        <v>0.243</v>
      </c>
      <c r="C43" s="57">
        <f>'Table A15'!S19*'Table A15'!$AD19*VLOOKUP($A43,'Table A15'!$A$6:$R$24,12,FALSE)</f>
        <v>0.243</v>
      </c>
      <c r="D43" s="57">
        <f>'Table A15'!T19*'Table A15'!$AD19*VLOOKUP($A43,'Table A15'!$A$6:$R$24,12,FALSE)</f>
        <v>0</v>
      </c>
      <c r="E43" s="57">
        <f>'Table A15'!U19*'Table A15'!$AD19*VLOOKUP($A43,'Table A15'!$A$6:$R$24,12,FALSE)</f>
        <v>0</v>
      </c>
      <c r="F43" s="57">
        <f>'Table A15'!V19*'Table A15'!$AD19*VLOOKUP($A43,'Table A15'!$A$6:$R$24,12,FALSE)</f>
        <v>0.243</v>
      </c>
      <c r="G43" s="57">
        <f>'Table A15'!W19*'Table A15'!$AD19*VLOOKUP($A43,'Table A15'!$A$6:$R$24,12,FALSE)</f>
        <v>0.243</v>
      </c>
      <c r="H43" s="57">
        <f>'Table A15'!X19*'Table A15'!$AD19*VLOOKUP($A43,'Table A15'!$A$6:$R$24,12,FALSE)</f>
        <v>0.486</v>
      </c>
      <c r="I43" s="57">
        <f>'Table A15'!Y19*'Table A15'!$AD19*VLOOKUP($A43,'Table A15'!$A$6:$R$24,12,FALSE)</f>
        <v>0.243</v>
      </c>
      <c r="J43" s="57">
        <f>'Table A15'!Z19*'Table A15'!$AD19*VLOOKUP($A43,'Table A15'!$A$6:$R$24,12,FALSE)</f>
        <v>0.243</v>
      </c>
      <c r="K43" s="57">
        <f>'Table A15'!AA19*'Table A15'!$AD19*VLOOKUP($A43,'Table A15'!$A$6:$R$24,12,FALSE)</f>
        <v>0</v>
      </c>
      <c r="L43" s="57">
        <f>'Table A15'!AB19*'Table A15'!$AD19*VLOOKUP($A43,'Table A15'!$A$6:$R$24,12,FALSE)</f>
        <v>0</v>
      </c>
      <c r="M43" s="57">
        <f>'Table A15'!AC19*'Table A15'!$AD19*VLOOKUP($A43,'Table A15'!$A$6:$R$24,12,FALSE)</f>
        <v>0</v>
      </c>
      <c r="N43" s="2"/>
    </row>
    <row r="44" spans="1:14" ht="13.5">
      <c r="A44" s="28" t="str">
        <f>'Table A15'!A20</f>
        <v>Electric Welding Machine</v>
      </c>
      <c r="B44" s="57">
        <f>'Table A15'!R20*'Table A15'!$AD20*VLOOKUP($A44,'Table A15'!$A$6:$R$24,12,FALSE)</f>
        <v>0</v>
      </c>
      <c r="C44" s="57">
        <f>'Table A15'!S20*'Table A15'!$AD20*VLOOKUP($A44,'Table A15'!$A$6:$R$24,12,FALSE)</f>
        <v>0</v>
      </c>
      <c r="D44" s="57">
        <f>'Table A15'!T20*'Table A15'!$AD20*VLOOKUP($A44,'Table A15'!$A$6:$R$24,12,FALSE)</f>
        <v>0</v>
      </c>
      <c r="E44" s="57">
        <f>'Table A15'!U20*'Table A15'!$AD20*VLOOKUP($A44,'Table A15'!$A$6:$R$24,12,FALSE)</f>
        <v>0</v>
      </c>
      <c r="F44" s="57">
        <f>'Table A15'!V20*'Table A15'!$AD20*VLOOKUP($A44,'Table A15'!$A$6:$R$24,12,FALSE)</f>
        <v>0</v>
      </c>
      <c r="G44" s="57">
        <f>'Table A15'!W20*'Table A15'!$AD20*VLOOKUP($A44,'Table A15'!$A$6:$R$24,12,FALSE)</f>
        <v>0</v>
      </c>
      <c r="H44" s="57">
        <f>'Table A15'!X20*'Table A15'!$AD20*VLOOKUP($A44,'Table A15'!$A$6:$R$24,12,FALSE)</f>
        <v>0</v>
      </c>
      <c r="I44" s="57">
        <f>'Table A15'!Y20*'Table A15'!$AD20*VLOOKUP($A44,'Table A15'!$A$6:$R$24,12,FALSE)</f>
        <v>0</v>
      </c>
      <c r="J44" s="57">
        <f>'Table A15'!Z20*'Table A15'!$AD20*VLOOKUP($A44,'Table A15'!$A$6:$R$24,12,FALSE)</f>
        <v>0</v>
      </c>
      <c r="K44" s="57">
        <f>'Table A15'!AA20*'Table A15'!$AD20*VLOOKUP($A44,'Table A15'!$A$6:$R$24,12,FALSE)</f>
        <v>0</v>
      </c>
      <c r="L44" s="57">
        <f>'Table A15'!AB20*'Table A15'!$AD20*VLOOKUP($A44,'Table A15'!$A$6:$R$24,12,FALSE)</f>
        <v>0</v>
      </c>
      <c r="M44" s="57">
        <f>'Table A15'!AC20*'Table A15'!$AD20*VLOOKUP($A44,'Table A15'!$A$6:$R$24,12,FALSE)</f>
        <v>0</v>
      </c>
      <c r="N44" s="2"/>
    </row>
    <row r="45" spans="1:14" ht="13.5">
      <c r="A45" s="28" t="str">
        <f>'Table A15'!A21</f>
        <v>Trash Pump (3-inch)</v>
      </c>
      <c r="B45" s="57">
        <f>'Table A15'!R21*'Table A15'!$AD21*VLOOKUP($A45,'Table A15'!$A$6:$R$24,12,FALSE)</f>
        <v>0</v>
      </c>
      <c r="C45" s="57">
        <f>'Table A15'!S21*'Table A15'!$AD21*VLOOKUP($A45,'Table A15'!$A$6:$R$24,12,FALSE)</f>
        <v>0</v>
      </c>
      <c r="D45" s="57">
        <f>'Table A15'!T21*'Table A15'!$AD21*VLOOKUP($A45,'Table A15'!$A$6:$R$24,12,FALSE)</f>
        <v>0</v>
      </c>
      <c r="E45" s="57">
        <f>'Table A15'!U21*'Table A15'!$AD21*VLOOKUP($A45,'Table A15'!$A$6:$R$24,12,FALSE)</f>
        <v>0</v>
      </c>
      <c r="F45" s="57">
        <f>'Table A15'!V21*'Table A15'!$AD21*VLOOKUP($A45,'Table A15'!$A$6:$R$24,12,FALSE)</f>
        <v>0</v>
      </c>
      <c r="G45" s="57">
        <f>'Table A15'!W21*'Table A15'!$AD21*VLOOKUP($A45,'Table A15'!$A$6:$R$24,12,FALSE)</f>
        <v>0</v>
      </c>
      <c r="H45" s="57">
        <f>'Table A15'!X21*'Table A15'!$AD21*VLOOKUP($A45,'Table A15'!$A$6:$R$24,12,FALSE)</f>
        <v>0</v>
      </c>
      <c r="I45" s="57">
        <f>'Table A15'!Y21*'Table A15'!$AD21*VLOOKUP($A45,'Table A15'!$A$6:$R$24,12,FALSE)</f>
        <v>0</v>
      </c>
      <c r="J45" s="57">
        <f>'Table A15'!Z21*'Table A15'!$AD21*VLOOKUP($A45,'Table A15'!$A$6:$R$24,12,FALSE)</f>
        <v>0</v>
      </c>
      <c r="K45" s="57">
        <f>'Table A15'!AA21*'Table A15'!$AD21*VLOOKUP($A45,'Table A15'!$A$6:$R$24,12,FALSE)</f>
        <v>0</v>
      </c>
      <c r="L45" s="57">
        <f>'Table A15'!AB21*'Table A15'!$AD21*VLOOKUP($A45,'Table A15'!$A$6:$R$24,12,FALSE)</f>
        <v>0</v>
      </c>
      <c r="M45" s="57">
        <f>'Table A15'!AC21*'Table A15'!$AD21*VLOOKUP($A45,'Table A15'!$A$6:$R$24,12,FALSE)</f>
        <v>0</v>
      </c>
      <c r="N45" s="2"/>
    </row>
    <row r="46" spans="1:14" ht="13.5">
      <c r="A46" s="13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2"/>
    </row>
    <row r="47" spans="1:14" ht="13.5">
      <c r="A47" s="16" t="s">
        <v>11</v>
      </c>
      <c r="B47" s="58">
        <f aca="true" t="shared" si="1" ref="B47:M47">SUM(B30:B46)</f>
        <v>2.64465</v>
      </c>
      <c r="C47" s="58">
        <f t="shared" si="1"/>
        <v>4.367196</v>
      </c>
      <c r="D47" s="58">
        <f t="shared" si="1"/>
        <v>6.126920999999999</v>
      </c>
      <c r="E47" s="58">
        <f t="shared" si="1"/>
        <v>8.48892825</v>
      </c>
      <c r="F47" s="58">
        <f t="shared" si="1"/>
        <v>11.387412000000001</v>
      </c>
      <c r="G47" s="58">
        <f t="shared" si="1"/>
        <v>9.359273250000001</v>
      </c>
      <c r="H47" s="58">
        <f t="shared" si="1"/>
        <v>9.336188250000001</v>
      </c>
      <c r="I47" s="58">
        <f t="shared" si="1"/>
        <v>8.59098825</v>
      </c>
      <c r="J47" s="58">
        <f t="shared" si="1"/>
        <v>8.68548825</v>
      </c>
      <c r="K47" s="58">
        <f t="shared" si="1"/>
        <v>7.028869500000001</v>
      </c>
      <c r="L47" s="58">
        <f t="shared" si="1"/>
        <v>7.028869500000001</v>
      </c>
      <c r="M47" s="58">
        <f t="shared" si="1"/>
        <v>4.79715075</v>
      </c>
      <c r="N47" s="2"/>
    </row>
    <row r="48" spans="2:14" ht="13.5">
      <c r="B48" s="29"/>
      <c r="N48" s="2"/>
    </row>
    <row r="49" spans="1:14" ht="13.5">
      <c r="A49" s="22" t="s">
        <v>93</v>
      </c>
      <c r="B49" s="23"/>
      <c r="C49" s="23"/>
      <c r="D49" s="23"/>
      <c r="E49" s="23"/>
      <c r="F49" s="23"/>
      <c r="G49" s="23"/>
      <c r="H49" s="5"/>
      <c r="I49" s="5"/>
      <c r="J49" s="5"/>
      <c r="K49" s="5"/>
      <c r="L49" s="5"/>
      <c r="M49" s="5"/>
      <c r="N49" s="2"/>
    </row>
    <row r="50" spans="1:14" ht="13.5">
      <c r="A50" s="145" t="s">
        <v>9</v>
      </c>
      <c r="B50" s="24" t="s">
        <v>10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2"/>
    </row>
    <row r="51" spans="1:14" ht="13.5">
      <c r="A51" s="146"/>
      <c r="B51" s="11">
        <v>1</v>
      </c>
      <c r="C51" s="11">
        <v>2</v>
      </c>
      <c r="D51" s="11">
        <v>3</v>
      </c>
      <c r="E51" s="11">
        <v>4</v>
      </c>
      <c r="F51" s="11">
        <v>5</v>
      </c>
      <c r="G51" s="11">
        <v>6</v>
      </c>
      <c r="H51" s="11">
        <v>7</v>
      </c>
      <c r="I51" s="11">
        <v>8</v>
      </c>
      <c r="J51" s="11">
        <v>9</v>
      </c>
      <c r="K51" s="11">
        <v>10</v>
      </c>
      <c r="L51" s="11">
        <v>11</v>
      </c>
      <c r="M51" s="11">
        <v>12</v>
      </c>
      <c r="N51" s="2"/>
    </row>
    <row r="52" spans="1:14" ht="13.5">
      <c r="A52" s="28" t="str">
        <f>'Table A15'!A6</f>
        <v>175 CFM AIR COMPRESSOR</v>
      </c>
      <c r="B52" s="57">
        <f>'Table A15'!R6*'Table A15'!$AD6*VLOOKUP($A52,'Table A15'!$A$6:$R$24,13,FALSE)</f>
        <v>3.8015999999999996</v>
      </c>
      <c r="C52" s="57">
        <f>'Table A15'!S6*'Table A15'!$AD6*VLOOKUP($A52,'Table A15'!$A$6:$R$24,13,FALSE)</f>
        <v>3.8015999999999996</v>
      </c>
      <c r="D52" s="57">
        <f>'Table A15'!T6*'Table A15'!$AD6*VLOOKUP($A52,'Table A15'!$A$6:$R$24,13,FALSE)</f>
        <v>3.8015999999999996</v>
      </c>
      <c r="E52" s="57">
        <f>'Table A15'!U6*'Table A15'!$AD6*VLOOKUP($A52,'Table A15'!$A$6:$R$24,13,FALSE)</f>
        <v>3.8015999999999996</v>
      </c>
      <c r="F52" s="57">
        <f>'Table A15'!V6*'Table A15'!$AD6*VLOOKUP($A52,'Table A15'!$A$6:$R$24,13,FALSE)</f>
        <v>3.8015999999999996</v>
      </c>
      <c r="G52" s="57">
        <f>'Table A15'!W6*'Table A15'!$AD6*VLOOKUP($A52,'Table A15'!$A$6:$R$24,13,FALSE)</f>
        <v>0</v>
      </c>
      <c r="H52" s="57">
        <f>'Table A15'!X6*'Table A15'!$AD6*VLOOKUP($A52,'Table A15'!$A$6:$R$24,13,FALSE)</f>
        <v>0</v>
      </c>
      <c r="I52" s="57">
        <f>'Table A15'!Y6*'Table A15'!$AD6*VLOOKUP($A52,'Table A15'!$A$6:$R$24,13,FALSE)</f>
        <v>0</v>
      </c>
      <c r="J52" s="57">
        <f>'Table A15'!Z6*'Table A15'!$AD6*VLOOKUP($A52,'Table A15'!$A$6:$R$24,13,FALSE)</f>
        <v>0</v>
      </c>
      <c r="K52" s="57">
        <f>'Table A15'!AA6*'Table A15'!$AD6*VLOOKUP($A52,'Table A15'!$A$6:$R$24,13,FALSE)</f>
        <v>0</v>
      </c>
      <c r="L52" s="57">
        <f>'Table A15'!AB6*'Table A15'!$AD6*VLOOKUP($A52,'Table A15'!$A$6:$R$24,13,FALSE)</f>
        <v>0</v>
      </c>
      <c r="M52" s="57">
        <f>'Table A15'!AC6*'Table A15'!$AD6*VLOOKUP($A52,'Table A15'!$A$6:$R$24,13,FALSE)</f>
        <v>0</v>
      </c>
      <c r="N52" s="2"/>
    </row>
    <row r="53" spans="1:14" ht="13.5">
      <c r="A53" s="28" t="str">
        <f>'Table A15'!A7</f>
        <v>BACKHOE - CASE 580</v>
      </c>
      <c r="B53" s="57">
        <f>'Table A15'!R7*'Table A15'!$AD7*VLOOKUP($A53,'Table A15'!$A$6:$R$24,13,FALSE)</f>
        <v>5.800409999999999</v>
      </c>
      <c r="C53" s="57">
        <f>'Table A15'!S7*'Table A15'!$AD7*VLOOKUP($A53,'Table A15'!$A$6:$R$24,13,FALSE)</f>
        <v>11.600819999999999</v>
      </c>
      <c r="D53" s="57">
        <f>'Table A15'!T7*'Table A15'!$AD7*VLOOKUP($A53,'Table A15'!$A$6:$R$24,13,FALSE)</f>
        <v>11.600819999999999</v>
      </c>
      <c r="E53" s="57">
        <f>'Table A15'!U7*'Table A15'!$AD7*VLOOKUP($A53,'Table A15'!$A$6:$R$24,13,FALSE)</f>
        <v>11.600819999999999</v>
      </c>
      <c r="F53" s="57">
        <f>'Table A15'!V7*'Table A15'!$AD7*VLOOKUP($A53,'Table A15'!$A$6:$R$24,13,FALSE)</f>
        <v>17.401229999999998</v>
      </c>
      <c r="G53" s="57">
        <f>'Table A15'!W7*'Table A15'!$AD7*VLOOKUP($A53,'Table A15'!$A$6:$R$24,13,FALSE)</f>
        <v>0</v>
      </c>
      <c r="H53" s="57">
        <f>'Table A15'!X7*'Table A15'!$AD7*VLOOKUP($A53,'Table A15'!$A$6:$R$24,13,FALSE)</f>
        <v>0</v>
      </c>
      <c r="I53" s="57">
        <f>'Table A15'!Y7*'Table A15'!$AD7*VLOOKUP($A53,'Table A15'!$A$6:$R$24,13,FALSE)</f>
        <v>0</v>
      </c>
      <c r="J53" s="57">
        <f>'Table A15'!Z7*'Table A15'!$AD7*VLOOKUP($A53,'Table A15'!$A$6:$R$24,13,FALSE)</f>
        <v>0</v>
      </c>
      <c r="K53" s="57">
        <f>'Table A15'!AA7*'Table A15'!$AD7*VLOOKUP($A53,'Table A15'!$A$6:$R$24,13,FALSE)</f>
        <v>0</v>
      </c>
      <c r="L53" s="57">
        <f>'Table A15'!AB7*'Table A15'!$AD7*VLOOKUP($A53,'Table A15'!$A$6:$R$24,13,FALSE)</f>
        <v>0</v>
      </c>
      <c r="M53" s="57">
        <f>'Table A15'!AC7*'Table A15'!$AD7*VLOOKUP($A53,'Table A15'!$A$6:$R$24,13,FALSE)</f>
        <v>0</v>
      </c>
      <c r="N53" s="2"/>
    </row>
    <row r="54" spans="1:14" ht="13.5">
      <c r="A54" s="28" t="str">
        <f>'Table A15'!A8</f>
        <v>BACKHOE -TRACK 1/2 CY</v>
      </c>
      <c r="B54" s="57">
        <f>'Table A15'!R8*'Table A15'!$AD8*VLOOKUP($A54,'Table A15'!$A$6:$R$24,13,FALSE)</f>
        <v>0</v>
      </c>
      <c r="C54" s="57">
        <f>'Table A15'!S8*'Table A15'!$AD8*VLOOKUP($A54,'Table A15'!$A$6:$R$24,13,FALSE)</f>
        <v>6.831593999999999</v>
      </c>
      <c r="D54" s="57">
        <f>'Table A15'!T8*'Table A15'!$AD8*VLOOKUP($A54,'Table A15'!$A$6:$R$24,13,FALSE)</f>
        <v>6.831593999999999</v>
      </c>
      <c r="E54" s="57">
        <f>'Table A15'!U8*'Table A15'!$AD8*VLOOKUP($A54,'Table A15'!$A$6:$R$24,13,FALSE)</f>
        <v>0</v>
      </c>
      <c r="F54" s="57">
        <f>'Table A15'!V8*'Table A15'!$AD8*VLOOKUP($A54,'Table A15'!$A$6:$R$24,13,FALSE)</f>
        <v>0</v>
      </c>
      <c r="G54" s="57">
        <f>'Table A15'!W8*'Table A15'!$AD8*VLOOKUP($A54,'Table A15'!$A$6:$R$24,13,FALSE)</f>
        <v>0</v>
      </c>
      <c r="H54" s="57">
        <f>'Table A15'!X8*'Table A15'!$AD8*VLOOKUP($A54,'Table A15'!$A$6:$R$24,13,FALSE)</f>
        <v>0</v>
      </c>
      <c r="I54" s="57">
        <f>'Table A15'!Y8*'Table A15'!$AD8*VLOOKUP($A54,'Table A15'!$A$6:$R$24,13,FALSE)</f>
        <v>0</v>
      </c>
      <c r="J54" s="57">
        <f>'Table A15'!Z8*'Table A15'!$AD8*VLOOKUP($A54,'Table A15'!$A$6:$R$24,13,FALSE)</f>
        <v>0</v>
      </c>
      <c r="K54" s="57">
        <f>'Table A15'!AA8*'Table A15'!$AD8*VLOOKUP($A54,'Table A15'!$A$6:$R$24,13,FALSE)</f>
        <v>0</v>
      </c>
      <c r="L54" s="57">
        <f>'Table A15'!AB8*'Table A15'!$AD8*VLOOKUP($A54,'Table A15'!$A$6:$R$24,13,FALSE)</f>
        <v>0</v>
      </c>
      <c r="M54" s="57">
        <f>'Table A15'!AC8*'Table A15'!$AD8*VLOOKUP($A54,'Table A15'!$A$6:$R$24,13,FALSE)</f>
        <v>0</v>
      </c>
      <c r="N54" s="2"/>
    </row>
    <row r="55" spans="1:14" ht="13.5">
      <c r="A55" s="28" t="str">
        <f>'Table A15'!A9</f>
        <v>BOBCAT OR DITCH WITCH</v>
      </c>
      <c r="B55" s="57">
        <f>'Table A15'!R9*'Table A15'!$AD9*VLOOKUP($A55,'Table A15'!$A$6:$R$24,13,FALSE)</f>
        <v>8.01009</v>
      </c>
      <c r="C55" s="57">
        <f>'Table A15'!S9*'Table A15'!$AD9*VLOOKUP($A55,'Table A15'!$A$6:$R$24,13,FALSE)</f>
        <v>8.01009</v>
      </c>
      <c r="D55" s="57">
        <f>'Table A15'!T9*'Table A15'!$AD9*VLOOKUP($A55,'Table A15'!$A$6:$R$24,13,FALSE)</f>
        <v>8.01009</v>
      </c>
      <c r="E55" s="57">
        <f>'Table A15'!U9*'Table A15'!$AD9*VLOOKUP($A55,'Table A15'!$A$6:$R$24,13,FALSE)</f>
        <v>8.01009</v>
      </c>
      <c r="F55" s="57">
        <f>'Table A15'!V9*'Table A15'!$AD9*VLOOKUP($A55,'Table A15'!$A$6:$R$24,13,FALSE)</f>
        <v>8.01009</v>
      </c>
      <c r="G55" s="57">
        <f>'Table A15'!W9*'Table A15'!$AD9*VLOOKUP($A55,'Table A15'!$A$6:$R$24,13,FALSE)</f>
        <v>8.01009</v>
      </c>
      <c r="H55" s="57">
        <f>'Table A15'!X9*'Table A15'!$AD9*VLOOKUP($A55,'Table A15'!$A$6:$R$24,13,FALSE)</f>
        <v>0</v>
      </c>
      <c r="I55" s="57">
        <f>'Table A15'!Y9*'Table A15'!$AD9*VLOOKUP($A55,'Table A15'!$A$6:$R$24,13,FALSE)</f>
        <v>0</v>
      </c>
      <c r="J55" s="57">
        <f>'Table A15'!Z9*'Table A15'!$AD9*VLOOKUP($A55,'Table A15'!$A$6:$R$24,13,FALSE)</f>
        <v>0</v>
      </c>
      <c r="K55" s="57">
        <f>'Table A15'!AA9*'Table A15'!$AD9*VLOOKUP($A55,'Table A15'!$A$6:$R$24,13,FALSE)</f>
        <v>0</v>
      </c>
      <c r="L55" s="57">
        <f>'Table A15'!AB9*'Table A15'!$AD9*VLOOKUP($A55,'Table A15'!$A$6:$R$24,13,FALSE)</f>
        <v>0</v>
      </c>
      <c r="M55" s="57">
        <f>'Table A15'!AC9*'Table A15'!$AD9*VLOOKUP($A55,'Table A15'!$A$6:$R$24,13,FALSE)</f>
        <v>0</v>
      </c>
      <c r="N55" s="2"/>
    </row>
    <row r="56" spans="1:14" ht="13.5">
      <c r="A56" s="28" t="str">
        <f>'Table A15'!A10</f>
        <v>4100W CRANE W/180 BOOM</v>
      </c>
      <c r="B56" s="57">
        <f>'Table A15'!R10*'Table A15'!$AD10*VLOOKUP($A56,'Table A15'!$A$6:$R$24,13,FALSE)</f>
        <v>0</v>
      </c>
      <c r="C56" s="57">
        <f>'Table A15'!S10*'Table A15'!$AD10*VLOOKUP($A56,'Table A15'!$A$6:$R$24,13,FALSE)</f>
        <v>0</v>
      </c>
      <c r="D56" s="57">
        <f>'Table A15'!T10*'Table A15'!$AD10*VLOOKUP($A56,'Table A15'!$A$6:$R$24,13,FALSE)</f>
        <v>0</v>
      </c>
      <c r="E56" s="57">
        <f>'Table A15'!U10*'Table A15'!$AD10*VLOOKUP($A56,'Table A15'!$A$6:$R$24,13,FALSE)</f>
        <v>0</v>
      </c>
      <c r="F56" s="57">
        <f>'Table A15'!V10*'Table A15'!$AD10*VLOOKUP($A56,'Table A15'!$A$6:$R$24,13,FALSE)</f>
        <v>0</v>
      </c>
      <c r="G56" s="57">
        <f>'Table A15'!W10*'Table A15'!$AD10*VLOOKUP($A56,'Table A15'!$A$6:$R$24,13,FALSE)</f>
        <v>3.6828000000000003</v>
      </c>
      <c r="H56" s="57">
        <f>'Table A15'!X10*'Table A15'!$AD10*VLOOKUP($A56,'Table A15'!$A$6:$R$24,13,FALSE)</f>
        <v>3.6828000000000003</v>
      </c>
      <c r="I56" s="57">
        <f>'Table A15'!Y10*'Table A15'!$AD10*VLOOKUP($A56,'Table A15'!$A$6:$R$24,13,FALSE)</f>
        <v>3.6828000000000003</v>
      </c>
      <c r="J56" s="57">
        <f>'Table A15'!Z10*'Table A15'!$AD10*VLOOKUP($A56,'Table A15'!$A$6:$R$24,13,FALSE)</f>
        <v>3.6828000000000003</v>
      </c>
      <c r="K56" s="57">
        <f>'Table A15'!AA10*'Table A15'!$AD10*VLOOKUP($A56,'Table A15'!$A$6:$R$24,13,FALSE)</f>
        <v>3.6828000000000003</v>
      </c>
      <c r="L56" s="57">
        <f>'Table A15'!AB10*'Table A15'!$AD10*VLOOKUP($A56,'Table A15'!$A$6:$R$24,13,FALSE)</f>
        <v>3.6828000000000003</v>
      </c>
      <c r="M56" s="57">
        <f>'Table A15'!AC10*'Table A15'!$AD10*VLOOKUP($A56,'Table A15'!$A$6:$R$24,13,FALSE)</f>
        <v>3.6828000000000003</v>
      </c>
      <c r="N56" s="2"/>
    </row>
    <row r="57" spans="1:14" ht="13.5">
      <c r="A57" s="28" t="str">
        <f>'Table A15'!A11</f>
        <v>70 TON MOBILE CRANE</v>
      </c>
      <c r="B57" s="57">
        <f>'Table A15'!R11*'Table A15'!$AD11*VLOOKUP($A57,'Table A15'!$A$6:$R$24,13,FALSE)</f>
        <v>0</v>
      </c>
      <c r="C57" s="57">
        <f>'Table A15'!S11*'Table A15'!$AD11*VLOOKUP($A57,'Table A15'!$A$6:$R$24,13,FALSE)</f>
        <v>0</v>
      </c>
      <c r="D57" s="57">
        <f>'Table A15'!T11*'Table A15'!$AD11*VLOOKUP($A57,'Table A15'!$A$6:$R$24,13,FALSE)</f>
        <v>0</v>
      </c>
      <c r="E57" s="57">
        <f>'Table A15'!U11*'Table A15'!$AD11*VLOOKUP($A57,'Table A15'!$A$6:$R$24,13,FALSE)</f>
        <v>2.5875</v>
      </c>
      <c r="F57" s="57">
        <f>'Table A15'!V11*'Table A15'!$AD11*VLOOKUP($A57,'Table A15'!$A$6:$R$24,13,FALSE)</f>
        <v>2.5875</v>
      </c>
      <c r="G57" s="57">
        <f>'Table A15'!W11*'Table A15'!$AD11*VLOOKUP($A57,'Table A15'!$A$6:$R$24,13,FALSE)</f>
        <v>2.5875</v>
      </c>
      <c r="H57" s="57">
        <f>'Table A15'!X11*'Table A15'!$AD11*VLOOKUP($A57,'Table A15'!$A$6:$R$24,13,FALSE)</f>
        <v>2.5875</v>
      </c>
      <c r="I57" s="57">
        <f>'Table A15'!Y11*'Table A15'!$AD11*VLOOKUP($A57,'Table A15'!$A$6:$R$24,13,FALSE)</f>
        <v>2.5875</v>
      </c>
      <c r="J57" s="57">
        <f>'Table A15'!Z11*'Table A15'!$AD11*VLOOKUP($A57,'Table A15'!$A$6:$R$24,13,FALSE)</f>
        <v>2.5875</v>
      </c>
      <c r="K57" s="57">
        <f>'Table A15'!AA11*'Table A15'!$AD11*VLOOKUP($A57,'Table A15'!$A$6:$R$24,13,FALSE)</f>
        <v>2.5875</v>
      </c>
      <c r="L57" s="57">
        <f>'Table A15'!AB11*'Table A15'!$AD11*VLOOKUP($A57,'Table A15'!$A$6:$R$24,13,FALSE)</f>
        <v>2.5875</v>
      </c>
      <c r="M57" s="57">
        <f>'Table A15'!AC11*'Table A15'!$AD11*VLOOKUP($A57,'Table A15'!$A$6:$R$24,13,FALSE)</f>
        <v>2.5875</v>
      </c>
      <c r="N57" s="2"/>
    </row>
    <row r="58" spans="1:14" ht="13.5">
      <c r="A58" s="28" t="str">
        <f>'Table A15'!A12</f>
        <v>35 TON MOBILE CRANE</v>
      </c>
      <c r="B58" s="57">
        <f>'Table A15'!R12*'Table A15'!$AD12*VLOOKUP($A58,'Table A15'!$A$6:$R$24,13,FALSE)</f>
        <v>0</v>
      </c>
      <c r="C58" s="57">
        <f>'Table A15'!S12*'Table A15'!$AD12*VLOOKUP($A58,'Table A15'!$A$6:$R$24,13,FALSE)</f>
        <v>0</v>
      </c>
      <c r="D58" s="57">
        <f>'Table A15'!T12*'Table A15'!$AD12*VLOOKUP($A58,'Table A15'!$A$6:$R$24,13,FALSE)</f>
        <v>0</v>
      </c>
      <c r="E58" s="57">
        <f>'Table A15'!U12*'Table A15'!$AD12*VLOOKUP($A58,'Table A15'!$A$6:$R$24,13,FALSE)</f>
        <v>8.117712</v>
      </c>
      <c r="F58" s="57">
        <f>'Table A15'!V12*'Table A15'!$AD12*VLOOKUP($A58,'Table A15'!$A$6:$R$24,13,FALSE)</f>
        <v>8.117712</v>
      </c>
      <c r="G58" s="57">
        <f>'Table A15'!W12*'Table A15'!$AD12*VLOOKUP($A58,'Table A15'!$A$6:$R$24,13,FALSE)</f>
        <v>8.117712</v>
      </c>
      <c r="H58" s="57">
        <f>'Table A15'!X12*'Table A15'!$AD12*VLOOKUP($A58,'Table A15'!$A$6:$R$24,13,FALSE)</f>
        <v>8.117712</v>
      </c>
      <c r="I58" s="57">
        <f>'Table A15'!Y12*'Table A15'!$AD12*VLOOKUP($A58,'Table A15'!$A$6:$R$24,13,FALSE)</f>
        <v>8.117712</v>
      </c>
      <c r="J58" s="57">
        <f>'Table A15'!Z12*'Table A15'!$AD12*VLOOKUP($A58,'Table A15'!$A$6:$R$24,13,FALSE)</f>
        <v>8.117712</v>
      </c>
      <c r="K58" s="57">
        <f>'Table A15'!AA12*'Table A15'!$AD12*VLOOKUP($A58,'Table A15'!$A$6:$R$24,13,FALSE)</f>
        <v>8.117712</v>
      </c>
      <c r="L58" s="57">
        <f>'Table A15'!AB12*'Table A15'!$AD12*VLOOKUP($A58,'Table A15'!$A$6:$R$24,13,FALSE)</f>
        <v>8.117712</v>
      </c>
      <c r="M58" s="57">
        <f>'Table A15'!AC12*'Table A15'!$AD12*VLOOKUP($A58,'Table A15'!$A$6:$R$24,13,FALSE)</f>
        <v>8.117712</v>
      </c>
      <c r="N58" s="2"/>
    </row>
    <row r="59" spans="1:14" ht="13.5">
      <c r="A59" s="28" t="str">
        <f>'Table A15'!A13</f>
        <v>15 TON PICKER CRANE</v>
      </c>
      <c r="B59" s="57">
        <f>'Table A15'!R13*'Table A15'!$AD13*VLOOKUP($A59,'Table A15'!$A$6:$R$24,13,FALSE)</f>
        <v>0</v>
      </c>
      <c r="C59" s="57">
        <f>'Table A15'!S13*'Table A15'!$AD13*VLOOKUP($A59,'Table A15'!$A$6:$R$24,13,FALSE)</f>
        <v>0</v>
      </c>
      <c r="D59" s="57">
        <f>'Table A15'!T13*'Table A15'!$AD13*VLOOKUP($A59,'Table A15'!$A$6:$R$24,13,FALSE)</f>
        <v>15.354225</v>
      </c>
      <c r="E59" s="57">
        <f>'Table A15'!U13*'Table A15'!$AD13*VLOOKUP($A59,'Table A15'!$A$6:$R$24,13,FALSE)</f>
        <v>15.354225</v>
      </c>
      <c r="F59" s="57">
        <f>'Table A15'!V13*'Table A15'!$AD13*VLOOKUP($A59,'Table A15'!$A$6:$R$24,13,FALSE)</f>
        <v>23.0313375</v>
      </c>
      <c r="G59" s="57">
        <f>'Table A15'!W13*'Table A15'!$AD13*VLOOKUP($A59,'Table A15'!$A$6:$R$24,13,FALSE)</f>
        <v>23.0313375</v>
      </c>
      <c r="H59" s="57">
        <f>'Table A15'!X13*'Table A15'!$AD13*VLOOKUP($A59,'Table A15'!$A$6:$R$24,13,FALSE)</f>
        <v>23.0313375</v>
      </c>
      <c r="I59" s="57">
        <f>'Table A15'!Y13*'Table A15'!$AD13*VLOOKUP($A59,'Table A15'!$A$6:$R$24,13,FALSE)</f>
        <v>23.0313375</v>
      </c>
      <c r="J59" s="57">
        <f>'Table A15'!Z13*'Table A15'!$AD13*VLOOKUP($A59,'Table A15'!$A$6:$R$24,13,FALSE)</f>
        <v>23.0313375</v>
      </c>
      <c r="K59" s="57">
        <f>'Table A15'!AA13*'Table A15'!$AD13*VLOOKUP($A59,'Table A15'!$A$6:$R$24,13,FALSE)</f>
        <v>15.354225</v>
      </c>
      <c r="L59" s="57">
        <f>'Table A15'!AB13*'Table A15'!$AD13*VLOOKUP($A59,'Table A15'!$A$6:$R$24,13,FALSE)</f>
        <v>15.354225</v>
      </c>
      <c r="M59" s="57">
        <f>'Table A15'!AC13*'Table A15'!$AD13*VLOOKUP($A59,'Table A15'!$A$6:$R$24,13,FALSE)</f>
        <v>7.6771125</v>
      </c>
      <c r="N59" s="2"/>
    </row>
    <row r="60" spans="1:14" ht="13.5">
      <c r="A60" s="28" t="str">
        <f>'Table A15'!A14</f>
        <v>5000# FORKLIFT</v>
      </c>
      <c r="B60" s="57">
        <f>'Table A15'!R14*'Table A15'!$AD14*VLOOKUP($A60,'Table A15'!$A$6:$R$24,13,FALSE)</f>
        <v>0</v>
      </c>
      <c r="C60" s="57">
        <f>'Table A15'!S14*'Table A15'!$AD14*VLOOKUP($A60,'Table A15'!$A$6:$R$24,13,FALSE)</f>
        <v>0</v>
      </c>
      <c r="D60" s="57">
        <f>'Table A15'!T14*'Table A15'!$AD14*VLOOKUP($A60,'Table A15'!$A$6:$R$24,13,FALSE)</f>
        <v>0</v>
      </c>
      <c r="E60" s="57">
        <f>'Table A15'!U14*'Table A15'!$AD14*VLOOKUP($A60,'Table A15'!$A$6:$R$24,13,FALSE)</f>
        <v>3.348</v>
      </c>
      <c r="F60" s="57">
        <f>'Table A15'!V14*'Table A15'!$AD14*VLOOKUP($A60,'Table A15'!$A$6:$R$24,13,FALSE)</f>
        <v>3.348</v>
      </c>
      <c r="G60" s="57">
        <f>'Table A15'!W14*'Table A15'!$AD14*VLOOKUP($A60,'Table A15'!$A$6:$R$24,13,FALSE)</f>
        <v>3.348</v>
      </c>
      <c r="H60" s="57">
        <f>'Table A15'!X14*'Table A15'!$AD14*VLOOKUP($A60,'Table A15'!$A$6:$R$24,13,FALSE)</f>
        <v>6.696</v>
      </c>
      <c r="I60" s="57">
        <f>'Table A15'!Y14*'Table A15'!$AD14*VLOOKUP($A60,'Table A15'!$A$6:$R$24,13,FALSE)</f>
        <v>6.696</v>
      </c>
      <c r="J60" s="57">
        <f>'Table A15'!Z14*'Table A15'!$AD14*VLOOKUP($A60,'Table A15'!$A$6:$R$24,13,FALSE)</f>
        <v>10.044</v>
      </c>
      <c r="K60" s="57">
        <f>'Table A15'!AA14*'Table A15'!$AD14*VLOOKUP($A60,'Table A15'!$A$6:$R$24,13,FALSE)</f>
        <v>6.696</v>
      </c>
      <c r="L60" s="57">
        <f>'Table A15'!AB14*'Table A15'!$AD14*VLOOKUP($A60,'Table A15'!$A$6:$R$24,13,FALSE)</f>
        <v>6.696</v>
      </c>
      <c r="M60" s="57">
        <f>'Table A15'!AC14*'Table A15'!$AD14*VLOOKUP($A60,'Table A15'!$A$6:$R$24,13,FALSE)</f>
        <v>3.348</v>
      </c>
      <c r="N60" s="2"/>
    </row>
    <row r="61" spans="1:14" ht="13.5">
      <c r="A61" s="28" t="str">
        <f>'Table A15'!A15</f>
        <v>TRACTOR (TRUCK)</v>
      </c>
      <c r="B61" s="57">
        <f>'Table A15'!R15*'Table A15'!$AD15*VLOOKUP($A61,'Table A15'!$A$6:$R$24,13,FALSE)</f>
        <v>0</v>
      </c>
      <c r="C61" s="57">
        <f>'Table A15'!S15*'Table A15'!$AD15*VLOOKUP($A61,'Table A15'!$A$6:$R$24,13,FALSE)</f>
        <v>0</v>
      </c>
      <c r="D61" s="57">
        <f>'Table A15'!T15*'Table A15'!$AD15*VLOOKUP($A61,'Table A15'!$A$6:$R$24,13,FALSE)</f>
        <v>0</v>
      </c>
      <c r="E61" s="57">
        <f>'Table A15'!U15*'Table A15'!$AD15*VLOOKUP($A61,'Table A15'!$A$6:$R$24,13,FALSE)</f>
        <v>0</v>
      </c>
      <c r="F61" s="57">
        <f>'Table A15'!V15*'Table A15'!$AD15*VLOOKUP($A61,'Table A15'!$A$6:$R$24,13,FALSE)</f>
        <v>3.6828000000000003</v>
      </c>
      <c r="G61" s="57">
        <f>'Table A15'!W15*'Table A15'!$AD15*VLOOKUP($A61,'Table A15'!$A$6:$R$24,13,FALSE)</f>
        <v>3.6828000000000003</v>
      </c>
      <c r="H61" s="57">
        <f>'Table A15'!X15*'Table A15'!$AD15*VLOOKUP($A61,'Table A15'!$A$6:$R$24,13,FALSE)</f>
        <v>7.365600000000001</v>
      </c>
      <c r="I61" s="57">
        <f>'Table A15'!Y15*'Table A15'!$AD15*VLOOKUP($A61,'Table A15'!$A$6:$R$24,13,FALSE)</f>
        <v>3.6828000000000003</v>
      </c>
      <c r="J61" s="57">
        <f>'Table A15'!Z15*'Table A15'!$AD15*VLOOKUP($A61,'Table A15'!$A$6:$R$24,13,FALSE)</f>
        <v>0</v>
      </c>
      <c r="K61" s="57">
        <f>'Table A15'!AA15*'Table A15'!$AD15*VLOOKUP($A61,'Table A15'!$A$6:$R$24,13,FALSE)</f>
        <v>0</v>
      </c>
      <c r="L61" s="57">
        <f>'Table A15'!AB15*'Table A15'!$AD15*VLOOKUP($A61,'Table A15'!$A$6:$R$24,13,FALSE)</f>
        <v>0</v>
      </c>
      <c r="M61" s="57">
        <f>'Table A15'!AC15*'Table A15'!$AD15*VLOOKUP($A61,'Table A15'!$A$6:$R$24,13,FALSE)</f>
        <v>0</v>
      </c>
      <c r="N61" s="2"/>
    </row>
    <row r="62" spans="1:14" ht="13.5">
      <c r="A62" s="28" t="str">
        <f>'Table A15'!A16</f>
        <v>JLG MANLIFT W/ 80' BOOM</v>
      </c>
      <c r="B62" s="57">
        <f>'Table A15'!R16*'Table A15'!$AD16*VLOOKUP($A62,'Table A15'!$A$6:$R$24,13,FALSE)</f>
        <v>0</v>
      </c>
      <c r="C62" s="57">
        <f>'Table A15'!S16*'Table A15'!$AD16*VLOOKUP($A62,'Table A15'!$A$6:$R$24,13,FALSE)</f>
        <v>0</v>
      </c>
      <c r="D62" s="57">
        <f>'Table A15'!T16*'Table A15'!$AD16*VLOOKUP($A62,'Table A15'!$A$6:$R$24,13,FALSE)</f>
        <v>0</v>
      </c>
      <c r="E62" s="57">
        <f>'Table A15'!U16*'Table A15'!$AD16*VLOOKUP($A62,'Table A15'!$A$6:$R$24,13,FALSE)</f>
        <v>1.9997999999999998</v>
      </c>
      <c r="F62" s="57">
        <f>'Table A15'!V16*'Table A15'!$AD16*VLOOKUP($A62,'Table A15'!$A$6:$R$24,13,FALSE)</f>
        <v>1.9997999999999998</v>
      </c>
      <c r="G62" s="57">
        <f>'Table A15'!W16*'Table A15'!$AD16*VLOOKUP($A62,'Table A15'!$A$6:$R$24,13,FALSE)</f>
        <v>1.9997999999999998</v>
      </c>
      <c r="H62" s="57">
        <f>'Table A15'!X16*'Table A15'!$AD16*VLOOKUP($A62,'Table A15'!$A$6:$R$24,13,FALSE)</f>
        <v>1.9997999999999998</v>
      </c>
      <c r="I62" s="57">
        <f>'Table A15'!Y16*'Table A15'!$AD16*VLOOKUP($A62,'Table A15'!$A$6:$R$24,13,FALSE)</f>
        <v>1.9997999999999998</v>
      </c>
      <c r="J62" s="57">
        <f>'Table A15'!Z16*'Table A15'!$AD16*VLOOKUP($A62,'Table A15'!$A$6:$R$24,13,FALSE)</f>
        <v>3.9995999999999996</v>
      </c>
      <c r="K62" s="57">
        <f>'Table A15'!AA16*'Table A15'!$AD16*VLOOKUP($A62,'Table A15'!$A$6:$R$24,13,FALSE)</f>
        <v>5.9994</v>
      </c>
      <c r="L62" s="57">
        <f>'Table A15'!AB16*'Table A15'!$AD16*VLOOKUP($A62,'Table A15'!$A$6:$R$24,13,FALSE)</f>
        <v>5.9994</v>
      </c>
      <c r="M62" s="57">
        <f>'Table A15'!AC16*'Table A15'!$AD16*VLOOKUP($A62,'Table A15'!$A$6:$R$24,13,FALSE)</f>
        <v>1.9997999999999998</v>
      </c>
      <c r="N62" s="2"/>
    </row>
    <row r="63" spans="1:14" ht="13.5">
      <c r="A63" s="28" t="str">
        <f>'Table A15'!A17</f>
        <v>PERSONNEL LIFT</v>
      </c>
      <c r="B63" s="57">
        <f>'Table A15'!R17*'Table A15'!$AD17*VLOOKUP($A63,'Table A15'!$A$6:$R$24,13,FALSE)</f>
        <v>0</v>
      </c>
      <c r="C63" s="57">
        <f>'Table A15'!S17*'Table A15'!$AD17*VLOOKUP($A63,'Table A15'!$A$6:$R$24,13,FALSE)</f>
        <v>0</v>
      </c>
      <c r="D63" s="57">
        <f>'Table A15'!T17*'Table A15'!$AD17*VLOOKUP($A63,'Table A15'!$A$6:$R$24,13,FALSE)</f>
        <v>0</v>
      </c>
      <c r="E63" s="57">
        <f>'Table A15'!U17*'Table A15'!$AD17*VLOOKUP($A63,'Table A15'!$A$6:$R$24,13,FALSE)</f>
        <v>2.6470124999999998</v>
      </c>
      <c r="F63" s="57">
        <f>'Table A15'!V17*'Table A15'!$AD17*VLOOKUP($A63,'Table A15'!$A$6:$R$24,13,FALSE)</f>
        <v>5.2940249999999995</v>
      </c>
      <c r="G63" s="57">
        <f>'Table A15'!W17*'Table A15'!$AD17*VLOOKUP($A63,'Table A15'!$A$6:$R$24,13,FALSE)</f>
        <v>7.9410375</v>
      </c>
      <c r="H63" s="57">
        <f>'Table A15'!X17*'Table A15'!$AD17*VLOOKUP($A63,'Table A15'!$A$6:$R$24,13,FALSE)</f>
        <v>7.9410375</v>
      </c>
      <c r="I63" s="57">
        <f>'Table A15'!Y17*'Table A15'!$AD17*VLOOKUP($A63,'Table A15'!$A$6:$R$24,13,FALSE)</f>
        <v>7.9410375</v>
      </c>
      <c r="J63" s="57">
        <f>'Table A15'!Z17*'Table A15'!$AD17*VLOOKUP($A63,'Table A15'!$A$6:$R$24,13,FALSE)</f>
        <v>7.9410375</v>
      </c>
      <c r="K63" s="57">
        <f>'Table A15'!AA17*'Table A15'!$AD17*VLOOKUP($A63,'Table A15'!$A$6:$R$24,13,FALSE)</f>
        <v>5.2940249999999995</v>
      </c>
      <c r="L63" s="57">
        <f>'Table A15'!AB17*'Table A15'!$AD17*VLOOKUP($A63,'Table A15'!$A$6:$R$24,13,FALSE)</f>
        <v>5.2940249999999995</v>
      </c>
      <c r="M63" s="57">
        <f>'Table A15'!AC17*'Table A15'!$AD17*VLOOKUP($A63,'Table A15'!$A$6:$R$24,13,FALSE)</f>
        <v>2.6470124999999998</v>
      </c>
      <c r="N63" s="2"/>
    </row>
    <row r="64" spans="1:14" ht="13.5">
      <c r="A64" s="28" t="str">
        <f>'Table A15'!A18</f>
        <v>375 CFM AIR COMPRESSOR</v>
      </c>
      <c r="B64" s="57">
        <f>'Table A15'!R18*'Table A15'!$AD18*VLOOKUP($A64,'Table A15'!$A$6:$R$24,13,FALSE)</f>
        <v>0</v>
      </c>
      <c r="C64" s="57">
        <f>'Table A15'!S18*'Table A15'!$AD18*VLOOKUP($A64,'Table A15'!$A$6:$R$24,13,FALSE)</f>
        <v>0</v>
      </c>
      <c r="D64" s="57">
        <f>'Table A15'!T18*'Table A15'!$AD18*VLOOKUP($A64,'Table A15'!$A$6:$R$24,13,FALSE)</f>
        <v>0</v>
      </c>
      <c r="E64" s="57">
        <f>'Table A15'!U18*'Table A15'!$AD18*VLOOKUP($A64,'Table A15'!$A$6:$R$24,13,FALSE)</f>
        <v>6.8904</v>
      </c>
      <c r="F64" s="57">
        <f>'Table A15'!V18*'Table A15'!$AD18*VLOOKUP($A64,'Table A15'!$A$6:$R$24,13,FALSE)</f>
        <v>6.8904</v>
      </c>
      <c r="G64" s="57">
        <f>'Table A15'!W18*'Table A15'!$AD18*VLOOKUP($A64,'Table A15'!$A$6:$R$24,13,FALSE)</f>
        <v>6.8904</v>
      </c>
      <c r="H64" s="57">
        <f>'Table A15'!X18*'Table A15'!$AD18*VLOOKUP($A64,'Table A15'!$A$6:$R$24,13,FALSE)</f>
        <v>6.8904</v>
      </c>
      <c r="I64" s="57">
        <f>'Table A15'!Y18*'Table A15'!$AD18*VLOOKUP($A64,'Table A15'!$A$6:$R$24,13,FALSE)</f>
        <v>6.8904</v>
      </c>
      <c r="J64" s="57">
        <f>'Table A15'!Z18*'Table A15'!$AD18*VLOOKUP($A64,'Table A15'!$A$6:$R$24,13,FALSE)</f>
        <v>6.8904</v>
      </c>
      <c r="K64" s="57">
        <f>'Table A15'!AA18*'Table A15'!$AD18*VLOOKUP($A64,'Table A15'!$A$6:$R$24,13,FALSE)</f>
        <v>6.8904</v>
      </c>
      <c r="L64" s="57">
        <f>'Table A15'!AB18*'Table A15'!$AD18*VLOOKUP($A64,'Table A15'!$A$6:$R$24,13,FALSE)</f>
        <v>6.8904</v>
      </c>
      <c r="M64" s="57">
        <f>'Table A15'!AC18*'Table A15'!$AD18*VLOOKUP($A64,'Table A15'!$A$6:$R$24,13,FALSE)</f>
        <v>6.8904</v>
      </c>
      <c r="N64" s="2"/>
    </row>
    <row r="65" spans="1:14" ht="13.5">
      <c r="A65" s="28" t="str">
        <f>'Table A15'!A19</f>
        <v>Diesel Welding Machine</v>
      </c>
      <c r="B65" s="57">
        <f>'Table A15'!R19*'Table A15'!$AD19*VLOOKUP($A65,'Table A15'!$A$6:$R$24,13,FALSE)</f>
        <v>1.7819999999999998</v>
      </c>
      <c r="C65" s="57">
        <f>'Table A15'!S19*'Table A15'!$AD19*VLOOKUP($A65,'Table A15'!$A$6:$R$24,13,FALSE)</f>
        <v>1.7819999999999998</v>
      </c>
      <c r="D65" s="57">
        <f>'Table A15'!T19*'Table A15'!$AD19*VLOOKUP($A65,'Table A15'!$A$6:$R$24,13,FALSE)</f>
        <v>0</v>
      </c>
      <c r="E65" s="57">
        <f>'Table A15'!U19*'Table A15'!$AD19*VLOOKUP($A65,'Table A15'!$A$6:$R$24,13,FALSE)</f>
        <v>0</v>
      </c>
      <c r="F65" s="57">
        <f>'Table A15'!V19*'Table A15'!$AD19*VLOOKUP($A65,'Table A15'!$A$6:$R$24,13,FALSE)</f>
        <v>1.7819999999999998</v>
      </c>
      <c r="G65" s="57">
        <f>'Table A15'!W19*'Table A15'!$AD19*VLOOKUP($A65,'Table A15'!$A$6:$R$24,13,FALSE)</f>
        <v>1.7819999999999998</v>
      </c>
      <c r="H65" s="57">
        <f>'Table A15'!X19*'Table A15'!$AD19*VLOOKUP($A65,'Table A15'!$A$6:$R$24,13,FALSE)</f>
        <v>3.5639999999999996</v>
      </c>
      <c r="I65" s="57">
        <f>'Table A15'!Y19*'Table A15'!$AD19*VLOOKUP($A65,'Table A15'!$A$6:$R$24,13,FALSE)</f>
        <v>1.7819999999999998</v>
      </c>
      <c r="J65" s="57">
        <f>'Table A15'!Z19*'Table A15'!$AD19*VLOOKUP($A65,'Table A15'!$A$6:$R$24,13,FALSE)</f>
        <v>1.7819999999999998</v>
      </c>
      <c r="K65" s="57">
        <f>'Table A15'!AA19*'Table A15'!$AD19*VLOOKUP($A65,'Table A15'!$A$6:$R$24,13,FALSE)</f>
        <v>0</v>
      </c>
      <c r="L65" s="57">
        <f>'Table A15'!AB19*'Table A15'!$AD19*VLOOKUP($A65,'Table A15'!$A$6:$R$24,13,FALSE)</f>
        <v>0</v>
      </c>
      <c r="M65" s="57">
        <f>'Table A15'!AC19*'Table A15'!$AD19*VLOOKUP($A65,'Table A15'!$A$6:$R$24,13,FALSE)</f>
        <v>0</v>
      </c>
      <c r="N65" s="2"/>
    </row>
    <row r="66" spans="1:14" ht="13.5">
      <c r="A66" s="28" t="str">
        <f>'Table A15'!A20</f>
        <v>Electric Welding Machine</v>
      </c>
      <c r="B66" s="57">
        <f>'Table A15'!R20*'Table A15'!$AD20*VLOOKUP($A66,'Table A15'!$A$6:$R$24,13,FALSE)</f>
        <v>0</v>
      </c>
      <c r="C66" s="57">
        <f>'Table A15'!S20*'Table A15'!$AD20*VLOOKUP($A66,'Table A15'!$A$6:$R$24,13,FALSE)</f>
        <v>0</v>
      </c>
      <c r="D66" s="57">
        <f>'Table A15'!T20*'Table A15'!$AD20*VLOOKUP($A66,'Table A15'!$A$6:$R$24,13,FALSE)</f>
        <v>0</v>
      </c>
      <c r="E66" s="57">
        <f>'Table A15'!U20*'Table A15'!$AD20*VLOOKUP($A66,'Table A15'!$A$6:$R$24,13,FALSE)</f>
        <v>0</v>
      </c>
      <c r="F66" s="57">
        <f>'Table A15'!V20*'Table A15'!$AD20*VLOOKUP($A66,'Table A15'!$A$6:$R$24,13,FALSE)</f>
        <v>0</v>
      </c>
      <c r="G66" s="57">
        <f>'Table A15'!W20*'Table A15'!$AD20*VLOOKUP($A66,'Table A15'!$A$6:$R$24,13,FALSE)</f>
        <v>0</v>
      </c>
      <c r="H66" s="57">
        <f>'Table A15'!X20*'Table A15'!$AD20*VLOOKUP($A66,'Table A15'!$A$6:$R$24,13,FALSE)</f>
        <v>0</v>
      </c>
      <c r="I66" s="57">
        <f>'Table A15'!Y20*'Table A15'!$AD20*VLOOKUP($A66,'Table A15'!$A$6:$R$24,13,FALSE)</f>
        <v>0</v>
      </c>
      <c r="J66" s="57">
        <f>'Table A15'!Z20*'Table A15'!$AD20*VLOOKUP($A66,'Table A15'!$A$6:$R$24,13,FALSE)</f>
        <v>0</v>
      </c>
      <c r="K66" s="57">
        <f>'Table A15'!AA20*'Table A15'!$AD20*VLOOKUP($A66,'Table A15'!$A$6:$R$24,13,FALSE)</f>
        <v>0</v>
      </c>
      <c r="L66" s="57">
        <f>'Table A15'!AB20*'Table A15'!$AD20*VLOOKUP($A66,'Table A15'!$A$6:$R$24,13,FALSE)</f>
        <v>0</v>
      </c>
      <c r="M66" s="57">
        <f>'Table A15'!AC20*'Table A15'!$AD20*VLOOKUP($A66,'Table A15'!$A$6:$R$24,13,FALSE)</f>
        <v>0</v>
      </c>
      <c r="N66" s="2"/>
    </row>
    <row r="67" spans="1:14" ht="13.5">
      <c r="A67" s="28" t="str">
        <f>'Table A15'!A21</f>
        <v>Trash Pump (3-inch)</v>
      </c>
      <c r="B67" s="57">
        <f>'Table A15'!R21*'Table A15'!$AD21*VLOOKUP($A67,'Table A15'!$A$6:$R$24,13,FALSE)</f>
        <v>0</v>
      </c>
      <c r="C67" s="57">
        <f>'Table A15'!S21*'Table A15'!$AD21*VLOOKUP($A67,'Table A15'!$A$6:$R$24,13,FALSE)</f>
        <v>0</v>
      </c>
      <c r="D67" s="57">
        <f>'Table A15'!T21*'Table A15'!$AD21*VLOOKUP($A67,'Table A15'!$A$6:$R$24,13,FALSE)</f>
        <v>0</v>
      </c>
      <c r="E67" s="57">
        <f>'Table A15'!U21*'Table A15'!$AD21*VLOOKUP($A67,'Table A15'!$A$6:$R$24,13,FALSE)</f>
        <v>0</v>
      </c>
      <c r="F67" s="57">
        <f>'Table A15'!V21*'Table A15'!$AD21*VLOOKUP($A67,'Table A15'!$A$6:$R$24,13,FALSE)</f>
        <v>0</v>
      </c>
      <c r="G67" s="57">
        <f>'Table A15'!W21*'Table A15'!$AD21*VLOOKUP($A67,'Table A15'!$A$6:$R$24,13,FALSE)</f>
        <v>0</v>
      </c>
      <c r="H67" s="57">
        <f>'Table A15'!X21*'Table A15'!$AD21*VLOOKUP($A67,'Table A15'!$A$6:$R$24,13,FALSE)</f>
        <v>0</v>
      </c>
      <c r="I67" s="57">
        <f>'Table A15'!Y21*'Table A15'!$AD21*VLOOKUP($A67,'Table A15'!$A$6:$R$24,13,FALSE)</f>
        <v>0</v>
      </c>
      <c r="J67" s="57">
        <f>'Table A15'!Z21*'Table A15'!$AD21*VLOOKUP($A67,'Table A15'!$A$6:$R$24,13,FALSE)</f>
        <v>0</v>
      </c>
      <c r="K67" s="57">
        <f>'Table A15'!AA21*'Table A15'!$AD21*VLOOKUP($A67,'Table A15'!$A$6:$R$24,13,FALSE)</f>
        <v>0</v>
      </c>
      <c r="L67" s="57">
        <f>'Table A15'!AB21*'Table A15'!$AD21*VLOOKUP($A67,'Table A15'!$A$6:$R$24,13,FALSE)</f>
        <v>0</v>
      </c>
      <c r="M67" s="57">
        <f>'Table A15'!AC21*'Table A15'!$AD21*VLOOKUP($A67,'Table A15'!$A$6:$R$24,13,FALSE)</f>
        <v>0</v>
      </c>
      <c r="N67" s="2"/>
    </row>
    <row r="68" spans="1:14" ht="13.5">
      <c r="A68" s="13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2"/>
    </row>
    <row r="69" spans="1:14" ht="13.5">
      <c r="A69" s="16" t="s">
        <v>11</v>
      </c>
      <c r="B69" s="58">
        <f>SUM(B52:B68)</f>
        <v>19.394099999999998</v>
      </c>
      <c r="C69" s="58">
        <f aca="true" t="shared" si="2" ref="C69:M69">SUM(C52:C68)</f>
        <v>32.026104</v>
      </c>
      <c r="D69" s="58">
        <f t="shared" si="2"/>
        <v>45.598329</v>
      </c>
      <c r="E69" s="58">
        <f t="shared" si="2"/>
        <v>64.3571595</v>
      </c>
      <c r="F69" s="58">
        <f t="shared" si="2"/>
        <v>85.94649449999999</v>
      </c>
      <c r="G69" s="58">
        <f t="shared" si="2"/>
        <v>71.073477</v>
      </c>
      <c r="H69" s="58">
        <f t="shared" si="2"/>
        <v>71.87618699999999</v>
      </c>
      <c r="I69" s="58">
        <f t="shared" si="2"/>
        <v>66.41138699999999</v>
      </c>
      <c r="J69" s="58">
        <f t="shared" si="2"/>
        <v>68.076387</v>
      </c>
      <c r="K69" s="58">
        <f t="shared" si="2"/>
        <v>54.622062</v>
      </c>
      <c r="L69" s="58">
        <f t="shared" si="2"/>
        <v>54.622062</v>
      </c>
      <c r="M69" s="58">
        <f t="shared" si="2"/>
        <v>36.950337</v>
      </c>
      <c r="N69" s="2"/>
    </row>
    <row r="70" spans="2:14" ht="13.5">
      <c r="B70" s="29"/>
      <c r="N70" s="2"/>
    </row>
    <row r="71" spans="1:14" ht="13.5">
      <c r="A71" s="22" t="s">
        <v>94</v>
      </c>
      <c r="B71" s="23"/>
      <c r="C71" s="23"/>
      <c r="D71" s="23"/>
      <c r="E71" s="23"/>
      <c r="F71" s="23"/>
      <c r="G71" s="23"/>
      <c r="H71" s="5"/>
      <c r="I71" s="5"/>
      <c r="J71" s="5"/>
      <c r="K71" s="5"/>
      <c r="L71" s="5"/>
      <c r="M71" s="5"/>
      <c r="N71" s="2"/>
    </row>
    <row r="72" spans="1:14" ht="13.5">
      <c r="A72" s="145" t="s">
        <v>9</v>
      </c>
      <c r="B72" s="24" t="s">
        <v>10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8"/>
      <c r="N72" s="2"/>
    </row>
    <row r="73" spans="1:14" ht="13.5">
      <c r="A73" s="146"/>
      <c r="B73" s="11">
        <v>1</v>
      </c>
      <c r="C73" s="11">
        <v>2</v>
      </c>
      <c r="D73" s="11">
        <v>3</v>
      </c>
      <c r="E73" s="11">
        <v>4</v>
      </c>
      <c r="F73" s="11">
        <v>5</v>
      </c>
      <c r="G73" s="11">
        <v>6</v>
      </c>
      <c r="H73" s="11">
        <v>7</v>
      </c>
      <c r="I73" s="11">
        <v>8</v>
      </c>
      <c r="J73" s="11">
        <v>9</v>
      </c>
      <c r="K73" s="11">
        <v>10</v>
      </c>
      <c r="L73" s="11">
        <v>11</v>
      </c>
      <c r="M73" s="11">
        <v>12</v>
      </c>
      <c r="N73" s="2"/>
    </row>
    <row r="74" spans="1:14" ht="13.5">
      <c r="A74" s="28" t="str">
        <f>'Table A15'!A6</f>
        <v>175 CFM AIR COMPRESSOR</v>
      </c>
      <c r="B74" s="57">
        <f>'Table A15'!R6*'Table A15'!$AD6*VLOOKUP($A74,'Table A15'!$A$6:$R$24,14,FALSE)</f>
        <v>0.06398608695652175</v>
      </c>
      <c r="C74" s="57">
        <f>'Table A15'!S6*'Table A15'!$AD6*VLOOKUP($A74,'Table A15'!$A$6:$R$24,14,FALSE)</f>
        <v>0.06398608695652175</v>
      </c>
      <c r="D74" s="57">
        <f>'Table A15'!T6*'Table A15'!$AD6*VLOOKUP($A74,'Table A15'!$A$6:$R$24,14,FALSE)</f>
        <v>0.06398608695652175</v>
      </c>
      <c r="E74" s="57">
        <f>'Table A15'!U6*'Table A15'!$AD6*VLOOKUP($A74,'Table A15'!$A$6:$R$24,14,FALSE)</f>
        <v>0.06398608695652175</v>
      </c>
      <c r="F74" s="57">
        <f>'Table A15'!V6*'Table A15'!$AD6*VLOOKUP($A74,'Table A15'!$A$6:$R$24,14,FALSE)</f>
        <v>0.06398608695652175</v>
      </c>
      <c r="G74" s="57">
        <f>'Table A15'!W6*'Table A15'!$AD6*VLOOKUP($A74,'Table A15'!$A$6:$R$24,14,FALSE)</f>
        <v>0</v>
      </c>
      <c r="H74" s="57">
        <f>'Table A15'!X6*'Table A15'!$AD6*VLOOKUP($A74,'Table A15'!$A$6:$R$24,14,FALSE)</f>
        <v>0</v>
      </c>
      <c r="I74" s="57">
        <f>'Table A15'!Y6*'Table A15'!$AD6*VLOOKUP($A74,'Table A15'!$A$6:$R$24,14,FALSE)</f>
        <v>0</v>
      </c>
      <c r="J74" s="57">
        <f>'Table A15'!Z6*'Table A15'!$AD6*VLOOKUP($A74,'Table A15'!$A$6:$R$24,14,FALSE)</f>
        <v>0</v>
      </c>
      <c r="K74" s="57">
        <f>'Table A15'!AA6*'Table A15'!$AD6*VLOOKUP($A74,'Table A15'!$A$6:$R$24,14,FALSE)</f>
        <v>0</v>
      </c>
      <c r="L74" s="57">
        <f>'Table A15'!AB6*'Table A15'!$AD6*VLOOKUP($A74,'Table A15'!$A$6:$R$24,14,FALSE)</f>
        <v>0</v>
      </c>
      <c r="M74" s="57">
        <f>'Table A15'!AC6*'Table A15'!$AD6*VLOOKUP($A74,'Table A15'!$A$6:$R$24,14,FALSE)</f>
        <v>0</v>
      </c>
      <c r="N74" s="2"/>
    </row>
    <row r="75" spans="1:14" ht="13.5">
      <c r="A75" s="28" t="str">
        <f>'Table A15'!A7</f>
        <v>BACKHOE - CASE 580</v>
      </c>
      <c r="B75" s="57">
        <f>'Table A15'!R7*'Table A15'!$AD7*VLOOKUP($A75,'Table A15'!$A$6:$R$24,14,FALSE)</f>
        <v>0.09762877173913044</v>
      </c>
      <c r="C75" s="57">
        <f>'Table A15'!S7*'Table A15'!$AD7*VLOOKUP($A75,'Table A15'!$A$6:$R$24,14,FALSE)</f>
        <v>0.19525754347826088</v>
      </c>
      <c r="D75" s="57">
        <f>'Table A15'!T7*'Table A15'!$AD7*VLOOKUP($A75,'Table A15'!$A$6:$R$24,14,FALSE)</f>
        <v>0.19525754347826088</v>
      </c>
      <c r="E75" s="57">
        <f>'Table A15'!U7*'Table A15'!$AD7*VLOOKUP($A75,'Table A15'!$A$6:$R$24,14,FALSE)</f>
        <v>0.19525754347826088</v>
      </c>
      <c r="F75" s="57">
        <f>'Table A15'!V7*'Table A15'!$AD7*VLOOKUP($A75,'Table A15'!$A$6:$R$24,14,FALSE)</f>
        <v>0.29288631521739134</v>
      </c>
      <c r="G75" s="57">
        <f>'Table A15'!W7*'Table A15'!$AD7*VLOOKUP($A75,'Table A15'!$A$6:$R$24,14,FALSE)</f>
        <v>0</v>
      </c>
      <c r="H75" s="57">
        <f>'Table A15'!X7*'Table A15'!$AD7*VLOOKUP($A75,'Table A15'!$A$6:$R$24,14,FALSE)</f>
        <v>0</v>
      </c>
      <c r="I75" s="57">
        <f>'Table A15'!Y7*'Table A15'!$AD7*VLOOKUP($A75,'Table A15'!$A$6:$R$24,14,FALSE)</f>
        <v>0</v>
      </c>
      <c r="J75" s="57">
        <f>'Table A15'!Z7*'Table A15'!$AD7*VLOOKUP($A75,'Table A15'!$A$6:$R$24,14,FALSE)</f>
        <v>0</v>
      </c>
      <c r="K75" s="57">
        <f>'Table A15'!AA7*'Table A15'!$AD7*VLOOKUP($A75,'Table A15'!$A$6:$R$24,14,FALSE)</f>
        <v>0</v>
      </c>
      <c r="L75" s="57">
        <f>'Table A15'!AB7*'Table A15'!$AD7*VLOOKUP($A75,'Table A15'!$A$6:$R$24,14,FALSE)</f>
        <v>0</v>
      </c>
      <c r="M75" s="57">
        <f>'Table A15'!AC7*'Table A15'!$AD7*VLOOKUP($A75,'Table A15'!$A$6:$R$24,14,FALSE)</f>
        <v>0</v>
      </c>
      <c r="N75" s="2"/>
    </row>
    <row r="76" spans="1:14" ht="13.5">
      <c r="A76" s="28" t="str">
        <f>'Table A15'!A8</f>
        <v>BACKHOE -TRACK 1/2 CY</v>
      </c>
      <c r="B76" s="57">
        <f>'Table A15'!R8*'Table A15'!$AD8*VLOOKUP($A76,'Table A15'!$A$6:$R$24,14,FALSE)</f>
        <v>0</v>
      </c>
      <c r="C76" s="57">
        <f>'Table A15'!S8*'Table A15'!$AD8*VLOOKUP($A76,'Table A15'!$A$6:$R$24,14,FALSE)</f>
        <v>0.11498499782608697</v>
      </c>
      <c r="D76" s="57">
        <f>'Table A15'!T8*'Table A15'!$AD8*VLOOKUP($A76,'Table A15'!$A$6:$R$24,14,FALSE)</f>
        <v>0.11498499782608697</v>
      </c>
      <c r="E76" s="57">
        <f>'Table A15'!U8*'Table A15'!$AD8*VLOOKUP($A76,'Table A15'!$A$6:$R$24,14,FALSE)</f>
        <v>0</v>
      </c>
      <c r="F76" s="57">
        <f>'Table A15'!V8*'Table A15'!$AD8*VLOOKUP($A76,'Table A15'!$A$6:$R$24,14,FALSE)</f>
        <v>0</v>
      </c>
      <c r="G76" s="57">
        <f>'Table A15'!W8*'Table A15'!$AD8*VLOOKUP($A76,'Table A15'!$A$6:$R$24,14,FALSE)</f>
        <v>0</v>
      </c>
      <c r="H76" s="57">
        <f>'Table A15'!X8*'Table A15'!$AD8*VLOOKUP($A76,'Table A15'!$A$6:$R$24,14,FALSE)</f>
        <v>0</v>
      </c>
      <c r="I76" s="57">
        <f>'Table A15'!Y8*'Table A15'!$AD8*VLOOKUP($A76,'Table A15'!$A$6:$R$24,14,FALSE)</f>
        <v>0</v>
      </c>
      <c r="J76" s="57">
        <f>'Table A15'!Z8*'Table A15'!$AD8*VLOOKUP($A76,'Table A15'!$A$6:$R$24,14,FALSE)</f>
        <v>0</v>
      </c>
      <c r="K76" s="57">
        <f>'Table A15'!AA8*'Table A15'!$AD8*VLOOKUP($A76,'Table A15'!$A$6:$R$24,14,FALSE)</f>
        <v>0</v>
      </c>
      <c r="L76" s="57">
        <f>'Table A15'!AB8*'Table A15'!$AD8*VLOOKUP($A76,'Table A15'!$A$6:$R$24,14,FALSE)</f>
        <v>0</v>
      </c>
      <c r="M76" s="57">
        <f>'Table A15'!AC8*'Table A15'!$AD8*VLOOKUP($A76,'Table A15'!$A$6:$R$24,14,FALSE)</f>
        <v>0</v>
      </c>
      <c r="N76" s="2"/>
    </row>
    <row r="77" spans="1:14" ht="13.5">
      <c r="A77" s="28" t="str">
        <f>'Table A15'!A9</f>
        <v>BOBCAT OR DITCH WITCH</v>
      </c>
      <c r="B77" s="57">
        <f>'Table A15'!R9*'Table A15'!$AD9*VLOOKUP($A77,'Table A15'!$A$6:$R$24,14,FALSE)</f>
        <v>0.13482068478260872</v>
      </c>
      <c r="C77" s="57">
        <f>'Table A15'!S9*'Table A15'!$AD9*VLOOKUP($A77,'Table A15'!$A$6:$R$24,14,FALSE)</f>
        <v>0.13482068478260872</v>
      </c>
      <c r="D77" s="57">
        <f>'Table A15'!T9*'Table A15'!$AD9*VLOOKUP($A77,'Table A15'!$A$6:$R$24,14,FALSE)</f>
        <v>0.13482068478260872</v>
      </c>
      <c r="E77" s="57">
        <f>'Table A15'!U9*'Table A15'!$AD9*VLOOKUP($A77,'Table A15'!$A$6:$R$24,14,FALSE)</f>
        <v>0.13482068478260872</v>
      </c>
      <c r="F77" s="57">
        <f>'Table A15'!V9*'Table A15'!$AD9*VLOOKUP($A77,'Table A15'!$A$6:$R$24,14,FALSE)</f>
        <v>0.13482068478260872</v>
      </c>
      <c r="G77" s="57">
        <f>'Table A15'!W9*'Table A15'!$AD9*VLOOKUP($A77,'Table A15'!$A$6:$R$24,14,FALSE)</f>
        <v>0.13482068478260872</v>
      </c>
      <c r="H77" s="57">
        <f>'Table A15'!X9*'Table A15'!$AD9*VLOOKUP($A77,'Table A15'!$A$6:$R$24,14,FALSE)</f>
        <v>0</v>
      </c>
      <c r="I77" s="57">
        <f>'Table A15'!Y9*'Table A15'!$AD9*VLOOKUP($A77,'Table A15'!$A$6:$R$24,14,FALSE)</f>
        <v>0</v>
      </c>
      <c r="J77" s="57">
        <f>'Table A15'!Z9*'Table A15'!$AD9*VLOOKUP($A77,'Table A15'!$A$6:$R$24,14,FALSE)</f>
        <v>0</v>
      </c>
      <c r="K77" s="57">
        <f>'Table A15'!AA9*'Table A15'!$AD9*VLOOKUP($A77,'Table A15'!$A$6:$R$24,14,FALSE)</f>
        <v>0</v>
      </c>
      <c r="L77" s="57">
        <f>'Table A15'!AB9*'Table A15'!$AD9*VLOOKUP($A77,'Table A15'!$A$6:$R$24,14,FALSE)</f>
        <v>0</v>
      </c>
      <c r="M77" s="57">
        <f>'Table A15'!AC9*'Table A15'!$AD9*VLOOKUP($A77,'Table A15'!$A$6:$R$24,14,FALSE)</f>
        <v>0</v>
      </c>
      <c r="N77" s="2"/>
    </row>
    <row r="78" spans="1:14" ht="13.5">
      <c r="A78" s="28" t="str">
        <f>'Table A15'!A10</f>
        <v>4100W CRANE W/180 BOOM</v>
      </c>
      <c r="B78" s="57">
        <f>'Table A15'!R10*'Table A15'!$AD10*VLOOKUP($A78,'Table A15'!$A$6:$R$24,14,FALSE)</f>
        <v>0</v>
      </c>
      <c r="C78" s="57">
        <f>'Table A15'!S10*'Table A15'!$AD10*VLOOKUP($A78,'Table A15'!$A$6:$R$24,14,FALSE)</f>
        <v>0</v>
      </c>
      <c r="D78" s="57">
        <f>'Table A15'!T10*'Table A15'!$AD10*VLOOKUP($A78,'Table A15'!$A$6:$R$24,14,FALSE)</f>
        <v>0</v>
      </c>
      <c r="E78" s="57">
        <f>'Table A15'!U10*'Table A15'!$AD10*VLOOKUP($A78,'Table A15'!$A$6:$R$24,14,FALSE)</f>
        <v>0</v>
      </c>
      <c r="F78" s="57">
        <f>'Table A15'!V10*'Table A15'!$AD10*VLOOKUP($A78,'Table A15'!$A$6:$R$24,14,FALSE)</f>
        <v>0</v>
      </c>
      <c r="G78" s="57">
        <f>'Table A15'!W10*'Table A15'!$AD10*VLOOKUP($A78,'Table A15'!$A$6:$R$24,14,FALSE)</f>
        <v>0.06198652173913044</v>
      </c>
      <c r="H78" s="57">
        <f>'Table A15'!X10*'Table A15'!$AD10*VLOOKUP($A78,'Table A15'!$A$6:$R$24,14,FALSE)</f>
        <v>0.06198652173913044</v>
      </c>
      <c r="I78" s="57">
        <f>'Table A15'!Y10*'Table A15'!$AD10*VLOOKUP($A78,'Table A15'!$A$6:$R$24,14,FALSE)</f>
        <v>0.06198652173913044</v>
      </c>
      <c r="J78" s="57">
        <f>'Table A15'!Z10*'Table A15'!$AD10*VLOOKUP($A78,'Table A15'!$A$6:$R$24,14,FALSE)</f>
        <v>0.06198652173913044</v>
      </c>
      <c r="K78" s="57">
        <f>'Table A15'!AA10*'Table A15'!$AD10*VLOOKUP($A78,'Table A15'!$A$6:$R$24,14,FALSE)</f>
        <v>0.06198652173913044</v>
      </c>
      <c r="L78" s="57">
        <f>'Table A15'!AB10*'Table A15'!$AD10*VLOOKUP($A78,'Table A15'!$A$6:$R$24,14,FALSE)</f>
        <v>0.06198652173913044</v>
      </c>
      <c r="M78" s="57">
        <f>'Table A15'!AC10*'Table A15'!$AD10*VLOOKUP($A78,'Table A15'!$A$6:$R$24,14,FALSE)</f>
        <v>0.06198652173913044</v>
      </c>
      <c r="N78" s="2"/>
    </row>
    <row r="79" spans="1:14" ht="13.5">
      <c r="A79" s="28" t="str">
        <f>'Table A15'!A11</f>
        <v>70 TON MOBILE CRANE</v>
      </c>
      <c r="B79" s="57">
        <f>'Table A15'!R11*'Table A15'!$AD11*VLOOKUP($A79,'Table A15'!$A$6:$R$24,14,FALSE)</f>
        <v>0</v>
      </c>
      <c r="C79" s="57">
        <f>'Table A15'!S11*'Table A15'!$AD11*VLOOKUP($A79,'Table A15'!$A$6:$R$24,14,FALSE)</f>
        <v>0</v>
      </c>
      <c r="D79" s="57">
        <f>'Table A15'!T11*'Table A15'!$AD11*VLOOKUP($A79,'Table A15'!$A$6:$R$24,14,FALSE)</f>
        <v>0</v>
      </c>
      <c r="E79" s="57">
        <f>'Table A15'!U11*'Table A15'!$AD11*VLOOKUP($A79,'Table A15'!$A$6:$R$24,14,FALSE)</f>
        <v>0.041657608695652174</v>
      </c>
      <c r="F79" s="57">
        <f>'Table A15'!V11*'Table A15'!$AD11*VLOOKUP($A79,'Table A15'!$A$6:$R$24,14,FALSE)</f>
        <v>0.041657608695652174</v>
      </c>
      <c r="G79" s="57">
        <f>'Table A15'!W11*'Table A15'!$AD11*VLOOKUP($A79,'Table A15'!$A$6:$R$24,14,FALSE)</f>
        <v>0.041657608695652174</v>
      </c>
      <c r="H79" s="57">
        <f>'Table A15'!X11*'Table A15'!$AD11*VLOOKUP($A79,'Table A15'!$A$6:$R$24,14,FALSE)</f>
        <v>0.041657608695652174</v>
      </c>
      <c r="I79" s="57">
        <f>'Table A15'!Y11*'Table A15'!$AD11*VLOOKUP($A79,'Table A15'!$A$6:$R$24,14,FALSE)</f>
        <v>0.041657608695652174</v>
      </c>
      <c r="J79" s="57">
        <f>'Table A15'!Z11*'Table A15'!$AD11*VLOOKUP($A79,'Table A15'!$A$6:$R$24,14,FALSE)</f>
        <v>0.041657608695652174</v>
      </c>
      <c r="K79" s="57">
        <f>'Table A15'!AA11*'Table A15'!$AD11*VLOOKUP($A79,'Table A15'!$A$6:$R$24,14,FALSE)</f>
        <v>0.041657608695652174</v>
      </c>
      <c r="L79" s="57">
        <f>'Table A15'!AB11*'Table A15'!$AD11*VLOOKUP($A79,'Table A15'!$A$6:$R$24,14,FALSE)</f>
        <v>0.041657608695652174</v>
      </c>
      <c r="M79" s="57">
        <f>'Table A15'!AC11*'Table A15'!$AD11*VLOOKUP($A79,'Table A15'!$A$6:$R$24,14,FALSE)</f>
        <v>0.041657608695652174</v>
      </c>
      <c r="N79" s="2"/>
    </row>
    <row r="80" spans="1:14" ht="13.5">
      <c r="A80" s="28" t="str">
        <f>'Table A15'!A12</f>
        <v>35 TON MOBILE CRANE</v>
      </c>
      <c r="B80" s="57">
        <f>'Table A15'!R12*'Table A15'!$AD12*VLOOKUP($A80,'Table A15'!$A$6:$R$24,14,FALSE)</f>
        <v>0</v>
      </c>
      <c r="C80" s="57">
        <f>'Table A15'!S12*'Table A15'!$AD12*VLOOKUP($A80,'Table A15'!$A$6:$R$24,14,FALSE)</f>
        <v>0</v>
      </c>
      <c r="D80" s="57">
        <f>'Table A15'!T12*'Table A15'!$AD12*VLOOKUP($A80,'Table A15'!$A$6:$R$24,14,FALSE)</f>
        <v>0</v>
      </c>
      <c r="E80" s="57">
        <f>'Table A15'!U12*'Table A15'!$AD12*VLOOKUP($A80,'Table A15'!$A$6:$R$24,14,FALSE)</f>
        <v>0.13069158260869565</v>
      </c>
      <c r="F80" s="57">
        <f>'Table A15'!V12*'Table A15'!$AD12*VLOOKUP($A80,'Table A15'!$A$6:$R$24,14,FALSE)</f>
        <v>0.13069158260869565</v>
      </c>
      <c r="G80" s="57">
        <f>'Table A15'!W12*'Table A15'!$AD12*VLOOKUP($A80,'Table A15'!$A$6:$R$24,14,FALSE)</f>
        <v>0.13069158260869565</v>
      </c>
      <c r="H80" s="57">
        <f>'Table A15'!X12*'Table A15'!$AD12*VLOOKUP($A80,'Table A15'!$A$6:$R$24,14,FALSE)</f>
        <v>0.13069158260869565</v>
      </c>
      <c r="I80" s="57">
        <f>'Table A15'!Y12*'Table A15'!$AD12*VLOOKUP($A80,'Table A15'!$A$6:$R$24,14,FALSE)</f>
        <v>0.13069158260869565</v>
      </c>
      <c r="J80" s="57">
        <f>'Table A15'!Z12*'Table A15'!$AD12*VLOOKUP($A80,'Table A15'!$A$6:$R$24,14,FALSE)</f>
        <v>0.13069158260869565</v>
      </c>
      <c r="K80" s="57">
        <f>'Table A15'!AA12*'Table A15'!$AD12*VLOOKUP($A80,'Table A15'!$A$6:$R$24,14,FALSE)</f>
        <v>0.13069158260869565</v>
      </c>
      <c r="L80" s="57">
        <f>'Table A15'!AB12*'Table A15'!$AD12*VLOOKUP($A80,'Table A15'!$A$6:$R$24,14,FALSE)</f>
        <v>0.13069158260869565</v>
      </c>
      <c r="M80" s="57">
        <f>'Table A15'!AC12*'Table A15'!$AD12*VLOOKUP($A80,'Table A15'!$A$6:$R$24,14,FALSE)</f>
        <v>0.13069158260869565</v>
      </c>
      <c r="N80" s="2"/>
    </row>
    <row r="81" spans="1:14" ht="13.5">
      <c r="A81" s="28" t="str">
        <f>'Table A15'!A13</f>
        <v>15 TON PICKER CRANE</v>
      </c>
      <c r="B81" s="57">
        <f>'Table A15'!R13*'Table A15'!$AD13*VLOOKUP($A81,'Table A15'!$A$6:$R$24,14,FALSE)</f>
        <v>0</v>
      </c>
      <c r="C81" s="57">
        <f>'Table A15'!S13*'Table A15'!$AD13*VLOOKUP($A81,'Table A15'!$A$6:$R$24,14,FALSE)</f>
        <v>0</v>
      </c>
      <c r="D81" s="57">
        <f>'Table A15'!T13*'Table A15'!$AD13*VLOOKUP($A81,'Table A15'!$A$6:$R$24,14,FALSE)</f>
        <v>0.24719625</v>
      </c>
      <c r="E81" s="57">
        <f>'Table A15'!U13*'Table A15'!$AD13*VLOOKUP($A81,'Table A15'!$A$6:$R$24,14,FALSE)</f>
        <v>0.24719625</v>
      </c>
      <c r="F81" s="57">
        <f>'Table A15'!V13*'Table A15'!$AD13*VLOOKUP($A81,'Table A15'!$A$6:$R$24,14,FALSE)</f>
        <v>0.370794375</v>
      </c>
      <c r="G81" s="57">
        <f>'Table A15'!W13*'Table A15'!$AD13*VLOOKUP($A81,'Table A15'!$A$6:$R$24,14,FALSE)</f>
        <v>0.370794375</v>
      </c>
      <c r="H81" s="57">
        <f>'Table A15'!X13*'Table A15'!$AD13*VLOOKUP($A81,'Table A15'!$A$6:$R$24,14,FALSE)</f>
        <v>0.370794375</v>
      </c>
      <c r="I81" s="57">
        <f>'Table A15'!Y13*'Table A15'!$AD13*VLOOKUP($A81,'Table A15'!$A$6:$R$24,14,FALSE)</f>
        <v>0.370794375</v>
      </c>
      <c r="J81" s="57">
        <f>'Table A15'!Z13*'Table A15'!$AD13*VLOOKUP($A81,'Table A15'!$A$6:$R$24,14,FALSE)</f>
        <v>0.370794375</v>
      </c>
      <c r="K81" s="57">
        <f>'Table A15'!AA13*'Table A15'!$AD13*VLOOKUP($A81,'Table A15'!$A$6:$R$24,14,FALSE)</f>
        <v>0.24719625</v>
      </c>
      <c r="L81" s="57">
        <f>'Table A15'!AB13*'Table A15'!$AD13*VLOOKUP($A81,'Table A15'!$A$6:$R$24,14,FALSE)</f>
        <v>0.24719625</v>
      </c>
      <c r="M81" s="57">
        <f>'Table A15'!AC13*'Table A15'!$AD13*VLOOKUP($A81,'Table A15'!$A$6:$R$24,14,FALSE)</f>
        <v>0.123598125</v>
      </c>
      <c r="N81" s="2"/>
    </row>
    <row r="82" spans="1:14" ht="13.5">
      <c r="A82" s="28" t="str">
        <f>'Table A15'!A14</f>
        <v>5000# FORKLIFT</v>
      </c>
      <c r="B82" s="57">
        <f>'Table A15'!R14*'Table A15'!$AD14*VLOOKUP($A82,'Table A15'!$A$6:$R$24,14,FALSE)</f>
        <v>0</v>
      </c>
      <c r="C82" s="57">
        <f>'Table A15'!S14*'Table A15'!$AD14*VLOOKUP($A82,'Table A15'!$A$6:$R$24,14,FALSE)</f>
        <v>0</v>
      </c>
      <c r="D82" s="57">
        <f>'Table A15'!T14*'Table A15'!$AD14*VLOOKUP($A82,'Table A15'!$A$6:$R$24,14,FALSE)</f>
        <v>0</v>
      </c>
      <c r="E82" s="57">
        <f>'Table A15'!U14*'Table A15'!$AD14*VLOOKUP($A82,'Table A15'!$A$6:$R$24,14,FALSE)</f>
        <v>0.039991304347826086</v>
      </c>
      <c r="F82" s="57">
        <f>'Table A15'!V14*'Table A15'!$AD14*VLOOKUP($A82,'Table A15'!$A$6:$R$24,14,FALSE)</f>
        <v>0.039991304347826086</v>
      </c>
      <c r="G82" s="57">
        <f>'Table A15'!W14*'Table A15'!$AD14*VLOOKUP($A82,'Table A15'!$A$6:$R$24,14,FALSE)</f>
        <v>0.039991304347826086</v>
      </c>
      <c r="H82" s="57">
        <f>'Table A15'!X14*'Table A15'!$AD14*VLOOKUP($A82,'Table A15'!$A$6:$R$24,14,FALSE)</f>
        <v>0.07998260869565217</v>
      </c>
      <c r="I82" s="57">
        <f>'Table A15'!Y14*'Table A15'!$AD14*VLOOKUP($A82,'Table A15'!$A$6:$R$24,14,FALSE)</f>
        <v>0.07998260869565217</v>
      </c>
      <c r="J82" s="57">
        <f>'Table A15'!Z14*'Table A15'!$AD14*VLOOKUP($A82,'Table A15'!$A$6:$R$24,14,FALSE)</f>
        <v>0.11997391304347826</v>
      </c>
      <c r="K82" s="57">
        <f>'Table A15'!AA14*'Table A15'!$AD14*VLOOKUP($A82,'Table A15'!$A$6:$R$24,14,FALSE)</f>
        <v>0.07998260869565217</v>
      </c>
      <c r="L82" s="57">
        <f>'Table A15'!AB14*'Table A15'!$AD14*VLOOKUP($A82,'Table A15'!$A$6:$R$24,14,FALSE)</f>
        <v>0.07998260869565217</v>
      </c>
      <c r="M82" s="57">
        <f>'Table A15'!AC14*'Table A15'!$AD14*VLOOKUP($A82,'Table A15'!$A$6:$R$24,14,FALSE)</f>
        <v>0.039991304347826086</v>
      </c>
      <c r="N82" s="2"/>
    </row>
    <row r="83" spans="1:14" ht="13.5">
      <c r="A83" s="28" t="str">
        <f>'Table A15'!A15</f>
        <v>TRACTOR (TRUCK)</v>
      </c>
      <c r="B83" s="57">
        <f>'Table A15'!R15*'Table A15'!$AD15*VLOOKUP($A83,'Table A15'!$A$6:$R$24,14,FALSE)</f>
        <v>0</v>
      </c>
      <c r="C83" s="57">
        <f>'Table A15'!S15*'Table A15'!$AD15*VLOOKUP($A83,'Table A15'!$A$6:$R$24,14,FALSE)</f>
        <v>0</v>
      </c>
      <c r="D83" s="57">
        <f>'Table A15'!T15*'Table A15'!$AD15*VLOOKUP($A83,'Table A15'!$A$6:$R$24,14,FALSE)</f>
        <v>0</v>
      </c>
      <c r="E83" s="57">
        <f>'Table A15'!U15*'Table A15'!$AD15*VLOOKUP($A83,'Table A15'!$A$6:$R$24,14,FALSE)</f>
        <v>0</v>
      </c>
      <c r="F83" s="57">
        <f>'Table A15'!V15*'Table A15'!$AD15*VLOOKUP($A83,'Table A15'!$A$6:$R$24,14,FALSE)</f>
        <v>0.06198652173913044</v>
      </c>
      <c r="G83" s="57">
        <f>'Table A15'!W15*'Table A15'!$AD15*VLOOKUP($A83,'Table A15'!$A$6:$R$24,14,FALSE)</f>
        <v>0.06198652173913044</v>
      </c>
      <c r="H83" s="57">
        <f>'Table A15'!X15*'Table A15'!$AD15*VLOOKUP($A83,'Table A15'!$A$6:$R$24,14,FALSE)</f>
        <v>0.12397304347826088</v>
      </c>
      <c r="I83" s="57">
        <f>'Table A15'!Y15*'Table A15'!$AD15*VLOOKUP($A83,'Table A15'!$A$6:$R$24,14,FALSE)</f>
        <v>0.06198652173913044</v>
      </c>
      <c r="J83" s="57">
        <f>'Table A15'!Z15*'Table A15'!$AD15*VLOOKUP($A83,'Table A15'!$A$6:$R$24,14,FALSE)</f>
        <v>0</v>
      </c>
      <c r="K83" s="57">
        <f>'Table A15'!AA15*'Table A15'!$AD15*VLOOKUP($A83,'Table A15'!$A$6:$R$24,14,FALSE)</f>
        <v>0</v>
      </c>
      <c r="L83" s="57">
        <f>'Table A15'!AB15*'Table A15'!$AD15*VLOOKUP($A83,'Table A15'!$A$6:$R$24,14,FALSE)</f>
        <v>0</v>
      </c>
      <c r="M83" s="57">
        <f>'Table A15'!AC15*'Table A15'!$AD15*VLOOKUP($A83,'Table A15'!$A$6:$R$24,14,FALSE)</f>
        <v>0</v>
      </c>
      <c r="N83" s="2"/>
    </row>
    <row r="84" spans="1:14" ht="13.5">
      <c r="A84" s="28" t="str">
        <f>'Table A15'!A16</f>
        <v>JLG MANLIFT W/ 80' BOOM</v>
      </c>
      <c r="B84" s="57">
        <f>'Table A15'!R16*'Table A15'!$AD16*VLOOKUP($A84,'Table A15'!$A$6:$R$24,14,FALSE)</f>
        <v>0</v>
      </c>
      <c r="C84" s="57">
        <f>'Table A15'!S16*'Table A15'!$AD16*VLOOKUP($A84,'Table A15'!$A$6:$R$24,14,FALSE)</f>
        <v>0</v>
      </c>
      <c r="D84" s="57">
        <f>'Table A15'!T16*'Table A15'!$AD16*VLOOKUP($A84,'Table A15'!$A$6:$R$24,14,FALSE)</f>
        <v>0</v>
      </c>
      <c r="E84" s="57">
        <f>'Table A15'!U16*'Table A15'!$AD16*VLOOKUP($A84,'Table A15'!$A$6:$R$24,14,FALSE)</f>
        <v>0.033659347826086955</v>
      </c>
      <c r="F84" s="57">
        <f>'Table A15'!V16*'Table A15'!$AD16*VLOOKUP($A84,'Table A15'!$A$6:$R$24,14,FALSE)</f>
        <v>0.033659347826086955</v>
      </c>
      <c r="G84" s="57">
        <f>'Table A15'!W16*'Table A15'!$AD16*VLOOKUP($A84,'Table A15'!$A$6:$R$24,14,FALSE)</f>
        <v>0.033659347826086955</v>
      </c>
      <c r="H84" s="57">
        <f>'Table A15'!X16*'Table A15'!$AD16*VLOOKUP($A84,'Table A15'!$A$6:$R$24,14,FALSE)</f>
        <v>0.033659347826086955</v>
      </c>
      <c r="I84" s="57">
        <f>'Table A15'!Y16*'Table A15'!$AD16*VLOOKUP($A84,'Table A15'!$A$6:$R$24,14,FALSE)</f>
        <v>0.033659347826086955</v>
      </c>
      <c r="J84" s="57">
        <f>'Table A15'!Z16*'Table A15'!$AD16*VLOOKUP($A84,'Table A15'!$A$6:$R$24,14,FALSE)</f>
        <v>0.06731869565217391</v>
      </c>
      <c r="K84" s="57">
        <f>'Table A15'!AA16*'Table A15'!$AD16*VLOOKUP($A84,'Table A15'!$A$6:$R$24,14,FALSE)</f>
        <v>0.10097804347826086</v>
      </c>
      <c r="L84" s="57">
        <f>'Table A15'!AB16*'Table A15'!$AD16*VLOOKUP($A84,'Table A15'!$A$6:$R$24,14,FALSE)</f>
        <v>0.10097804347826086</v>
      </c>
      <c r="M84" s="57">
        <f>'Table A15'!AC16*'Table A15'!$AD16*VLOOKUP($A84,'Table A15'!$A$6:$R$24,14,FALSE)</f>
        <v>0.033659347826086955</v>
      </c>
      <c r="N84" s="2"/>
    </row>
    <row r="85" spans="1:14" ht="13.5">
      <c r="A85" s="28" t="str">
        <f>'Table A15'!A17</f>
        <v>PERSONNEL LIFT</v>
      </c>
      <c r="B85" s="57">
        <f>'Table A15'!R17*'Table A15'!$AD17*VLOOKUP($A85,'Table A15'!$A$6:$R$24,14,FALSE)</f>
        <v>0</v>
      </c>
      <c r="C85" s="57">
        <f>'Table A15'!S17*'Table A15'!$AD17*VLOOKUP($A85,'Table A15'!$A$6:$R$24,14,FALSE)</f>
        <v>0</v>
      </c>
      <c r="D85" s="57">
        <f>'Table A15'!T17*'Table A15'!$AD17*VLOOKUP($A85,'Table A15'!$A$6:$R$24,14,FALSE)</f>
        <v>0</v>
      </c>
      <c r="E85" s="57">
        <f>'Table A15'!U17*'Table A15'!$AD17*VLOOKUP($A85,'Table A15'!$A$6:$R$24,14,FALSE)</f>
        <v>0.044552812500000004</v>
      </c>
      <c r="F85" s="57">
        <f>'Table A15'!V17*'Table A15'!$AD17*VLOOKUP($A85,'Table A15'!$A$6:$R$24,14,FALSE)</f>
        <v>0.08910562500000001</v>
      </c>
      <c r="G85" s="57">
        <f>'Table A15'!W17*'Table A15'!$AD17*VLOOKUP($A85,'Table A15'!$A$6:$R$24,14,FALSE)</f>
        <v>0.13365843750000003</v>
      </c>
      <c r="H85" s="57">
        <f>'Table A15'!X17*'Table A15'!$AD17*VLOOKUP($A85,'Table A15'!$A$6:$R$24,14,FALSE)</f>
        <v>0.13365843750000003</v>
      </c>
      <c r="I85" s="57">
        <f>'Table A15'!Y17*'Table A15'!$AD17*VLOOKUP($A85,'Table A15'!$A$6:$R$24,14,FALSE)</f>
        <v>0.13365843750000003</v>
      </c>
      <c r="J85" s="57">
        <f>'Table A15'!Z17*'Table A15'!$AD17*VLOOKUP($A85,'Table A15'!$A$6:$R$24,14,FALSE)</f>
        <v>0.13365843750000003</v>
      </c>
      <c r="K85" s="57">
        <f>'Table A15'!AA17*'Table A15'!$AD17*VLOOKUP($A85,'Table A15'!$A$6:$R$24,14,FALSE)</f>
        <v>0.08910562500000001</v>
      </c>
      <c r="L85" s="57">
        <f>'Table A15'!AB17*'Table A15'!$AD17*VLOOKUP($A85,'Table A15'!$A$6:$R$24,14,FALSE)</f>
        <v>0.08910562500000001</v>
      </c>
      <c r="M85" s="57">
        <f>'Table A15'!AC17*'Table A15'!$AD17*VLOOKUP($A85,'Table A15'!$A$6:$R$24,14,FALSE)</f>
        <v>0.044552812500000004</v>
      </c>
      <c r="N85" s="2"/>
    </row>
    <row r="86" spans="1:14" ht="13.5">
      <c r="A86" s="28" t="str">
        <f>'Table A15'!A18</f>
        <v>375 CFM AIR COMPRESSOR</v>
      </c>
      <c r="B86" s="57">
        <f>'Table A15'!R18*'Table A15'!$AD18*VLOOKUP($A86,'Table A15'!$A$6:$R$24,14,FALSE)</f>
        <v>0</v>
      </c>
      <c r="C86" s="57">
        <f>'Table A15'!S18*'Table A15'!$AD18*VLOOKUP($A86,'Table A15'!$A$6:$R$24,14,FALSE)</f>
        <v>0</v>
      </c>
      <c r="D86" s="57">
        <f>'Table A15'!T18*'Table A15'!$AD18*VLOOKUP($A86,'Table A15'!$A$6:$R$24,14,FALSE)</f>
        <v>0</v>
      </c>
      <c r="E86" s="57">
        <f>'Table A15'!U18*'Table A15'!$AD18*VLOOKUP($A86,'Table A15'!$A$6:$R$24,14,FALSE)</f>
        <v>0.11597478260869565</v>
      </c>
      <c r="F86" s="57">
        <f>'Table A15'!V18*'Table A15'!$AD18*VLOOKUP($A86,'Table A15'!$A$6:$R$24,14,FALSE)</f>
        <v>0.11597478260869565</v>
      </c>
      <c r="G86" s="57">
        <f>'Table A15'!W18*'Table A15'!$AD18*VLOOKUP($A86,'Table A15'!$A$6:$R$24,14,FALSE)</f>
        <v>0.11597478260869565</v>
      </c>
      <c r="H86" s="57">
        <f>'Table A15'!X18*'Table A15'!$AD18*VLOOKUP($A86,'Table A15'!$A$6:$R$24,14,FALSE)</f>
        <v>0.11597478260869565</v>
      </c>
      <c r="I86" s="57">
        <f>'Table A15'!Y18*'Table A15'!$AD18*VLOOKUP($A86,'Table A15'!$A$6:$R$24,14,FALSE)</f>
        <v>0.11597478260869565</v>
      </c>
      <c r="J86" s="57">
        <f>'Table A15'!Z18*'Table A15'!$AD18*VLOOKUP($A86,'Table A15'!$A$6:$R$24,14,FALSE)</f>
        <v>0.11597478260869565</v>
      </c>
      <c r="K86" s="57">
        <f>'Table A15'!AA18*'Table A15'!$AD18*VLOOKUP($A86,'Table A15'!$A$6:$R$24,14,FALSE)</f>
        <v>0.11597478260869565</v>
      </c>
      <c r="L86" s="57">
        <f>'Table A15'!AB18*'Table A15'!$AD18*VLOOKUP($A86,'Table A15'!$A$6:$R$24,14,FALSE)</f>
        <v>0.11597478260869565</v>
      </c>
      <c r="M86" s="57">
        <f>'Table A15'!AC18*'Table A15'!$AD18*VLOOKUP($A86,'Table A15'!$A$6:$R$24,14,FALSE)</f>
        <v>0.11597478260869565</v>
      </c>
      <c r="N86" s="2"/>
    </row>
    <row r="87" spans="1:14" ht="13.5">
      <c r="A87" s="28" t="str">
        <f>'Table A15'!A19</f>
        <v>Diesel Welding Machine</v>
      </c>
      <c r="B87" s="57">
        <f>'Table A15'!R19*'Table A15'!$AD19*VLOOKUP($A87,'Table A15'!$A$6:$R$24,14,FALSE)</f>
        <v>0.029993478260869566</v>
      </c>
      <c r="C87" s="57">
        <f>'Table A15'!S19*'Table A15'!$AD19*VLOOKUP($A87,'Table A15'!$A$6:$R$24,14,FALSE)</f>
        <v>0.029993478260869566</v>
      </c>
      <c r="D87" s="57">
        <f>'Table A15'!T19*'Table A15'!$AD19*VLOOKUP($A87,'Table A15'!$A$6:$R$24,14,FALSE)</f>
        <v>0</v>
      </c>
      <c r="E87" s="57">
        <f>'Table A15'!U19*'Table A15'!$AD19*VLOOKUP($A87,'Table A15'!$A$6:$R$24,14,FALSE)</f>
        <v>0</v>
      </c>
      <c r="F87" s="57">
        <f>'Table A15'!V19*'Table A15'!$AD19*VLOOKUP($A87,'Table A15'!$A$6:$R$24,14,FALSE)</f>
        <v>0.029993478260869566</v>
      </c>
      <c r="G87" s="57">
        <f>'Table A15'!W19*'Table A15'!$AD19*VLOOKUP($A87,'Table A15'!$A$6:$R$24,14,FALSE)</f>
        <v>0.029993478260869566</v>
      </c>
      <c r="H87" s="57">
        <f>'Table A15'!X19*'Table A15'!$AD19*VLOOKUP($A87,'Table A15'!$A$6:$R$24,14,FALSE)</f>
        <v>0.05998695652173913</v>
      </c>
      <c r="I87" s="57">
        <f>'Table A15'!Y19*'Table A15'!$AD19*VLOOKUP($A87,'Table A15'!$A$6:$R$24,14,FALSE)</f>
        <v>0.029993478260869566</v>
      </c>
      <c r="J87" s="57">
        <f>'Table A15'!Z19*'Table A15'!$AD19*VLOOKUP($A87,'Table A15'!$A$6:$R$24,14,FALSE)</f>
        <v>0.029993478260869566</v>
      </c>
      <c r="K87" s="57">
        <f>'Table A15'!AA19*'Table A15'!$AD19*VLOOKUP($A87,'Table A15'!$A$6:$R$24,14,FALSE)</f>
        <v>0</v>
      </c>
      <c r="L87" s="57">
        <f>'Table A15'!AB19*'Table A15'!$AD19*VLOOKUP($A87,'Table A15'!$A$6:$R$24,14,FALSE)</f>
        <v>0</v>
      </c>
      <c r="M87" s="57">
        <f>'Table A15'!AC19*'Table A15'!$AD19*VLOOKUP($A87,'Table A15'!$A$6:$R$24,14,FALSE)</f>
        <v>0</v>
      </c>
      <c r="N87" s="2"/>
    </row>
    <row r="88" spans="1:14" ht="13.5">
      <c r="A88" s="28" t="str">
        <f>'Table A15'!A20</f>
        <v>Electric Welding Machine</v>
      </c>
      <c r="B88" s="57">
        <f>'Table A15'!R20*'Table A15'!$AD20*VLOOKUP($A88,'Table A15'!$A$6:$R$24,14,FALSE)</f>
        <v>0</v>
      </c>
      <c r="C88" s="57">
        <f>'Table A15'!S20*'Table A15'!$AD20*VLOOKUP($A88,'Table A15'!$A$6:$R$24,14,FALSE)</f>
        <v>0</v>
      </c>
      <c r="D88" s="57">
        <f>'Table A15'!T20*'Table A15'!$AD20*VLOOKUP($A88,'Table A15'!$A$6:$R$24,14,FALSE)</f>
        <v>0</v>
      </c>
      <c r="E88" s="57">
        <f>'Table A15'!U20*'Table A15'!$AD20*VLOOKUP($A88,'Table A15'!$A$6:$R$24,14,FALSE)</f>
        <v>0</v>
      </c>
      <c r="F88" s="57">
        <f>'Table A15'!V20*'Table A15'!$AD20*VLOOKUP($A88,'Table A15'!$A$6:$R$24,14,FALSE)</f>
        <v>0</v>
      </c>
      <c r="G88" s="57">
        <f>'Table A15'!W20*'Table A15'!$AD20*VLOOKUP($A88,'Table A15'!$A$6:$R$24,14,FALSE)</f>
        <v>0</v>
      </c>
      <c r="H88" s="57">
        <f>'Table A15'!X20*'Table A15'!$AD20*VLOOKUP($A88,'Table A15'!$A$6:$R$24,14,FALSE)</f>
        <v>0</v>
      </c>
      <c r="I88" s="57">
        <f>'Table A15'!Y20*'Table A15'!$AD20*VLOOKUP($A88,'Table A15'!$A$6:$R$24,14,FALSE)</f>
        <v>0</v>
      </c>
      <c r="J88" s="57">
        <f>'Table A15'!Z20*'Table A15'!$AD20*VLOOKUP($A88,'Table A15'!$A$6:$R$24,14,FALSE)</f>
        <v>0</v>
      </c>
      <c r="K88" s="57">
        <f>'Table A15'!AA20*'Table A15'!$AD20*VLOOKUP($A88,'Table A15'!$A$6:$R$24,14,FALSE)</f>
        <v>0</v>
      </c>
      <c r="L88" s="57">
        <f>'Table A15'!AB20*'Table A15'!$AD20*VLOOKUP($A88,'Table A15'!$A$6:$R$24,14,FALSE)</f>
        <v>0</v>
      </c>
      <c r="M88" s="57">
        <f>'Table A15'!AC20*'Table A15'!$AD20*VLOOKUP($A88,'Table A15'!$A$6:$R$24,14,FALSE)</f>
        <v>0</v>
      </c>
      <c r="N88" s="2"/>
    </row>
    <row r="89" spans="1:14" ht="13.5">
      <c r="A89" s="28" t="str">
        <f>'Table A15'!A21</f>
        <v>Trash Pump (3-inch)</v>
      </c>
      <c r="B89" s="57">
        <f>'Table A15'!R21*'Table A15'!$AD21*VLOOKUP($A89,'Table A15'!$A$6:$R$24,14,FALSE)</f>
        <v>0</v>
      </c>
      <c r="C89" s="57">
        <f>'Table A15'!S21*'Table A15'!$AD21*VLOOKUP($A89,'Table A15'!$A$6:$R$24,14,FALSE)</f>
        <v>0</v>
      </c>
      <c r="D89" s="57">
        <f>'Table A15'!T21*'Table A15'!$AD21*VLOOKUP($A89,'Table A15'!$A$6:$R$24,14,FALSE)</f>
        <v>0</v>
      </c>
      <c r="E89" s="57">
        <f>'Table A15'!U21*'Table A15'!$AD21*VLOOKUP($A89,'Table A15'!$A$6:$R$24,14,FALSE)</f>
        <v>0</v>
      </c>
      <c r="F89" s="57">
        <f>'Table A15'!V21*'Table A15'!$AD21*VLOOKUP($A89,'Table A15'!$A$6:$R$24,14,FALSE)</f>
        <v>0</v>
      </c>
      <c r="G89" s="57">
        <f>'Table A15'!W21*'Table A15'!$AD21*VLOOKUP($A89,'Table A15'!$A$6:$R$24,14,FALSE)</f>
        <v>0</v>
      </c>
      <c r="H89" s="57">
        <f>'Table A15'!X21*'Table A15'!$AD21*VLOOKUP($A89,'Table A15'!$A$6:$R$24,14,FALSE)</f>
        <v>0</v>
      </c>
      <c r="I89" s="57">
        <f>'Table A15'!Y21*'Table A15'!$AD21*VLOOKUP($A89,'Table A15'!$A$6:$R$24,14,FALSE)</f>
        <v>0</v>
      </c>
      <c r="J89" s="57">
        <f>'Table A15'!Z21*'Table A15'!$AD21*VLOOKUP($A89,'Table A15'!$A$6:$R$24,14,FALSE)</f>
        <v>0</v>
      </c>
      <c r="K89" s="57">
        <f>'Table A15'!AA21*'Table A15'!$AD21*VLOOKUP($A89,'Table A15'!$A$6:$R$24,14,FALSE)</f>
        <v>0</v>
      </c>
      <c r="L89" s="57">
        <f>'Table A15'!AB21*'Table A15'!$AD21*VLOOKUP($A89,'Table A15'!$A$6:$R$24,14,FALSE)</f>
        <v>0</v>
      </c>
      <c r="M89" s="57">
        <f>'Table A15'!AC21*'Table A15'!$AD21*VLOOKUP($A89,'Table A15'!$A$6:$R$24,14,FALSE)</f>
        <v>0</v>
      </c>
      <c r="N89" s="2"/>
    </row>
    <row r="90" spans="1:14" ht="13.5">
      <c r="A90" s="13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2"/>
    </row>
    <row r="91" spans="1:14" ht="13.5">
      <c r="A91" s="13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2"/>
    </row>
    <row r="92" spans="1:14" ht="13.5">
      <c r="A92" s="16" t="s">
        <v>11</v>
      </c>
      <c r="B92" s="58">
        <f>SUM(B74:B91)</f>
        <v>0.32642902173913046</v>
      </c>
      <c r="C92" s="58">
        <f aca="true" t="shared" si="3" ref="C92:M92">SUM(C74:C91)</f>
        <v>0.5390427913043478</v>
      </c>
      <c r="D92" s="58">
        <f t="shared" si="3"/>
        <v>0.7562455630434783</v>
      </c>
      <c r="E92" s="58">
        <f t="shared" si="3"/>
        <v>1.0477880038043477</v>
      </c>
      <c r="F92" s="58">
        <f t="shared" si="3"/>
        <v>1.4055477130434784</v>
      </c>
      <c r="G92" s="58">
        <f t="shared" si="3"/>
        <v>1.1552146451086955</v>
      </c>
      <c r="H92" s="58">
        <f t="shared" si="3"/>
        <v>1.152365264673913</v>
      </c>
      <c r="I92" s="58">
        <f t="shared" si="3"/>
        <v>1.060385264673913</v>
      </c>
      <c r="J92" s="58">
        <f t="shared" si="3"/>
        <v>1.0720493951086956</v>
      </c>
      <c r="K92" s="58">
        <f t="shared" si="3"/>
        <v>0.867573022826087</v>
      </c>
      <c r="L92" s="58">
        <f t="shared" si="3"/>
        <v>0.867573022826087</v>
      </c>
      <c r="M92" s="58">
        <f t="shared" si="3"/>
        <v>0.592112085326087</v>
      </c>
      <c r="N92" s="2"/>
    </row>
    <row r="93" spans="2:14" ht="13.5">
      <c r="B93" s="29"/>
      <c r="N93" s="2"/>
    </row>
    <row r="94" ht="13.5">
      <c r="B94" s="29"/>
    </row>
    <row r="95" spans="1:13" ht="13.5">
      <c r="A95" s="22" t="s">
        <v>69</v>
      </c>
      <c r="B95" s="23"/>
      <c r="C95" s="23"/>
      <c r="D95" s="23"/>
      <c r="E95" s="23"/>
      <c r="F95" s="23"/>
      <c r="G95" s="23"/>
      <c r="H95" s="5"/>
      <c r="I95" s="5"/>
      <c r="J95" s="5"/>
      <c r="K95" s="5"/>
      <c r="L95" s="5"/>
      <c r="M95" s="5"/>
    </row>
    <row r="96" spans="1:13" ht="13.5">
      <c r="A96" s="145" t="s">
        <v>9</v>
      </c>
      <c r="B96" s="24" t="s">
        <v>10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8"/>
    </row>
    <row r="97" spans="1:13" ht="13.5">
      <c r="A97" s="146"/>
      <c r="B97" s="11">
        <v>1</v>
      </c>
      <c r="C97" s="11">
        <v>2</v>
      </c>
      <c r="D97" s="11">
        <v>3</v>
      </c>
      <c r="E97" s="11">
        <v>4</v>
      </c>
      <c r="F97" s="11">
        <v>5</v>
      </c>
      <c r="G97" s="11">
        <v>6</v>
      </c>
      <c r="H97" s="11">
        <v>7</v>
      </c>
      <c r="I97" s="11">
        <v>8</v>
      </c>
      <c r="J97" s="11">
        <v>9</v>
      </c>
      <c r="K97" s="11">
        <v>10</v>
      </c>
      <c r="L97" s="11">
        <v>11</v>
      </c>
      <c r="M97" s="11">
        <v>12</v>
      </c>
    </row>
    <row r="98" spans="1:13" ht="13.5">
      <c r="A98" s="28" t="str">
        <f>'Table A15'!A6</f>
        <v>175 CFM AIR COMPRESSOR</v>
      </c>
      <c r="B98" s="57">
        <f>'Table A15'!R6*'Table A15'!$AD6*VLOOKUP($A98,'Table A15'!$A$6:$R$24,15,FALSE)</f>
        <v>0.17279999999999998</v>
      </c>
      <c r="C98" s="57">
        <f>'Table A15'!S6*'Table A15'!$AD6*VLOOKUP($A98,'Table A15'!$A$6:$R$24,15,FALSE)</f>
        <v>0.17279999999999998</v>
      </c>
      <c r="D98" s="57">
        <f>'Table A15'!T6*'Table A15'!$AD6*VLOOKUP($A98,'Table A15'!$A$6:$R$24,15,FALSE)</f>
        <v>0.17279999999999998</v>
      </c>
      <c r="E98" s="57">
        <f>'Table A15'!U6*'Table A15'!$AD6*VLOOKUP($A98,'Table A15'!$A$6:$R$24,15,FALSE)</f>
        <v>0.17279999999999998</v>
      </c>
      <c r="F98" s="57">
        <f>'Table A15'!V6*'Table A15'!$AD6*VLOOKUP($A98,'Table A15'!$A$6:$R$24,15,FALSE)</f>
        <v>0.17279999999999998</v>
      </c>
      <c r="G98" s="57">
        <f>'Table A15'!W6*'Table A15'!$AD6*VLOOKUP($A98,'Table A15'!$A$6:$R$24,15,FALSE)</f>
        <v>0</v>
      </c>
      <c r="H98" s="57">
        <f>'Table A15'!X6*'Table A15'!$AD6*VLOOKUP($A98,'Table A15'!$A$6:$R$24,15,FALSE)</f>
        <v>0</v>
      </c>
      <c r="I98" s="57">
        <f>'Table A15'!Y6*'Table A15'!$AD6*VLOOKUP($A98,'Table A15'!$A$6:$R$24,15,FALSE)</f>
        <v>0</v>
      </c>
      <c r="J98" s="57">
        <f>'Table A15'!Z6*'Table A15'!$AD6*VLOOKUP($A98,'Table A15'!$A$6:$R$24,15,FALSE)</f>
        <v>0</v>
      </c>
      <c r="K98" s="57">
        <f>'Table A15'!AA6*'Table A15'!$AD6*VLOOKUP($A98,'Table A15'!$A$6:$R$24,15,FALSE)</f>
        <v>0</v>
      </c>
      <c r="L98" s="57">
        <f>'Table A15'!AB6*'Table A15'!$AD6*VLOOKUP($A98,'Table A15'!$A$6:$R$24,15,FALSE)</f>
        <v>0</v>
      </c>
      <c r="M98" s="57">
        <f>'Table A15'!AC6*'Table A15'!$AD6*VLOOKUP($A98,'Table A15'!$A$6:$R$24,15,FALSE)</f>
        <v>0</v>
      </c>
    </row>
    <row r="99" spans="1:13" ht="13.5">
      <c r="A99" s="28" t="str">
        <f>'Table A15'!A7</f>
        <v>BACKHOE - CASE 580</v>
      </c>
      <c r="B99" s="57">
        <f>'Table A15'!R7*'Table A15'!$AD7*VLOOKUP($A99,'Table A15'!$A$6:$R$24,15,FALSE)</f>
        <v>0.263655</v>
      </c>
      <c r="C99" s="57">
        <f>'Table A15'!S7*'Table A15'!$AD7*VLOOKUP($A99,'Table A15'!$A$6:$R$24,15,FALSE)</f>
        <v>0.52731</v>
      </c>
      <c r="D99" s="57">
        <f>'Table A15'!T7*'Table A15'!$AD7*VLOOKUP($A99,'Table A15'!$A$6:$R$24,15,FALSE)</f>
        <v>0.52731</v>
      </c>
      <c r="E99" s="57">
        <f>'Table A15'!U7*'Table A15'!$AD7*VLOOKUP($A99,'Table A15'!$A$6:$R$24,15,FALSE)</f>
        <v>0.52731</v>
      </c>
      <c r="F99" s="57">
        <f>'Table A15'!V7*'Table A15'!$AD7*VLOOKUP($A99,'Table A15'!$A$6:$R$24,15,FALSE)</f>
        <v>0.7909649999999999</v>
      </c>
      <c r="G99" s="57">
        <f>'Table A15'!W7*'Table A15'!$AD7*VLOOKUP($A99,'Table A15'!$A$6:$R$24,15,FALSE)</f>
        <v>0</v>
      </c>
      <c r="H99" s="57">
        <f>'Table A15'!X7*'Table A15'!$AD7*VLOOKUP($A99,'Table A15'!$A$6:$R$24,15,FALSE)</f>
        <v>0</v>
      </c>
      <c r="I99" s="57">
        <f>'Table A15'!Y7*'Table A15'!$AD7*VLOOKUP($A99,'Table A15'!$A$6:$R$24,15,FALSE)</f>
        <v>0</v>
      </c>
      <c r="J99" s="57">
        <f>'Table A15'!Z7*'Table A15'!$AD7*VLOOKUP($A99,'Table A15'!$A$6:$R$24,15,FALSE)</f>
        <v>0</v>
      </c>
      <c r="K99" s="57">
        <f>'Table A15'!AA7*'Table A15'!$AD7*VLOOKUP($A99,'Table A15'!$A$6:$R$24,15,FALSE)</f>
        <v>0</v>
      </c>
      <c r="L99" s="57">
        <f>'Table A15'!AB7*'Table A15'!$AD7*VLOOKUP($A99,'Table A15'!$A$6:$R$24,15,FALSE)</f>
        <v>0</v>
      </c>
      <c r="M99" s="57">
        <f>'Table A15'!AC7*'Table A15'!$AD7*VLOOKUP($A99,'Table A15'!$A$6:$R$24,15,FALSE)</f>
        <v>0</v>
      </c>
    </row>
    <row r="100" spans="1:14" ht="13.5">
      <c r="A100" s="28" t="str">
        <f>'Table A15'!A8</f>
        <v>BACKHOE -TRACK 1/2 CY</v>
      </c>
      <c r="B100" s="57">
        <f>'Table A15'!R8*'Table A15'!$AD8*VLOOKUP($A100,'Table A15'!$A$6:$R$24,15,FALSE)</f>
        <v>0</v>
      </c>
      <c r="C100" s="57">
        <f>'Table A15'!S8*'Table A15'!$AD8*VLOOKUP($A100,'Table A15'!$A$6:$R$24,15,FALSE)</f>
        <v>0.310527</v>
      </c>
      <c r="D100" s="57">
        <f>'Table A15'!T8*'Table A15'!$AD8*VLOOKUP($A100,'Table A15'!$A$6:$R$24,15,FALSE)</f>
        <v>0.310527</v>
      </c>
      <c r="E100" s="57">
        <f>'Table A15'!U8*'Table A15'!$AD8*VLOOKUP($A100,'Table A15'!$A$6:$R$24,15,FALSE)</f>
        <v>0</v>
      </c>
      <c r="F100" s="57">
        <f>'Table A15'!V8*'Table A15'!$AD8*VLOOKUP($A100,'Table A15'!$A$6:$R$24,15,FALSE)</f>
        <v>0</v>
      </c>
      <c r="G100" s="57">
        <f>'Table A15'!W8*'Table A15'!$AD8*VLOOKUP($A100,'Table A15'!$A$6:$R$24,15,FALSE)</f>
        <v>0</v>
      </c>
      <c r="H100" s="57">
        <f>'Table A15'!X8*'Table A15'!$AD8*VLOOKUP($A100,'Table A15'!$A$6:$R$24,15,FALSE)</f>
        <v>0</v>
      </c>
      <c r="I100" s="57">
        <f>'Table A15'!Y8*'Table A15'!$AD8*VLOOKUP($A100,'Table A15'!$A$6:$R$24,15,FALSE)</f>
        <v>0</v>
      </c>
      <c r="J100" s="57">
        <f>'Table A15'!Z8*'Table A15'!$AD8*VLOOKUP($A100,'Table A15'!$A$6:$R$24,15,FALSE)</f>
        <v>0</v>
      </c>
      <c r="K100" s="57">
        <f>'Table A15'!AA8*'Table A15'!$AD8*VLOOKUP($A100,'Table A15'!$A$6:$R$24,15,FALSE)</f>
        <v>0</v>
      </c>
      <c r="L100" s="57">
        <f>'Table A15'!AB8*'Table A15'!$AD8*VLOOKUP($A100,'Table A15'!$A$6:$R$24,15,FALSE)</f>
        <v>0</v>
      </c>
      <c r="M100" s="57">
        <f>'Table A15'!AC8*'Table A15'!$AD8*VLOOKUP($A100,'Table A15'!$A$6:$R$24,15,FALSE)</f>
        <v>0</v>
      </c>
      <c r="N100" s="2"/>
    </row>
    <row r="101" spans="1:14" ht="13.5">
      <c r="A101" s="28" t="str">
        <f>'Table A15'!A9</f>
        <v>BOBCAT OR DITCH WITCH</v>
      </c>
      <c r="B101" s="57">
        <f>'Table A15'!R9*'Table A15'!$AD9*VLOOKUP($A101,'Table A15'!$A$6:$R$24,15,FALSE)</f>
        <v>0.36409500000000006</v>
      </c>
      <c r="C101" s="57">
        <f>'Table A15'!S9*'Table A15'!$AD9*VLOOKUP($A101,'Table A15'!$A$6:$R$24,15,FALSE)</f>
        <v>0.36409500000000006</v>
      </c>
      <c r="D101" s="57">
        <f>'Table A15'!T9*'Table A15'!$AD9*VLOOKUP($A101,'Table A15'!$A$6:$R$24,15,FALSE)</f>
        <v>0.36409500000000006</v>
      </c>
      <c r="E101" s="57">
        <f>'Table A15'!U9*'Table A15'!$AD9*VLOOKUP($A101,'Table A15'!$A$6:$R$24,15,FALSE)</f>
        <v>0.36409500000000006</v>
      </c>
      <c r="F101" s="57">
        <f>'Table A15'!V9*'Table A15'!$AD9*VLOOKUP($A101,'Table A15'!$A$6:$R$24,15,FALSE)</f>
        <v>0.36409500000000006</v>
      </c>
      <c r="G101" s="57">
        <f>'Table A15'!W9*'Table A15'!$AD9*VLOOKUP($A101,'Table A15'!$A$6:$R$24,15,FALSE)</f>
        <v>0.36409500000000006</v>
      </c>
      <c r="H101" s="57">
        <f>'Table A15'!X9*'Table A15'!$AD9*VLOOKUP($A101,'Table A15'!$A$6:$R$24,15,FALSE)</f>
        <v>0</v>
      </c>
      <c r="I101" s="57">
        <f>'Table A15'!Y9*'Table A15'!$AD9*VLOOKUP($A101,'Table A15'!$A$6:$R$24,15,FALSE)</f>
        <v>0</v>
      </c>
      <c r="J101" s="57">
        <f>'Table A15'!Z9*'Table A15'!$AD9*VLOOKUP($A101,'Table A15'!$A$6:$R$24,15,FALSE)</f>
        <v>0</v>
      </c>
      <c r="K101" s="57">
        <f>'Table A15'!AA9*'Table A15'!$AD9*VLOOKUP($A101,'Table A15'!$A$6:$R$24,15,FALSE)</f>
        <v>0</v>
      </c>
      <c r="L101" s="57">
        <f>'Table A15'!AB9*'Table A15'!$AD9*VLOOKUP($A101,'Table A15'!$A$6:$R$24,15,FALSE)</f>
        <v>0</v>
      </c>
      <c r="M101" s="57">
        <f>'Table A15'!AC9*'Table A15'!$AD9*VLOOKUP($A101,'Table A15'!$A$6:$R$24,15,FALSE)</f>
        <v>0</v>
      </c>
      <c r="N101" s="2"/>
    </row>
    <row r="102" spans="1:14" ht="13.5">
      <c r="A102" s="28" t="str">
        <f>'Table A15'!A10</f>
        <v>4100W CRANE W/180 BOOM</v>
      </c>
      <c r="B102" s="57">
        <f>'Table A15'!R10*'Table A15'!$AD10*VLOOKUP($A102,'Table A15'!$A$6:$R$24,15,FALSE)</f>
        <v>0</v>
      </c>
      <c r="C102" s="57">
        <f>'Table A15'!S10*'Table A15'!$AD10*VLOOKUP($A102,'Table A15'!$A$6:$R$24,15,FALSE)</f>
        <v>0</v>
      </c>
      <c r="D102" s="57">
        <f>'Table A15'!T10*'Table A15'!$AD10*VLOOKUP($A102,'Table A15'!$A$6:$R$24,15,FALSE)</f>
        <v>0</v>
      </c>
      <c r="E102" s="57">
        <f>'Table A15'!U10*'Table A15'!$AD10*VLOOKUP($A102,'Table A15'!$A$6:$R$24,15,FALSE)</f>
        <v>0</v>
      </c>
      <c r="F102" s="57">
        <f>'Table A15'!V10*'Table A15'!$AD10*VLOOKUP($A102,'Table A15'!$A$6:$R$24,15,FALSE)</f>
        <v>0</v>
      </c>
      <c r="G102" s="57">
        <f>'Table A15'!W10*'Table A15'!$AD10*VLOOKUP($A102,'Table A15'!$A$6:$R$24,15,FALSE)</f>
        <v>0.16740000000000002</v>
      </c>
      <c r="H102" s="57">
        <f>'Table A15'!X10*'Table A15'!$AD10*VLOOKUP($A102,'Table A15'!$A$6:$R$24,15,FALSE)</f>
        <v>0.16740000000000002</v>
      </c>
      <c r="I102" s="57">
        <f>'Table A15'!Y10*'Table A15'!$AD10*VLOOKUP($A102,'Table A15'!$A$6:$R$24,15,FALSE)</f>
        <v>0.16740000000000002</v>
      </c>
      <c r="J102" s="57">
        <f>'Table A15'!Z10*'Table A15'!$AD10*VLOOKUP($A102,'Table A15'!$A$6:$R$24,15,FALSE)</f>
        <v>0.16740000000000002</v>
      </c>
      <c r="K102" s="57">
        <f>'Table A15'!AA10*'Table A15'!$AD10*VLOOKUP($A102,'Table A15'!$A$6:$R$24,15,FALSE)</f>
        <v>0.16740000000000002</v>
      </c>
      <c r="L102" s="57">
        <f>'Table A15'!AB10*'Table A15'!$AD10*VLOOKUP($A102,'Table A15'!$A$6:$R$24,15,FALSE)</f>
        <v>0.16740000000000002</v>
      </c>
      <c r="M102" s="57">
        <f>'Table A15'!AC10*'Table A15'!$AD10*VLOOKUP($A102,'Table A15'!$A$6:$R$24,15,FALSE)</f>
        <v>0.16740000000000002</v>
      </c>
      <c r="N102" s="2"/>
    </row>
    <row r="103" spans="1:14" ht="13.5">
      <c r="A103" s="28" t="str">
        <f>'Table A15'!A11</f>
        <v>70 TON MOBILE CRANE</v>
      </c>
      <c r="B103" s="57">
        <f>'Table A15'!R11*'Table A15'!$AD11*VLOOKUP($A103,'Table A15'!$A$6:$R$24,15,FALSE)</f>
        <v>0</v>
      </c>
      <c r="C103" s="57">
        <f>'Table A15'!S11*'Table A15'!$AD11*VLOOKUP($A103,'Table A15'!$A$6:$R$24,15,FALSE)</f>
        <v>0</v>
      </c>
      <c r="D103" s="57">
        <f>'Table A15'!T11*'Table A15'!$AD11*VLOOKUP($A103,'Table A15'!$A$6:$R$24,15,FALSE)</f>
        <v>0</v>
      </c>
      <c r="E103" s="57">
        <f>'Table A15'!U11*'Table A15'!$AD11*VLOOKUP($A103,'Table A15'!$A$6:$R$24,15,FALSE)</f>
        <v>0.16874999999999998</v>
      </c>
      <c r="F103" s="57">
        <f>'Table A15'!V11*'Table A15'!$AD11*VLOOKUP($A103,'Table A15'!$A$6:$R$24,15,FALSE)</f>
        <v>0.16874999999999998</v>
      </c>
      <c r="G103" s="57">
        <f>'Table A15'!W11*'Table A15'!$AD11*VLOOKUP($A103,'Table A15'!$A$6:$R$24,15,FALSE)</f>
        <v>0.16874999999999998</v>
      </c>
      <c r="H103" s="57">
        <f>'Table A15'!X11*'Table A15'!$AD11*VLOOKUP($A103,'Table A15'!$A$6:$R$24,15,FALSE)</f>
        <v>0.16874999999999998</v>
      </c>
      <c r="I103" s="57">
        <f>'Table A15'!Y11*'Table A15'!$AD11*VLOOKUP($A103,'Table A15'!$A$6:$R$24,15,FALSE)</f>
        <v>0.16874999999999998</v>
      </c>
      <c r="J103" s="57">
        <f>'Table A15'!Z11*'Table A15'!$AD11*VLOOKUP($A103,'Table A15'!$A$6:$R$24,15,FALSE)</f>
        <v>0.16874999999999998</v>
      </c>
      <c r="K103" s="57">
        <f>'Table A15'!AA11*'Table A15'!$AD11*VLOOKUP($A103,'Table A15'!$A$6:$R$24,15,FALSE)</f>
        <v>0.16874999999999998</v>
      </c>
      <c r="L103" s="57">
        <f>'Table A15'!AB11*'Table A15'!$AD11*VLOOKUP($A103,'Table A15'!$A$6:$R$24,15,FALSE)</f>
        <v>0.16874999999999998</v>
      </c>
      <c r="M103" s="57">
        <f>'Table A15'!AC11*'Table A15'!$AD11*VLOOKUP($A103,'Table A15'!$A$6:$R$24,15,FALSE)</f>
        <v>0.16874999999999998</v>
      </c>
      <c r="N103" s="2"/>
    </row>
    <row r="104" spans="1:14" ht="13.5">
      <c r="A104" s="28" t="str">
        <f>'Table A15'!A12</f>
        <v>35 TON MOBILE CRANE</v>
      </c>
      <c r="B104" s="57">
        <f>'Table A15'!R12*'Table A15'!$AD12*VLOOKUP($A104,'Table A15'!$A$6:$R$24,15,FALSE)</f>
        <v>0</v>
      </c>
      <c r="C104" s="57">
        <f>'Table A15'!S12*'Table A15'!$AD12*VLOOKUP($A104,'Table A15'!$A$6:$R$24,15,FALSE)</f>
        <v>0</v>
      </c>
      <c r="D104" s="57">
        <f>'Table A15'!T12*'Table A15'!$AD12*VLOOKUP($A104,'Table A15'!$A$6:$R$24,15,FALSE)</f>
        <v>0</v>
      </c>
      <c r="E104" s="57">
        <f>'Table A15'!U12*'Table A15'!$AD12*VLOOKUP($A104,'Table A15'!$A$6:$R$24,15,FALSE)</f>
        <v>0.529416</v>
      </c>
      <c r="F104" s="57">
        <f>'Table A15'!V12*'Table A15'!$AD12*VLOOKUP($A104,'Table A15'!$A$6:$R$24,15,FALSE)</f>
        <v>0.529416</v>
      </c>
      <c r="G104" s="57">
        <f>'Table A15'!W12*'Table A15'!$AD12*VLOOKUP($A104,'Table A15'!$A$6:$R$24,15,FALSE)</f>
        <v>0.529416</v>
      </c>
      <c r="H104" s="57">
        <f>'Table A15'!X12*'Table A15'!$AD12*VLOOKUP($A104,'Table A15'!$A$6:$R$24,15,FALSE)</f>
        <v>0.529416</v>
      </c>
      <c r="I104" s="57">
        <f>'Table A15'!Y12*'Table A15'!$AD12*VLOOKUP($A104,'Table A15'!$A$6:$R$24,15,FALSE)</f>
        <v>0.529416</v>
      </c>
      <c r="J104" s="57">
        <f>'Table A15'!Z12*'Table A15'!$AD12*VLOOKUP($A104,'Table A15'!$A$6:$R$24,15,FALSE)</f>
        <v>0.529416</v>
      </c>
      <c r="K104" s="57">
        <f>'Table A15'!AA12*'Table A15'!$AD12*VLOOKUP($A104,'Table A15'!$A$6:$R$24,15,FALSE)</f>
        <v>0.529416</v>
      </c>
      <c r="L104" s="57">
        <f>'Table A15'!AB12*'Table A15'!$AD12*VLOOKUP($A104,'Table A15'!$A$6:$R$24,15,FALSE)</f>
        <v>0.529416</v>
      </c>
      <c r="M104" s="57">
        <f>'Table A15'!AC12*'Table A15'!$AD12*VLOOKUP($A104,'Table A15'!$A$6:$R$24,15,FALSE)</f>
        <v>0.529416</v>
      </c>
      <c r="N104" s="2"/>
    </row>
    <row r="105" spans="1:14" ht="13.5">
      <c r="A105" s="28" t="str">
        <f>'Table A15'!A13</f>
        <v>15 TON PICKER CRANE</v>
      </c>
      <c r="B105" s="57">
        <f>'Table A15'!R13*'Table A15'!$AD13*VLOOKUP($A105,'Table A15'!$A$6:$R$24,15,FALSE)</f>
        <v>0</v>
      </c>
      <c r="C105" s="57">
        <f>'Table A15'!S13*'Table A15'!$AD13*VLOOKUP($A105,'Table A15'!$A$6:$R$24,15,FALSE)</f>
        <v>0</v>
      </c>
      <c r="D105" s="57">
        <f>'Table A15'!T13*'Table A15'!$AD13*VLOOKUP($A105,'Table A15'!$A$6:$R$24,15,FALSE)</f>
        <v>1.0013625</v>
      </c>
      <c r="E105" s="57">
        <f>'Table A15'!U13*'Table A15'!$AD13*VLOOKUP($A105,'Table A15'!$A$6:$R$24,15,FALSE)</f>
        <v>1.0013625</v>
      </c>
      <c r="F105" s="57">
        <f>'Table A15'!V13*'Table A15'!$AD13*VLOOKUP($A105,'Table A15'!$A$6:$R$24,15,FALSE)</f>
        <v>1.50204375</v>
      </c>
      <c r="G105" s="57">
        <f>'Table A15'!W13*'Table A15'!$AD13*VLOOKUP($A105,'Table A15'!$A$6:$R$24,15,FALSE)</f>
        <v>1.50204375</v>
      </c>
      <c r="H105" s="57">
        <f>'Table A15'!X13*'Table A15'!$AD13*VLOOKUP($A105,'Table A15'!$A$6:$R$24,15,FALSE)</f>
        <v>1.50204375</v>
      </c>
      <c r="I105" s="57">
        <f>'Table A15'!Y13*'Table A15'!$AD13*VLOOKUP($A105,'Table A15'!$A$6:$R$24,15,FALSE)</f>
        <v>1.50204375</v>
      </c>
      <c r="J105" s="57">
        <f>'Table A15'!Z13*'Table A15'!$AD13*VLOOKUP($A105,'Table A15'!$A$6:$R$24,15,FALSE)</f>
        <v>1.50204375</v>
      </c>
      <c r="K105" s="57">
        <f>'Table A15'!AA13*'Table A15'!$AD13*VLOOKUP($A105,'Table A15'!$A$6:$R$24,15,FALSE)</f>
        <v>1.0013625</v>
      </c>
      <c r="L105" s="57">
        <f>'Table A15'!AB13*'Table A15'!$AD13*VLOOKUP($A105,'Table A15'!$A$6:$R$24,15,FALSE)</f>
        <v>1.0013625</v>
      </c>
      <c r="M105" s="57">
        <f>'Table A15'!AC13*'Table A15'!$AD13*VLOOKUP($A105,'Table A15'!$A$6:$R$24,15,FALSE)</f>
        <v>0.50068125</v>
      </c>
      <c r="N105" s="2"/>
    </row>
    <row r="106" spans="1:14" ht="13.5">
      <c r="A106" s="28" t="str">
        <f>'Table A15'!A14</f>
        <v>5000# FORKLIFT</v>
      </c>
      <c r="B106" s="57">
        <f>'Table A15'!R14*'Table A15'!$AD14*VLOOKUP($A106,'Table A15'!$A$6:$R$24,15,FALSE)</f>
        <v>0</v>
      </c>
      <c r="C106" s="57">
        <f>'Table A15'!S14*'Table A15'!$AD14*VLOOKUP($A106,'Table A15'!$A$6:$R$24,15,FALSE)</f>
        <v>0</v>
      </c>
      <c r="D106" s="57">
        <f>'Table A15'!T14*'Table A15'!$AD14*VLOOKUP($A106,'Table A15'!$A$6:$R$24,15,FALSE)</f>
        <v>0</v>
      </c>
      <c r="E106" s="57">
        <f>'Table A15'!U14*'Table A15'!$AD14*VLOOKUP($A106,'Table A15'!$A$6:$R$24,15,FALSE)</f>
        <v>0.16200000000000003</v>
      </c>
      <c r="F106" s="57">
        <f>'Table A15'!V14*'Table A15'!$AD14*VLOOKUP($A106,'Table A15'!$A$6:$R$24,15,FALSE)</f>
        <v>0.16200000000000003</v>
      </c>
      <c r="G106" s="57">
        <f>'Table A15'!W14*'Table A15'!$AD14*VLOOKUP($A106,'Table A15'!$A$6:$R$24,15,FALSE)</f>
        <v>0.16200000000000003</v>
      </c>
      <c r="H106" s="57">
        <f>'Table A15'!X14*'Table A15'!$AD14*VLOOKUP($A106,'Table A15'!$A$6:$R$24,15,FALSE)</f>
        <v>0.32400000000000007</v>
      </c>
      <c r="I106" s="57">
        <f>'Table A15'!Y14*'Table A15'!$AD14*VLOOKUP($A106,'Table A15'!$A$6:$R$24,15,FALSE)</f>
        <v>0.32400000000000007</v>
      </c>
      <c r="J106" s="57">
        <f>'Table A15'!Z14*'Table A15'!$AD14*VLOOKUP($A106,'Table A15'!$A$6:$R$24,15,FALSE)</f>
        <v>0.48600000000000004</v>
      </c>
      <c r="K106" s="57">
        <f>'Table A15'!AA14*'Table A15'!$AD14*VLOOKUP($A106,'Table A15'!$A$6:$R$24,15,FALSE)</f>
        <v>0.32400000000000007</v>
      </c>
      <c r="L106" s="57">
        <f>'Table A15'!AB14*'Table A15'!$AD14*VLOOKUP($A106,'Table A15'!$A$6:$R$24,15,FALSE)</f>
        <v>0.32400000000000007</v>
      </c>
      <c r="M106" s="57">
        <f>'Table A15'!AC14*'Table A15'!$AD14*VLOOKUP($A106,'Table A15'!$A$6:$R$24,15,FALSE)</f>
        <v>0.16200000000000003</v>
      </c>
      <c r="N106" s="2"/>
    </row>
    <row r="107" spans="1:14" ht="13.5">
      <c r="A107" s="28" t="str">
        <f>'Table A15'!A15</f>
        <v>TRACTOR (TRUCK)</v>
      </c>
      <c r="B107" s="57">
        <f>'Table A15'!R15*'Table A15'!$AD15*VLOOKUP($A107,'Table A15'!$A$6:$R$24,15,FALSE)</f>
        <v>0</v>
      </c>
      <c r="C107" s="57">
        <f>'Table A15'!S15*'Table A15'!$AD15*VLOOKUP($A107,'Table A15'!$A$6:$R$24,15,FALSE)</f>
        <v>0</v>
      </c>
      <c r="D107" s="57">
        <f>'Table A15'!T15*'Table A15'!$AD15*VLOOKUP($A107,'Table A15'!$A$6:$R$24,15,FALSE)</f>
        <v>0</v>
      </c>
      <c r="E107" s="57">
        <f>'Table A15'!U15*'Table A15'!$AD15*VLOOKUP($A107,'Table A15'!$A$6:$R$24,15,FALSE)</f>
        <v>0</v>
      </c>
      <c r="F107" s="57">
        <f>'Table A15'!V15*'Table A15'!$AD15*VLOOKUP($A107,'Table A15'!$A$6:$R$24,15,FALSE)</f>
        <v>0.16740000000000002</v>
      </c>
      <c r="G107" s="57">
        <f>'Table A15'!W15*'Table A15'!$AD15*VLOOKUP($A107,'Table A15'!$A$6:$R$24,15,FALSE)</f>
        <v>0.16740000000000002</v>
      </c>
      <c r="H107" s="57">
        <f>'Table A15'!X15*'Table A15'!$AD15*VLOOKUP($A107,'Table A15'!$A$6:$R$24,15,FALSE)</f>
        <v>0.33480000000000004</v>
      </c>
      <c r="I107" s="57">
        <f>'Table A15'!Y15*'Table A15'!$AD15*VLOOKUP($A107,'Table A15'!$A$6:$R$24,15,FALSE)</f>
        <v>0.16740000000000002</v>
      </c>
      <c r="J107" s="57">
        <f>'Table A15'!Z15*'Table A15'!$AD15*VLOOKUP($A107,'Table A15'!$A$6:$R$24,15,FALSE)</f>
        <v>0</v>
      </c>
      <c r="K107" s="57">
        <f>'Table A15'!AA15*'Table A15'!$AD15*VLOOKUP($A107,'Table A15'!$A$6:$R$24,15,FALSE)</f>
        <v>0</v>
      </c>
      <c r="L107" s="57">
        <f>'Table A15'!AB15*'Table A15'!$AD15*VLOOKUP($A107,'Table A15'!$A$6:$R$24,15,FALSE)</f>
        <v>0</v>
      </c>
      <c r="M107" s="57">
        <f>'Table A15'!AC15*'Table A15'!$AD15*VLOOKUP($A107,'Table A15'!$A$6:$R$24,15,FALSE)</f>
        <v>0</v>
      </c>
      <c r="N107" s="2"/>
    </row>
    <row r="108" spans="1:14" ht="13.5">
      <c r="A108" s="28" t="str">
        <f>'Table A15'!A16</f>
        <v>JLG MANLIFT W/ 80' BOOM</v>
      </c>
      <c r="B108" s="57">
        <f>'Table A15'!R16*'Table A15'!$AD16*VLOOKUP($A108,'Table A15'!$A$6:$R$24,15,FALSE)</f>
        <v>0</v>
      </c>
      <c r="C108" s="57">
        <f>'Table A15'!S16*'Table A15'!$AD16*VLOOKUP($A108,'Table A15'!$A$6:$R$24,15,FALSE)</f>
        <v>0</v>
      </c>
      <c r="D108" s="57">
        <f>'Table A15'!T16*'Table A15'!$AD16*VLOOKUP($A108,'Table A15'!$A$6:$R$24,15,FALSE)</f>
        <v>0</v>
      </c>
      <c r="E108" s="57">
        <f>'Table A15'!U16*'Table A15'!$AD16*VLOOKUP($A108,'Table A15'!$A$6:$R$24,15,FALSE)</f>
        <v>0.0909</v>
      </c>
      <c r="F108" s="57">
        <f>'Table A15'!V16*'Table A15'!$AD16*VLOOKUP($A108,'Table A15'!$A$6:$R$24,15,FALSE)</f>
        <v>0.0909</v>
      </c>
      <c r="G108" s="57">
        <f>'Table A15'!W16*'Table A15'!$AD16*VLOOKUP($A108,'Table A15'!$A$6:$R$24,15,FALSE)</f>
        <v>0.0909</v>
      </c>
      <c r="H108" s="57">
        <f>'Table A15'!X16*'Table A15'!$AD16*VLOOKUP($A108,'Table A15'!$A$6:$R$24,15,FALSE)</f>
        <v>0.0909</v>
      </c>
      <c r="I108" s="57">
        <f>'Table A15'!Y16*'Table A15'!$AD16*VLOOKUP($A108,'Table A15'!$A$6:$R$24,15,FALSE)</f>
        <v>0.0909</v>
      </c>
      <c r="J108" s="57">
        <f>'Table A15'!Z16*'Table A15'!$AD16*VLOOKUP($A108,'Table A15'!$A$6:$R$24,15,FALSE)</f>
        <v>0.1818</v>
      </c>
      <c r="K108" s="57">
        <f>'Table A15'!AA16*'Table A15'!$AD16*VLOOKUP($A108,'Table A15'!$A$6:$R$24,15,FALSE)</f>
        <v>0.2727</v>
      </c>
      <c r="L108" s="57">
        <f>'Table A15'!AB16*'Table A15'!$AD16*VLOOKUP($A108,'Table A15'!$A$6:$R$24,15,FALSE)</f>
        <v>0.2727</v>
      </c>
      <c r="M108" s="57">
        <f>'Table A15'!AC16*'Table A15'!$AD16*VLOOKUP($A108,'Table A15'!$A$6:$R$24,15,FALSE)</f>
        <v>0.0909</v>
      </c>
      <c r="N108" s="2"/>
    </row>
    <row r="109" spans="1:14" ht="13.5">
      <c r="A109" s="28" t="str">
        <f>'Table A15'!A17</f>
        <v>PERSONNEL LIFT</v>
      </c>
      <c r="B109" s="57">
        <f>'Table A15'!R17*'Table A15'!$AD17*VLOOKUP($A109,'Table A15'!$A$6:$R$24,15,FALSE)</f>
        <v>0</v>
      </c>
      <c r="C109" s="57">
        <f>'Table A15'!S17*'Table A15'!$AD17*VLOOKUP($A109,'Table A15'!$A$6:$R$24,15,FALSE)</f>
        <v>0</v>
      </c>
      <c r="D109" s="57">
        <f>'Table A15'!T17*'Table A15'!$AD17*VLOOKUP($A109,'Table A15'!$A$6:$R$24,15,FALSE)</f>
        <v>0</v>
      </c>
      <c r="E109" s="57">
        <f>'Table A15'!U17*'Table A15'!$AD17*VLOOKUP($A109,'Table A15'!$A$6:$R$24,15,FALSE)</f>
        <v>0.12031875</v>
      </c>
      <c r="F109" s="57">
        <f>'Table A15'!V17*'Table A15'!$AD17*VLOOKUP($A109,'Table A15'!$A$6:$R$24,15,FALSE)</f>
        <v>0.2406375</v>
      </c>
      <c r="G109" s="57">
        <f>'Table A15'!W17*'Table A15'!$AD17*VLOOKUP($A109,'Table A15'!$A$6:$R$24,15,FALSE)</f>
        <v>0.36095625000000003</v>
      </c>
      <c r="H109" s="57">
        <f>'Table A15'!X17*'Table A15'!$AD17*VLOOKUP($A109,'Table A15'!$A$6:$R$24,15,FALSE)</f>
        <v>0.36095625000000003</v>
      </c>
      <c r="I109" s="57">
        <f>'Table A15'!Y17*'Table A15'!$AD17*VLOOKUP($A109,'Table A15'!$A$6:$R$24,15,FALSE)</f>
        <v>0.36095625000000003</v>
      </c>
      <c r="J109" s="57">
        <f>'Table A15'!Z17*'Table A15'!$AD17*VLOOKUP($A109,'Table A15'!$A$6:$R$24,15,FALSE)</f>
        <v>0.36095625000000003</v>
      </c>
      <c r="K109" s="57">
        <f>'Table A15'!AA17*'Table A15'!$AD17*VLOOKUP($A109,'Table A15'!$A$6:$R$24,15,FALSE)</f>
        <v>0.2406375</v>
      </c>
      <c r="L109" s="57">
        <f>'Table A15'!AB17*'Table A15'!$AD17*VLOOKUP($A109,'Table A15'!$A$6:$R$24,15,FALSE)</f>
        <v>0.2406375</v>
      </c>
      <c r="M109" s="57">
        <f>'Table A15'!AC17*'Table A15'!$AD17*VLOOKUP($A109,'Table A15'!$A$6:$R$24,15,FALSE)</f>
        <v>0.12031875</v>
      </c>
      <c r="N109" s="2"/>
    </row>
    <row r="110" spans="1:14" ht="13.5">
      <c r="A110" s="28" t="str">
        <f>'Table A15'!A18</f>
        <v>375 CFM AIR COMPRESSOR</v>
      </c>
      <c r="B110" s="57">
        <f>'Table A15'!R18*'Table A15'!$AD18*VLOOKUP($A110,'Table A15'!$A$6:$R$24,15,FALSE)</f>
        <v>0</v>
      </c>
      <c r="C110" s="57">
        <f>'Table A15'!S18*'Table A15'!$AD18*VLOOKUP($A110,'Table A15'!$A$6:$R$24,15,FALSE)</f>
        <v>0</v>
      </c>
      <c r="D110" s="57">
        <f>'Table A15'!T18*'Table A15'!$AD18*VLOOKUP($A110,'Table A15'!$A$6:$R$24,15,FALSE)</f>
        <v>0</v>
      </c>
      <c r="E110" s="57">
        <f>'Table A15'!U18*'Table A15'!$AD18*VLOOKUP($A110,'Table A15'!$A$6:$R$24,15,FALSE)</f>
        <v>0.3132</v>
      </c>
      <c r="F110" s="57">
        <f>'Table A15'!V18*'Table A15'!$AD18*VLOOKUP($A110,'Table A15'!$A$6:$R$24,15,FALSE)</f>
        <v>0.3132</v>
      </c>
      <c r="G110" s="57">
        <f>'Table A15'!W18*'Table A15'!$AD18*VLOOKUP($A110,'Table A15'!$A$6:$R$24,15,FALSE)</f>
        <v>0.3132</v>
      </c>
      <c r="H110" s="57">
        <f>'Table A15'!X18*'Table A15'!$AD18*VLOOKUP($A110,'Table A15'!$A$6:$R$24,15,FALSE)</f>
        <v>0.3132</v>
      </c>
      <c r="I110" s="57">
        <f>'Table A15'!Y18*'Table A15'!$AD18*VLOOKUP($A110,'Table A15'!$A$6:$R$24,15,FALSE)</f>
        <v>0.3132</v>
      </c>
      <c r="J110" s="57">
        <f>'Table A15'!Z18*'Table A15'!$AD18*VLOOKUP($A110,'Table A15'!$A$6:$R$24,15,FALSE)</f>
        <v>0.3132</v>
      </c>
      <c r="K110" s="57">
        <f>'Table A15'!AA18*'Table A15'!$AD18*VLOOKUP($A110,'Table A15'!$A$6:$R$24,15,FALSE)</f>
        <v>0.3132</v>
      </c>
      <c r="L110" s="57">
        <f>'Table A15'!AB18*'Table A15'!$AD18*VLOOKUP($A110,'Table A15'!$A$6:$R$24,15,FALSE)</f>
        <v>0.3132</v>
      </c>
      <c r="M110" s="57">
        <f>'Table A15'!AC18*'Table A15'!$AD18*VLOOKUP($A110,'Table A15'!$A$6:$R$24,15,FALSE)</f>
        <v>0.3132</v>
      </c>
      <c r="N110" s="2"/>
    </row>
    <row r="111" spans="1:14" ht="13.5">
      <c r="A111" s="28" t="str">
        <f>'Table A15'!A19</f>
        <v>Diesel Welding Machine</v>
      </c>
      <c r="B111" s="57">
        <f>'Table A15'!R19*'Table A15'!$AD19*VLOOKUP($A111,'Table A15'!$A$6:$R$24,15,FALSE)</f>
        <v>0.08100000000000002</v>
      </c>
      <c r="C111" s="57">
        <f>'Table A15'!S19*'Table A15'!$AD19*VLOOKUP($A111,'Table A15'!$A$6:$R$24,15,FALSE)</f>
        <v>0.08100000000000002</v>
      </c>
      <c r="D111" s="57">
        <f>'Table A15'!T19*'Table A15'!$AD19*VLOOKUP($A111,'Table A15'!$A$6:$R$24,15,FALSE)</f>
        <v>0</v>
      </c>
      <c r="E111" s="57">
        <f>'Table A15'!U19*'Table A15'!$AD19*VLOOKUP($A111,'Table A15'!$A$6:$R$24,15,FALSE)</f>
        <v>0</v>
      </c>
      <c r="F111" s="57">
        <f>'Table A15'!V19*'Table A15'!$AD19*VLOOKUP($A111,'Table A15'!$A$6:$R$24,15,FALSE)</f>
        <v>0.08100000000000002</v>
      </c>
      <c r="G111" s="57">
        <f>'Table A15'!W19*'Table A15'!$AD19*VLOOKUP($A111,'Table A15'!$A$6:$R$24,15,FALSE)</f>
        <v>0.08100000000000002</v>
      </c>
      <c r="H111" s="57">
        <f>'Table A15'!X19*'Table A15'!$AD19*VLOOKUP($A111,'Table A15'!$A$6:$R$24,15,FALSE)</f>
        <v>0.16200000000000003</v>
      </c>
      <c r="I111" s="57">
        <f>'Table A15'!Y19*'Table A15'!$AD19*VLOOKUP($A111,'Table A15'!$A$6:$R$24,15,FALSE)</f>
        <v>0.08100000000000002</v>
      </c>
      <c r="J111" s="57">
        <f>'Table A15'!Z19*'Table A15'!$AD19*VLOOKUP($A111,'Table A15'!$A$6:$R$24,15,FALSE)</f>
        <v>0.08100000000000002</v>
      </c>
      <c r="K111" s="57">
        <f>'Table A15'!AA19*'Table A15'!$AD19*VLOOKUP($A111,'Table A15'!$A$6:$R$24,15,FALSE)</f>
        <v>0</v>
      </c>
      <c r="L111" s="57">
        <f>'Table A15'!AB19*'Table A15'!$AD19*VLOOKUP($A111,'Table A15'!$A$6:$R$24,15,FALSE)</f>
        <v>0</v>
      </c>
      <c r="M111" s="57">
        <f>'Table A15'!AC19*'Table A15'!$AD19*VLOOKUP($A111,'Table A15'!$A$6:$R$24,15,FALSE)</f>
        <v>0</v>
      </c>
      <c r="N111" s="2"/>
    </row>
    <row r="112" spans="1:14" ht="13.5">
      <c r="A112" s="28" t="str">
        <f>'Table A15'!A20</f>
        <v>Electric Welding Machine</v>
      </c>
      <c r="B112" s="57">
        <f>'Table A15'!R20*'Table A15'!$AD20*VLOOKUP($A112,'Table A15'!$A$6:$R$24,15,FALSE)</f>
        <v>0</v>
      </c>
      <c r="C112" s="57">
        <f>'Table A15'!S20*'Table A15'!$AD20*VLOOKUP($A112,'Table A15'!$A$6:$R$24,15,FALSE)</f>
        <v>0</v>
      </c>
      <c r="D112" s="57">
        <f>'Table A15'!T20*'Table A15'!$AD20*VLOOKUP($A112,'Table A15'!$A$6:$R$24,15,FALSE)</f>
        <v>0</v>
      </c>
      <c r="E112" s="57">
        <f>'Table A15'!U20*'Table A15'!$AD20*VLOOKUP($A112,'Table A15'!$A$6:$R$24,15,FALSE)</f>
        <v>0</v>
      </c>
      <c r="F112" s="57">
        <f>'Table A15'!V20*'Table A15'!$AD20*VLOOKUP($A112,'Table A15'!$A$6:$R$24,15,FALSE)</f>
        <v>0</v>
      </c>
      <c r="G112" s="57">
        <f>'Table A15'!W20*'Table A15'!$AD20*VLOOKUP($A112,'Table A15'!$A$6:$R$24,15,FALSE)</f>
        <v>0</v>
      </c>
      <c r="H112" s="57">
        <f>'Table A15'!X20*'Table A15'!$AD20*VLOOKUP($A112,'Table A15'!$A$6:$R$24,15,FALSE)</f>
        <v>0</v>
      </c>
      <c r="I112" s="57">
        <f>'Table A15'!Y20*'Table A15'!$AD20*VLOOKUP($A112,'Table A15'!$A$6:$R$24,15,FALSE)</f>
        <v>0</v>
      </c>
      <c r="J112" s="57">
        <f>'Table A15'!Z20*'Table A15'!$AD20*VLOOKUP($A112,'Table A15'!$A$6:$R$24,15,FALSE)</f>
        <v>0</v>
      </c>
      <c r="K112" s="57">
        <f>'Table A15'!AA20*'Table A15'!$AD20*VLOOKUP($A112,'Table A15'!$A$6:$R$24,15,FALSE)</f>
        <v>0</v>
      </c>
      <c r="L112" s="57">
        <f>'Table A15'!AB20*'Table A15'!$AD20*VLOOKUP($A112,'Table A15'!$A$6:$R$24,15,FALSE)</f>
        <v>0</v>
      </c>
      <c r="M112" s="57">
        <f>'Table A15'!AC20*'Table A15'!$AD20*VLOOKUP($A112,'Table A15'!$A$6:$R$24,15,FALSE)</f>
        <v>0</v>
      </c>
      <c r="N112" s="2"/>
    </row>
    <row r="113" spans="1:14" ht="13.5">
      <c r="A113" s="13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2"/>
    </row>
    <row r="114" spans="1:14" ht="13.5">
      <c r="A114" s="13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2"/>
    </row>
    <row r="115" spans="1:13" ht="13.5">
      <c r="A115" s="16" t="s">
        <v>11</v>
      </c>
      <c r="B115" s="58">
        <f>SUM(B98:B114)</f>
        <v>0.8815500000000001</v>
      </c>
      <c r="C115" s="58">
        <f aca="true" t="shared" si="4" ref="C115:M115">SUM(C98:C114)</f>
        <v>1.455732</v>
      </c>
      <c r="D115" s="58">
        <f t="shared" si="4"/>
        <v>2.3760944999999998</v>
      </c>
      <c r="E115" s="58">
        <f t="shared" si="4"/>
        <v>3.45015225</v>
      </c>
      <c r="F115" s="58">
        <f t="shared" si="4"/>
        <v>4.58320725</v>
      </c>
      <c r="G115" s="58">
        <f t="shared" si="4"/>
        <v>3.9071610000000003</v>
      </c>
      <c r="H115" s="58">
        <f t="shared" si="4"/>
        <v>3.9534659999999997</v>
      </c>
      <c r="I115" s="58">
        <f t="shared" si="4"/>
        <v>3.705066</v>
      </c>
      <c r="J115" s="58">
        <f t="shared" si="4"/>
        <v>3.790566</v>
      </c>
      <c r="K115" s="58">
        <f t="shared" si="4"/>
        <v>3.017466</v>
      </c>
      <c r="L115" s="58">
        <f t="shared" si="4"/>
        <v>3.017466</v>
      </c>
      <c r="M115" s="58">
        <f t="shared" si="4"/>
        <v>2.0526660000000003</v>
      </c>
    </row>
    <row r="116" ht="13.5">
      <c r="B116" s="29"/>
    </row>
  </sheetData>
  <sheetProtection/>
  <mergeCells count="5">
    <mergeCell ref="A96:A97"/>
    <mergeCell ref="A50:A51"/>
    <mergeCell ref="A72:A73"/>
    <mergeCell ref="A4:A5"/>
    <mergeCell ref="A28:A29"/>
  </mergeCells>
  <printOptions/>
  <pageMargins left="0.74" right="0.5" top="0.75" bottom="0.75" header="0.5" footer="0.5"/>
  <pageSetup firstPageNumber="5" useFirstPageNumber="1" horizontalDpi="600" verticalDpi="600" orientation="landscape" scale="70" r:id="rId1"/>
  <headerFooter alignWithMargins="0">
    <oddHeader>&amp;C&amp;"Arial,Bold"TABLE A-10 THROUGH A-14
CONSTRUCTION EQUIPMENT EMISSION FACTORS</oddHeader>
    <oddFooter>&amp;C&amp;"Arial Narrow,Regular"A-&amp;P&amp;R&amp;"Arial Narrow,Regular"5/21/03</oddFooter>
  </headerFooter>
  <rowBreaks count="2" manualBreakCount="2">
    <brk id="48" max="255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"/>
  <sheetViews>
    <sheetView showGridLines="0" zoomScalePageLayoutView="0" workbookViewId="0" topLeftCell="B11">
      <selection activeCell="O21" sqref="O21"/>
    </sheetView>
  </sheetViews>
  <sheetFormatPr defaultColWidth="9.140625" defaultRowHeight="12.75"/>
  <cols>
    <col min="1" max="1" width="25.28125" style="3" customWidth="1"/>
    <col min="2" max="2" width="7.140625" style="3" customWidth="1"/>
    <col min="3" max="3" width="6.421875" style="3" customWidth="1"/>
    <col min="4" max="4" width="7.140625" style="3" customWidth="1"/>
    <col min="5" max="5" width="6.7109375" style="3" customWidth="1"/>
    <col min="6" max="10" width="7.00390625" style="3" customWidth="1"/>
    <col min="11" max="15" width="5.140625" style="3" customWidth="1"/>
    <col min="16" max="16" width="8.00390625" style="3" customWidth="1"/>
    <col min="17" max="17" width="7.140625" style="3" bestFit="1" customWidth="1"/>
    <col min="18" max="29" width="3.421875" style="3" customWidth="1"/>
    <col min="30" max="30" width="8.7109375" style="3" customWidth="1"/>
    <col min="31" max="16384" width="9.140625" style="3" customWidth="1"/>
  </cols>
  <sheetData>
    <row r="1" spans="1:17" ht="13.5">
      <c r="A1" s="1" t="str">
        <f>'Tables A1-A9'!A1</f>
        <v>Chevron/Air Liquide EIR Construction Emissions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1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30" ht="13.5">
      <c r="C4" s="29"/>
      <c r="D4" s="29"/>
      <c r="E4" s="29"/>
      <c r="F4" s="96" t="s">
        <v>0</v>
      </c>
      <c r="G4" s="54" t="s">
        <v>1</v>
      </c>
      <c r="H4" s="104" t="s">
        <v>12</v>
      </c>
      <c r="I4" s="54" t="s">
        <v>79</v>
      </c>
      <c r="J4" s="104" t="s">
        <v>8</v>
      </c>
      <c r="K4" s="54" t="s">
        <v>0</v>
      </c>
      <c r="L4" s="54" t="s">
        <v>1</v>
      </c>
      <c r="M4" s="54" t="s">
        <v>12</v>
      </c>
      <c r="N4" s="54" t="s">
        <v>79</v>
      </c>
      <c r="O4" s="104" t="s">
        <v>8</v>
      </c>
      <c r="P4" s="54" t="s">
        <v>2</v>
      </c>
      <c r="Q4" s="54" t="s">
        <v>2</v>
      </c>
      <c r="R4" s="108" t="s">
        <v>233</v>
      </c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7"/>
      <c r="AD4" s="54" t="s">
        <v>91</v>
      </c>
    </row>
    <row r="5" spans="1:30" ht="27">
      <c r="A5" s="24" t="s">
        <v>3</v>
      </c>
      <c r="B5" s="11" t="s">
        <v>4</v>
      </c>
      <c r="C5" s="102" t="s">
        <v>85</v>
      </c>
      <c r="D5" s="12" t="s">
        <v>95</v>
      </c>
      <c r="E5" s="12" t="s">
        <v>90</v>
      </c>
      <c r="F5" s="103" t="s">
        <v>59</v>
      </c>
      <c r="G5" s="103" t="s">
        <v>59</v>
      </c>
      <c r="H5" s="103" t="s">
        <v>59</v>
      </c>
      <c r="I5" s="103" t="s">
        <v>59</v>
      </c>
      <c r="J5" s="103" t="s">
        <v>59</v>
      </c>
      <c r="K5" s="103" t="s">
        <v>5</v>
      </c>
      <c r="L5" s="26" t="s">
        <v>5</v>
      </c>
      <c r="M5" s="26" t="s">
        <v>5</v>
      </c>
      <c r="N5" s="103" t="s">
        <v>5</v>
      </c>
      <c r="O5" s="26" t="s">
        <v>5</v>
      </c>
      <c r="P5" s="26" t="s">
        <v>60</v>
      </c>
      <c r="Q5" s="26" t="s">
        <v>6</v>
      </c>
      <c r="R5" s="11">
        <v>1</v>
      </c>
      <c r="S5" s="11">
        <v>2</v>
      </c>
      <c r="T5" s="11">
        <v>3</v>
      </c>
      <c r="U5" s="11">
        <v>4</v>
      </c>
      <c r="V5" s="11">
        <v>5</v>
      </c>
      <c r="W5" s="11">
        <v>6</v>
      </c>
      <c r="X5" s="11">
        <v>7</v>
      </c>
      <c r="Y5" s="11">
        <v>8</v>
      </c>
      <c r="Z5" s="11">
        <v>9</v>
      </c>
      <c r="AA5" s="11">
        <v>10</v>
      </c>
      <c r="AB5" s="11">
        <v>11</v>
      </c>
      <c r="AC5" s="11">
        <v>12</v>
      </c>
      <c r="AD5" s="26" t="s">
        <v>92</v>
      </c>
    </row>
    <row r="6" spans="1:30" ht="13.5">
      <c r="A6" s="13" t="s">
        <v>216</v>
      </c>
      <c r="B6" s="19" t="s">
        <v>7</v>
      </c>
      <c r="C6" s="34">
        <v>80</v>
      </c>
      <c r="D6" s="34">
        <v>0.48</v>
      </c>
      <c r="E6" s="36">
        <v>0.5</v>
      </c>
      <c r="F6" s="35">
        <v>0.015</v>
      </c>
      <c r="G6" s="35">
        <v>0.003</v>
      </c>
      <c r="H6" s="35">
        <v>0.022</v>
      </c>
      <c r="I6" s="35">
        <f aca="true" t="shared" si="0" ref="I6:I19">$D$40</f>
        <v>0.0003702898550724638</v>
      </c>
      <c r="J6" s="35">
        <v>0.001</v>
      </c>
      <c r="K6" s="36">
        <f aca="true" t="shared" si="1" ref="K6:K15">$C6*$D6*$E6*F6</f>
        <v>0.288</v>
      </c>
      <c r="L6" s="36">
        <f aca="true" t="shared" si="2" ref="L6:L15">$C6*$D6*$E6*G6</f>
        <v>0.0576</v>
      </c>
      <c r="M6" s="36">
        <f aca="true" t="shared" si="3" ref="M6:M15">$C6*$D6*$E6*H6</f>
        <v>0.42239999999999994</v>
      </c>
      <c r="N6" s="36">
        <f aca="true" t="shared" si="4" ref="N6:N15">$C6*$D6*$E6*I6</f>
        <v>0.007109565217391305</v>
      </c>
      <c r="O6" s="36">
        <f aca="true" t="shared" si="5" ref="O6:O15">$C6*$D6*$E6*J6</f>
        <v>0.0192</v>
      </c>
      <c r="P6" s="35">
        <v>0.05</v>
      </c>
      <c r="Q6" s="37">
        <f aca="true" t="shared" si="6" ref="Q6:Q15">C6*D6*E6*P6</f>
        <v>0.96</v>
      </c>
      <c r="R6" s="19">
        <v>1</v>
      </c>
      <c r="S6" s="19">
        <v>1</v>
      </c>
      <c r="T6" s="19">
        <v>1</v>
      </c>
      <c r="U6" s="19">
        <v>1</v>
      </c>
      <c r="V6" s="106">
        <v>1</v>
      </c>
      <c r="W6" s="19"/>
      <c r="X6" s="19"/>
      <c r="Y6" s="19"/>
      <c r="Z6" s="19"/>
      <c r="AA6" s="19"/>
      <c r="AB6" s="19"/>
      <c r="AC6" s="19"/>
      <c r="AD6" s="19">
        <v>9</v>
      </c>
    </row>
    <row r="7" spans="1:30" ht="13.5">
      <c r="A7" s="13" t="s">
        <v>217</v>
      </c>
      <c r="B7" s="19" t="s">
        <v>7</v>
      </c>
      <c r="C7" s="34">
        <v>90</v>
      </c>
      <c r="D7" s="34">
        <v>0.465</v>
      </c>
      <c r="E7" s="36">
        <v>0.7</v>
      </c>
      <c r="F7" s="35">
        <v>0.015</v>
      </c>
      <c r="G7" s="35">
        <v>0.003</v>
      </c>
      <c r="H7" s="35">
        <v>0.022</v>
      </c>
      <c r="I7" s="35">
        <f t="shared" si="0"/>
        <v>0.0003702898550724638</v>
      </c>
      <c r="J7" s="35">
        <v>0.001</v>
      </c>
      <c r="K7" s="36">
        <f t="shared" si="1"/>
        <v>0.43942499999999995</v>
      </c>
      <c r="L7" s="36">
        <f t="shared" si="2"/>
        <v>0.08788499999999999</v>
      </c>
      <c r="M7" s="36">
        <f t="shared" si="3"/>
        <v>0.6444899999999999</v>
      </c>
      <c r="N7" s="36">
        <f t="shared" si="4"/>
        <v>0.010847641304347826</v>
      </c>
      <c r="O7" s="36">
        <f t="shared" si="5"/>
        <v>0.029294999999999998</v>
      </c>
      <c r="P7" s="35">
        <v>0.05</v>
      </c>
      <c r="Q7" s="37">
        <f t="shared" si="6"/>
        <v>1.46475</v>
      </c>
      <c r="R7" s="19">
        <v>1</v>
      </c>
      <c r="S7" s="19">
        <v>2</v>
      </c>
      <c r="T7" s="19">
        <v>2</v>
      </c>
      <c r="U7" s="19">
        <v>2</v>
      </c>
      <c r="V7" s="106">
        <v>3</v>
      </c>
      <c r="W7" s="19"/>
      <c r="X7" s="19"/>
      <c r="Y7" s="19"/>
      <c r="Z7" s="19"/>
      <c r="AA7" s="19"/>
      <c r="AB7" s="19"/>
      <c r="AC7" s="19"/>
      <c r="AD7" s="19">
        <v>9</v>
      </c>
    </row>
    <row r="8" spans="1:30" ht="13.5">
      <c r="A8" s="13" t="s">
        <v>218</v>
      </c>
      <c r="B8" s="19" t="s">
        <v>7</v>
      </c>
      <c r="C8" s="34">
        <v>106</v>
      </c>
      <c r="D8" s="34">
        <v>0.465</v>
      </c>
      <c r="E8" s="36">
        <v>0.7</v>
      </c>
      <c r="F8" s="35">
        <v>0.015</v>
      </c>
      <c r="G8" s="35">
        <v>0.003</v>
      </c>
      <c r="H8" s="35">
        <v>0.022</v>
      </c>
      <c r="I8" s="35">
        <f t="shared" si="0"/>
        <v>0.0003702898550724638</v>
      </c>
      <c r="J8" s="35">
        <v>0.001</v>
      </c>
      <c r="K8" s="36">
        <f t="shared" si="1"/>
        <v>0.517545</v>
      </c>
      <c r="L8" s="36">
        <f t="shared" si="2"/>
        <v>0.103509</v>
      </c>
      <c r="M8" s="36">
        <f t="shared" si="3"/>
        <v>0.7590659999999999</v>
      </c>
      <c r="N8" s="36">
        <f t="shared" si="4"/>
        <v>0.012776110869565219</v>
      </c>
      <c r="O8" s="36">
        <f t="shared" si="5"/>
        <v>0.034503</v>
      </c>
      <c r="P8" s="35">
        <v>0.05</v>
      </c>
      <c r="Q8" s="37">
        <f t="shared" si="6"/>
        <v>1.7251500000000002</v>
      </c>
      <c r="R8" s="19"/>
      <c r="S8" s="19">
        <v>1</v>
      </c>
      <c r="T8" s="19">
        <v>1</v>
      </c>
      <c r="U8" s="19"/>
      <c r="V8" s="106"/>
      <c r="W8" s="19"/>
      <c r="X8" s="19"/>
      <c r="Y8" s="19"/>
      <c r="Z8" s="19"/>
      <c r="AA8" s="19"/>
      <c r="AB8" s="19"/>
      <c r="AC8" s="19"/>
      <c r="AD8" s="19">
        <v>9</v>
      </c>
    </row>
    <row r="9" spans="1:30" ht="13.5">
      <c r="A9" s="13" t="s">
        <v>219</v>
      </c>
      <c r="B9" s="19" t="s">
        <v>7</v>
      </c>
      <c r="C9" s="34">
        <v>58</v>
      </c>
      <c r="D9" s="34">
        <v>0.465</v>
      </c>
      <c r="E9" s="36">
        <v>0.75</v>
      </c>
      <c r="F9" s="35">
        <v>0.015</v>
      </c>
      <c r="G9" s="35">
        <v>0.003</v>
      </c>
      <c r="H9" s="35">
        <v>0.022</v>
      </c>
      <c r="I9" s="35">
        <f t="shared" si="0"/>
        <v>0.0003702898550724638</v>
      </c>
      <c r="J9" s="35">
        <v>0.001</v>
      </c>
      <c r="K9" s="36">
        <f t="shared" si="1"/>
        <v>0.30341250000000003</v>
      </c>
      <c r="L9" s="36">
        <f t="shared" si="2"/>
        <v>0.06068250000000001</v>
      </c>
      <c r="M9" s="36">
        <f t="shared" si="3"/>
        <v>0.44500500000000004</v>
      </c>
      <c r="N9" s="36">
        <f t="shared" si="4"/>
        <v>0.007490038043478262</v>
      </c>
      <c r="O9" s="36">
        <f t="shared" si="5"/>
        <v>0.020227500000000002</v>
      </c>
      <c r="P9" s="35">
        <v>0.05</v>
      </c>
      <c r="Q9" s="37">
        <f t="shared" si="6"/>
        <v>1.0113750000000001</v>
      </c>
      <c r="R9" s="19">
        <v>2</v>
      </c>
      <c r="S9" s="19">
        <v>2</v>
      </c>
      <c r="T9" s="19">
        <v>2</v>
      </c>
      <c r="U9" s="19">
        <v>2</v>
      </c>
      <c r="V9" s="106">
        <v>2</v>
      </c>
      <c r="W9" s="19">
        <v>2</v>
      </c>
      <c r="X9" s="19"/>
      <c r="Y9" s="19"/>
      <c r="Z9" s="19"/>
      <c r="AA9" s="19"/>
      <c r="AB9" s="19"/>
      <c r="AC9" s="19"/>
      <c r="AD9" s="19">
        <v>9</v>
      </c>
    </row>
    <row r="10" spans="1:30" ht="13.5">
      <c r="A10" s="13" t="s">
        <v>258</v>
      </c>
      <c r="B10" s="19" t="s">
        <v>7</v>
      </c>
      <c r="C10" s="34">
        <v>80</v>
      </c>
      <c r="D10" s="34">
        <v>0.465</v>
      </c>
      <c r="E10" s="36">
        <v>0.5</v>
      </c>
      <c r="F10" s="35">
        <v>0.015</v>
      </c>
      <c r="G10" s="35">
        <v>0.003</v>
      </c>
      <c r="H10" s="35">
        <v>0.022</v>
      </c>
      <c r="I10" s="35">
        <f t="shared" si="0"/>
        <v>0.0003702898550724638</v>
      </c>
      <c r="J10" s="35">
        <v>0.001</v>
      </c>
      <c r="K10" s="36">
        <f t="shared" si="1"/>
        <v>0.279</v>
      </c>
      <c r="L10" s="36">
        <f t="shared" si="2"/>
        <v>0.0558</v>
      </c>
      <c r="M10" s="36">
        <f t="shared" si="3"/>
        <v>0.4092</v>
      </c>
      <c r="N10" s="36">
        <f t="shared" si="4"/>
        <v>0.006887391304347827</v>
      </c>
      <c r="O10" s="36">
        <f t="shared" si="5"/>
        <v>0.018600000000000002</v>
      </c>
      <c r="P10" s="35">
        <v>0.05</v>
      </c>
      <c r="Q10" s="37">
        <f t="shared" si="6"/>
        <v>0.9300000000000002</v>
      </c>
      <c r="R10" s="19"/>
      <c r="S10" s="19"/>
      <c r="T10" s="19"/>
      <c r="U10" s="19"/>
      <c r="V10" s="106"/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19">
        <v>9</v>
      </c>
    </row>
    <row r="11" spans="1:30" ht="13.5">
      <c r="A11" s="13" t="s">
        <v>229</v>
      </c>
      <c r="B11" s="19" t="s">
        <v>7</v>
      </c>
      <c r="C11" s="34">
        <v>250</v>
      </c>
      <c r="D11" s="34">
        <v>0.2</v>
      </c>
      <c r="E11" s="36">
        <v>0.25</v>
      </c>
      <c r="F11" s="35">
        <v>0.009</v>
      </c>
      <c r="G11" s="35">
        <v>0.003</v>
      </c>
      <c r="H11" s="35">
        <v>0.023</v>
      </c>
      <c r="I11" s="35">
        <f t="shared" si="0"/>
        <v>0.0003702898550724638</v>
      </c>
      <c r="J11" s="128">
        <v>0.0015</v>
      </c>
      <c r="K11" s="36">
        <f t="shared" si="1"/>
        <v>0.11249999999999999</v>
      </c>
      <c r="L11" s="36">
        <f t="shared" si="2"/>
        <v>0.0375</v>
      </c>
      <c r="M11" s="36">
        <f t="shared" si="3"/>
        <v>0.2875</v>
      </c>
      <c r="N11" s="36">
        <f t="shared" si="4"/>
        <v>0.004628623188405797</v>
      </c>
      <c r="O11" s="36">
        <f t="shared" si="5"/>
        <v>0.01875</v>
      </c>
      <c r="P11" s="35">
        <v>0.05</v>
      </c>
      <c r="Q11" s="37">
        <f t="shared" si="6"/>
        <v>0.625</v>
      </c>
      <c r="R11" s="19"/>
      <c r="S11" s="19"/>
      <c r="T11" s="19"/>
      <c r="U11" s="19">
        <v>1</v>
      </c>
      <c r="V11" s="106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19">
        <v>9</v>
      </c>
    </row>
    <row r="12" spans="1:30" ht="13.5">
      <c r="A12" s="13" t="s">
        <v>230</v>
      </c>
      <c r="B12" s="19" t="s">
        <v>7</v>
      </c>
      <c r="C12" s="34">
        <v>152</v>
      </c>
      <c r="D12" s="34">
        <v>0.43</v>
      </c>
      <c r="E12" s="36">
        <v>0.6</v>
      </c>
      <c r="F12" s="35">
        <v>0.009</v>
      </c>
      <c r="G12" s="35">
        <v>0.003</v>
      </c>
      <c r="H12" s="35">
        <v>0.023</v>
      </c>
      <c r="I12" s="35">
        <f t="shared" si="0"/>
        <v>0.0003702898550724638</v>
      </c>
      <c r="J12" s="128">
        <v>0.0015</v>
      </c>
      <c r="K12" s="36">
        <f t="shared" si="1"/>
        <v>0.352944</v>
      </c>
      <c r="L12" s="36">
        <f t="shared" si="2"/>
        <v>0.117648</v>
      </c>
      <c r="M12" s="36">
        <f t="shared" si="3"/>
        <v>0.901968</v>
      </c>
      <c r="N12" s="36">
        <f t="shared" si="4"/>
        <v>0.01452128695652174</v>
      </c>
      <c r="O12" s="36">
        <f t="shared" si="5"/>
        <v>0.058824</v>
      </c>
      <c r="P12" s="35">
        <v>0.05</v>
      </c>
      <c r="Q12" s="37">
        <f t="shared" si="6"/>
        <v>1.9608</v>
      </c>
      <c r="R12" s="19"/>
      <c r="S12" s="19"/>
      <c r="T12" s="19"/>
      <c r="U12" s="19">
        <v>1</v>
      </c>
      <c r="V12" s="106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>
        <v>9</v>
      </c>
    </row>
    <row r="13" spans="1:30" ht="13.5">
      <c r="A13" s="13" t="s">
        <v>231</v>
      </c>
      <c r="B13" s="19" t="s">
        <v>7</v>
      </c>
      <c r="C13" s="34">
        <v>115</v>
      </c>
      <c r="D13" s="34">
        <v>0.43</v>
      </c>
      <c r="E13" s="36">
        <v>0.75</v>
      </c>
      <c r="F13" s="35">
        <v>0.009</v>
      </c>
      <c r="G13" s="35">
        <v>0.003</v>
      </c>
      <c r="H13" s="35">
        <v>0.023</v>
      </c>
      <c r="I13" s="35">
        <f t="shared" si="0"/>
        <v>0.0003702898550724638</v>
      </c>
      <c r="J13" s="128">
        <v>0.0015</v>
      </c>
      <c r="K13" s="36">
        <f t="shared" si="1"/>
        <v>0.33378749999999996</v>
      </c>
      <c r="L13" s="36">
        <f t="shared" si="2"/>
        <v>0.1112625</v>
      </c>
      <c r="M13" s="36">
        <f t="shared" si="3"/>
        <v>0.8530125</v>
      </c>
      <c r="N13" s="36">
        <f t="shared" si="4"/>
        <v>0.013733125</v>
      </c>
      <c r="O13" s="36">
        <f t="shared" si="5"/>
        <v>0.05563125</v>
      </c>
      <c r="P13" s="35">
        <v>0.05</v>
      </c>
      <c r="Q13" s="37">
        <f t="shared" si="6"/>
        <v>1.854375</v>
      </c>
      <c r="R13" s="19"/>
      <c r="S13" s="19"/>
      <c r="T13" s="19">
        <v>2</v>
      </c>
      <c r="U13" s="19">
        <v>2</v>
      </c>
      <c r="V13" s="106">
        <v>3</v>
      </c>
      <c r="W13" s="19">
        <v>3</v>
      </c>
      <c r="X13" s="19">
        <v>3</v>
      </c>
      <c r="Y13" s="19">
        <v>3</v>
      </c>
      <c r="Z13" s="19">
        <v>3</v>
      </c>
      <c r="AA13" s="19">
        <v>2</v>
      </c>
      <c r="AB13" s="19">
        <v>2</v>
      </c>
      <c r="AC13" s="19">
        <v>1</v>
      </c>
      <c r="AD13" s="19">
        <v>9</v>
      </c>
    </row>
    <row r="14" spans="1:30" ht="13.5">
      <c r="A14" s="13" t="s">
        <v>220</v>
      </c>
      <c r="B14" s="19" t="s">
        <v>7</v>
      </c>
      <c r="C14" s="34">
        <v>50</v>
      </c>
      <c r="D14" s="34">
        <v>0.3</v>
      </c>
      <c r="E14" s="36">
        <v>0.8</v>
      </c>
      <c r="F14" s="35">
        <v>0.013</v>
      </c>
      <c r="G14" s="35">
        <v>0.003</v>
      </c>
      <c r="H14" s="35">
        <v>0.031</v>
      </c>
      <c r="I14" s="35">
        <f t="shared" si="0"/>
        <v>0.0003702898550724638</v>
      </c>
      <c r="J14" s="128">
        <v>0.0015</v>
      </c>
      <c r="K14" s="36">
        <f t="shared" si="1"/>
        <v>0.156</v>
      </c>
      <c r="L14" s="36">
        <f t="shared" si="2"/>
        <v>0.036000000000000004</v>
      </c>
      <c r="M14" s="36">
        <f t="shared" si="3"/>
        <v>0.372</v>
      </c>
      <c r="N14" s="36">
        <f t="shared" si="4"/>
        <v>0.004443478260869565</v>
      </c>
      <c r="O14" s="36">
        <f t="shared" si="5"/>
        <v>0.018000000000000002</v>
      </c>
      <c r="P14" s="35">
        <v>0.05</v>
      </c>
      <c r="Q14" s="37">
        <f t="shared" si="6"/>
        <v>0.6000000000000001</v>
      </c>
      <c r="R14" s="19"/>
      <c r="S14" s="19"/>
      <c r="T14" s="19"/>
      <c r="U14" s="19">
        <v>1</v>
      </c>
      <c r="V14" s="106">
        <v>1</v>
      </c>
      <c r="W14" s="19">
        <v>1</v>
      </c>
      <c r="X14" s="19">
        <v>2</v>
      </c>
      <c r="Y14" s="19">
        <v>2</v>
      </c>
      <c r="Z14" s="19">
        <v>3</v>
      </c>
      <c r="AA14" s="19">
        <v>2</v>
      </c>
      <c r="AB14" s="19">
        <v>2</v>
      </c>
      <c r="AC14" s="19">
        <v>1</v>
      </c>
      <c r="AD14" s="19">
        <v>9</v>
      </c>
    </row>
    <row r="15" spans="1:30" ht="13.5">
      <c r="A15" s="13" t="s">
        <v>232</v>
      </c>
      <c r="B15" s="19" t="s">
        <v>7</v>
      </c>
      <c r="C15" s="34">
        <v>80</v>
      </c>
      <c r="D15" s="34">
        <v>0.465</v>
      </c>
      <c r="E15" s="36">
        <v>0.5</v>
      </c>
      <c r="F15" s="35">
        <v>0.015</v>
      </c>
      <c r="G15" s="35">
        <v>0.003</v>
      </c>
      <c r="H15" s="35">
        <v>0.022</v>
      </c>
      <c r="I15" s="35">
        <f t="shared" si="0"/>
        <v>0.0003702898550724638</v>
      </c>
      <c r="J15" s="35">
        <v>0.001</v>
      </c>
      <c r="K15" s="36">
        <f t="shared" si="1"/>
        <v>0.279</v>
      </c>
      <c r="L15" s="36">
        <f t="shared" si="2"/>
        <v>0.0558</v>
      </c>
      <c r="M15" s="36">
        <f t="shared" si="3"/>
        <v>0.4092</v>
      </c>
      <c r="N15" s="36">
        <f t="shared" si="4"/>
        <v>0.006887391304347827</v>
      </c>
      <c r="O15" s="36">
        <f t="shared" si="5"/>
        <v>0.018600000000000002</v>
      </c>
      <c r="P15" s="35">
        <v>0.05</v>
      </c>
      <c r="Q15" s="37">
        <f t="shared" si="6"/>
        <v>0.9300000000000002</v>
      </c>
      <c r="R15" s="19"/>
      <c r="S15" s="19"/>
      <c r="T15" s="19"/>
      <c r="U15" s="19"/>
      <c r="V15" s="106">
        <v>1</v>
      </c>
      <c r="W15" s="19">
        <v>1</v>
      </c>
      <c r="X15" s="19">
        <v>2</v>
      </c>
      <c r="Y15" s="19">
        <v>1</v>
      </c>
      <c r="Z15" s="19"/>
      <c r="AA15" s="19"/>
      <c r="AB15" s="19"/>
      <c r="AC15" s="19"/>
      <c r="AD15" s="19">
        <v>9</v>
      </c>
    </row>
    <row r="16" spans="1:30" ht="13.5">
      <c r="A16" s="13" t="s">
        <v>228</v>
      </c>
      <c r="B16" s="19" t="s">
        <v>7</v>
      </c>
      <c r="C16" s="34">
        <v>80</v>
      </c>
      <c r="D16" s="34">
        <v>0.505</v>
      </c>
      <c r="E16" s="36">
        <v>0.25</v>
      </c>
      <c r="F16" s="35">
        <v>0.015</v>
      </c>
      <c r="G16" s="35">
        <v>0.003</v>
      </c>
      <c r="H16" s="35">
        <v>0.022</v>
      </c>
      <c r="I16" s="35">
        <f t="shared" si="0"/>
        <v>0.0003702898550724638</v>
      </c>
      <c r="J16" s="35">
        <v>0.001</v>
      </c>
      <c r="K16" s="36">
        <f aca="true" t="shared" si="7" ref="K16:O19">$C16*$D16*$E16*F16</f>
        <v>0.1515</v>
      </c>
      <c r="L16" s="36">
        <f t="shared" si="7"/>
        <v>0.0303</v>
      </c>
      <c r="M16" s="36">
        <f t="shared" si="7"/>
        <v>0.22219999999999998</v>
      </c>
      <c r="N16" s="36">
        <f t="shared" si="7"/>
        <v>0.003739927536231884</v>
      </c>
      <c r="O16" s="36">
        <f t="shared" si="7"/>
        <v>0.0101</v>
      </c>
      <c r="P16" s="35">
        <v>0.05</v>
      </c>
      <c r="Q16" s="37">
        <f aca="true" t="shared" si="8" ref="Q16:Q21">C16*D16*E16*P16</f>
        <v>0.505</v>
      </c>
      <c r="R16" s="19"/>
      <c r="S16" s="19"/>
      <c r="T16" s="19"/>
      <c r="U16" s="19">
        <v>1</v>
      </c>
      <c r="V16" s="106">
        <v>1</v>
      </c>
      <c r="W16" s="19">
        <v>1</v>
      </c>
      <c r="X16" s="19">
        <v>1</v>
      </c>
      <c r="Y16" s="19">
        <v>1</v>
      </c>
      <c r="Z16" s="19">
        <v>2</v>
      </c>
      <c r="AA16" s="19">
        <v>3</v>
      </c>
      <c r="AB16" s="19">
        <v>3</v>
      </c>
      <c r="AC16" s="19">
        <v>1</v>
      </c>
      <c r="AD16" s="19">
        <v>9</v>
      </c>
    </row>
    <row r="17" spans="1:30" ht="13.5">
      <c r="A17" s="13" t="s">
        <v>221</v>
      </c>
      <c r="B17" s="19" t="s">
        <v>7</v>
      </c>
      <c r="C17" s="34">
        <v>115</v>
      </c>
      <c r="D17" s="34">
        <v>0.465</v>
      </c>
      <c r="E17" s="36">
        <v>0.25</v>
      </c>
      <c r="F17" s="35">
        <v>0.015</v>
      </c>
      <c r="G17" s="35">
        <v>0.003</v>
      </c>
      <c r="H17" s="35">
        <v>0.022</v>
      </c>
      <c r="I17" s="35">
        <f t="shared" si="0"/>
        <v>0.0003702898550724638</v>
      </c>
      <c r="J17" s="35">
        <v>0.001</v>
      </c>
      <c r="K17" s="36">
        <f t="shared" si="7"/>
        <v>0.20053125</v>
      </c>
      <c r="L17" s="36">
        <f t="shared" si="7"/>
        <v>0.04010625</v>
      </c>
      <c r="M17" s="36">
        <f t="shared" si="7"/>
        <v>0.2941125</v>
      </c>
      <c r="N17" s="36">
        <f t="shared" si="7"/>
        <v>0.004950312500000001</v>
      </c>
      <c r="O17" s="36">
        <f t="shared" si="7"/>
        <v>0.01336875</v>
      </c>
      <c r="P17" s="35">
        <v>0.05</v>
      </c>
      <c r="Q17" s="37">
        <f t="shared" si="8"/>
        <v>0.6684375</v>
      </c>
      <c r="R17" s="19"/>
      <c r="S17" s="19"/>
      <c r="T17" s="19"/>
      <c r="U17" s="19">
        <v>1</v>
      </c>
      <c r="V17" s="106">
        <v>2</v>
      </c>
      <c r="W17" s="19">
        <v>3</v>
      </c>
      <c r="X17" s="19">
        <v>3</v>
      </c>
      <c r="Y17" s="19">
        <v>3</v>
      </c>
      <c r="Z17" s="19">
        <v>3</v>
      </c>
      <c r="AA17" s="19">
        <v>2</v>
      </c>
      <c r="AB17" s="19">
        <v>2</v>
      </c>
      <c r="AC17" s="19">
        <v>1</v>
      </c>
      <c r="AD17" s="19">
        <v>9</v>
      </c>
    </row>
    <row r="18" spans="1:30" ht="13.5">
      <c r="A18" s="13" t="s">
        <v>227</v>
      </c>
      <c r="B18" s="19" t="s">
        <v>7</v>
      </c>
      <c r="C18" s="34">
        <v>145</v>
      </c>
      <c r="D18" s="34">
        <v>0.48</v>
      </c>
      <c r="E18" s="36">
        <v>0.5</v>
      </c>
      <c r="F18" s="35">
        <v>0.015</v>
      </c>
      <c r="G18" s="35">
        <v>0.003</v>
      </c>
      <c r="H18" s="35">
        <v>0.022</v>
      </c>
      <c r="I18" s="35">
        <f t="shared" si="0"/>
        <v>0.0003702898550724638</v>
      </c>
      <c r="J18" s="35">
        <v>0.001</v>
      </c>
      <c r="K18" s="36">
        <f t="shared" si="7"/>
        <v>0.5219999999999999</v>
      </c>
      <c r="L18" s="36">
        <f t="shared" si="7"/>
        <v>0.10439999999999999</v>
      </c>
      <c r="M18" s="36">
        <f t="shared" si="7"/>
        <v>0.7656</v>
      </c>
      <c r="N18" s="36">
        <f t="shared" si="7"/>
        <v>0.012886086956521738</v>
      </c>
      <c r="O18" s="36">
        <f t="shared" si="7"/>
        <v>0.0348</v>
      </c>
      <c r="P18" s="35">
        <v>0.05</v>
      </c>
      <c r="Q18" s="37">
        <f t="shared" si="8"/>
        <v>1.74</v>
      </c>
      <c r="R18" s="19"/>
      <c r="S18" s="19"/>
      <c r="T18" s="19"/>
      <c r="U18" s="19">
        <v>1</v>
      </c>
      <c r="V18" s="106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>
        <v>1</v>
      </c>
      <c r="AD18" s="19">
        <v>9</v>
      </c>
    </row>
    <row r="19" spans="1:30" ht="13.5">
      <c r="A19" s="13" t="s">
        <v>270</v>
      </c>
      <c r="B19" s="19" t="s">
        <v>7</v>
      </c>
      <c r="C19" s="34">
        <v>20</v>
      </c>
      <c r="D19" s="34">
        <v>0.45</v>
      </c>
      <c r="E19" s="36">
        <v>1</v>
      </c>
      <c r="F19" s="35">
        <v>0.015</v>
      </c>
      <c r="G19" s="35">
        <v>0.003</v>
      </c>
      <c r="H19" s="35">
        <v>0.022</v>
      </c>
      <c r="I19" s="35">
        <f t="shared" si="0"/>
        <v>0.0003702898550724638</v>
      </c>
      <c r="J19" s="35">
        <v>0.001</v>
      </c>
      <c r="K19" s="36">
        <f t="shared" si="7"/>
        <v>0.135</v>
      </c>
      <c r="L19" s="36">
        <f t="shared" si="7"/>
        <v>0.027</v>
      </c>
      <c r="M19" s="36">
        <f t="shared" si="7"/>
        <v>0.19799999999999998</v>
      </c>
      <c r="N19" s="36">
        <f t="shared" si="7"/>
        <v>0.003332608695652174</v>
      </c>
      <c r="O19" s="36">
        <f t="shared" si="7"/>
        <v>0.009000000000000001</v>
      </c>
      <c r="P19" s="35">
        <v>0.05</v>
      </c>
      <c r="Q19" s="37">
        <f t="shared" si="8"/>
        <v>0.45</v>
      </c>
      <c r="R19" s="19">
        <v>1</v>
      </c>
      <c r="S19" s="19">
        <v>1</v>
      </c>
      <c r="T19" s="19"/>
      <c r="U19" s="19"/>
      <c r="V19" s="106">
        <v>1</v>
      </c>
      <c r="W19" s="19">
        <v>1</v>
      </c>
      <c r="X19" s="19">
        <v>2</v>
      </c>
      <c r="Y19" s="19">
        <v>1</v>
      </c>
      <c r="Z19" s="19">
        <v>1</v>
      </c>
      <c r="AA19" s="19"/>
      <c r="AB19" s="19"/>
      <c r="AC19" s="19"/>
      <c r="AD19" s="19">
        <v>9</v>
      </c>
    </row>
    <row r="20" spans="1:30" ht="13.5">
      <c r="A20" s="13" t="s">
        <v>269</v>
      </c>
      <c r="B20" s="19" t="s">
        <v>239</v>
      </c>
      <c r="C20" s="34">
        <v>20</v>
      </c>
      <c r="D20" s="34">
        <v>0.45</v>
      </c>
      <c r="E20" s="36">
        <v>1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6">
        <f aca="true" t="shared" si="9" ref="K20:O21">$C20*$D20*$E20*F20</f>
        <v>0</v>
      </c>
      <c r="L20" s="36">
        <f t="shared" si="9"/>
        <v>0</v>
      </c>
      <c r="M20" s="36">
        <f t="shared" si="9"/>
        <v>0</v>
      </c>
      <c r="N20" s="36">
        <f t="shared" si="9"/>
        <v>0</v>
      </c>
      <c r="O20" s="36">
        <f t="shared" si="9"/>
        <v>0</v>
      </c>
      <c r="P20" s="35">
        <v>0.05</v>
      </c>
      <c r="Q20" s="37">
        <f t="shared" si="8"/>
        <v>0.45</v>
      </c>
      <c r="R20" s="19">
        <v>1</v>
      </c>
      <c r="S20" s="19">
        <v>1</v>
      </c>
      <c r="T20" s="19">
        <v>1</v>
      </c>
      <c r="U20" s="19">
        <v>1</v>
      </c>
      <c r="V20" s="106">
        <v>5</v>
      </c>
      <c r="W20" s="19">
        <v>6</v>
      </c>
      <c r="X20" s="19">
        <v>6</v>
      </c>
      <c r="Y20" s="19">
        <v>6</v>
      </c>
      <c r="Z20" s="19">
        <v>6</v>
      </c>
      <c r="AA20" s="19">
        <v>6</v>
      </c>
      <c r="AB20" s="19">
        <v>6</v>
      </c>
      <c r="AC20" s="19">
        <v>2</v>
      </c>
      <c r="AD20" s="19">
        <v>9</v>
      </c>
    </row>
    <row r="21" spans="1:30" ht="13.5">
      <c r="A21" s="13" t="s">
        <v>223</v>
      </c>
      <c r="B21" s="19" t="s">
        <v>239</v>
      </c>
      <c r="C21" s="34">
        <v>8</v>
      </c>
      <c r="D21" s="34">
        <v>0.74</v>
      </c>
      <c r="E21" s="36">
        <v>1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6">
        <f t="shared" si="9"/>
        <v>0</v>
      </c>
      <c r="L21" s="36">
        <f t="shared" si="9"/>
        <v>0</v>
      </c>
      <c r="M21" s="36">
        <f t="shared" si="9"/>
        <v>0</v>
      </c>
      <c r="N21" s="36">
        <f t="shared" si="9"/>
        <v>0</v>
      </c>
      <c r="O21" s="36">
        <f t="shared" si="9"/>
        <v>0</v>
      </c>
      <c r="P21" s="35">
        <v>0.05</v>
      </c>
      <c r="Q21" s="37">
        <f t="shared" si="8"/>
        <v>0.296</v>
      </c>
      <c r="R21" s="19">
        <v>1</v>
      </c>
      <c r="S21" s="19">
        <v>1</v>
      </c>
      <c r="T21" s="19"/>
      <c r="U21" s="19"/>
      <c r="V21" s="106"/>
      <c r="W21" s="19"/>
      <c r="X21" s="19"/>
      <c r="Y21" s="19"/>
      <c r="Z21" s="19"/>
      <c r="AA21" s="19"/>
      <c r="AB21" s="19"/>
      <c r="AC21" s="19"/>
      <c r="AD21" s="19">
        <v>9</v>
      </c>
    </row>
    <row r="22" spans="1:30" ht="13.5">
      <c r="A22" s="13"/>
      <c r="B22" s="19"/>
      <c r="C22" s="34"/>
      <c r="D22" s="34"/>
      <c r="E22" s="36"/>
      <c r="F22" s="35"/>
      <c r="G22" s="35"/>
      <c r="H22" s="35"/>
      <c r="I22" s="35"/>
      <c r="J22" s="35"/>
      <c r="K22" s="36"/>
      <c r="L22" s="36"/>
      <c r="M22" s="36"/>
      <c r="N22" s="36"/>
      <c r="O22" s="36"/>
      <c r="P22" s="35"/>
      <c r="Q22" s="37"/>
      <c r="R22" s="19"/>
      <c r="S22" s="19"/>
      <c r="T22" s="19"/>
      <c r="U22" s="19"/>
      <c r="V22" s="106"/>
      <c r="W22" s="19"/>
      <c r="X22" s="19"/>
      <c r="Y22" s="19"/>
      <c r="Z22" s="19"/>
      <c r="AA22" s="19"/>
      <c r="AB22" s="19"/>
      <c r="AC22" s="19"/>
      <c r="AD22" s="19"/>
    </row>
    <row r="23" spans="1:30" ht="13.5">
      <c r="A23" s="13"/>
      <c r="B23" s="19"/>
      <c r="C23" s="34"/>
      <c r="D23" s="19"/>
      <c r="E23" s="19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32"/>
      <c r="R23" s="19"/>
      <c r="S23" s="19"/>
      <c r="T23" s="19"/>
      <c r="U23" s="19"/>
      <c r="V23" s="106"/>
      <c r="W23" s="19"/>
      <c r="X23" s="19"/>
      <c r="Y23" s="19"/>
      <c r="Z23" s="19"/>
      <c r="AA23" s="19"/>
      <c r="AB23" s="19"/>
      <c r="AC23" s="19"/>
      <c r="AD23" s="19"/>
    </row>
    <row r="24" spans="1:30" ht="13.5">
      <c r="A24" s="13"/>
      <c r="B24" s="19"/>
      <c r="C24" s="19"/>
      <c r="D24" s="19"/>
      <c r="E24" s="19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32"/>
      <c r="R24" s="19"/>
      <c r="S24" s="19"/>
      <c r="T24" s="19"/>
      <c r="U24" s="19"/>
      <c r="V24" s="106"/>
      <c r="W24" s="19"/>
      <c r="X24" s="19"/>
      <c r="Y24" s="19"/>
      <c r="Z24" s="19"/>
      <c r="AA24" s="19"/>
      <c r="AB24" s="19"/>
      <c r="AC24" s="19"/>
      <c r="AD24" s="19"/>
    </row>
    <row r="25" spans="1:17" ht="13.5">
      <c r="A25" s="20"/>
      <c r="B25" s="21"/>
      <c r="C25" s="21"/>
      <c r="D25" s="21"/>
      <c r="E25" s="21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1:17" ht="13.5">
      <c r="A26" s="20" t="s">
        <v>86</v>
      </c>
      <c r="B26" s="21"/>
      <c r="C26" s="21"/>
      <c r="D26" s="21"/>
      <c r="E26" s="21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</row>
    <row r="27" spans="1:17" ht="13.5">
      <c r="A27" s="20" t="s">
        <v>264</v>
      </c>
      <c r="B27" s="21"/>
      <c r="C27" s="21"/>
      <c r="D27" s="21"/>
      <c r="E27" s="21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1:17" ht="13.5">
      <c r="A28" s="20" t="s">
        <v>265</v>
      </c>
      <c r="B28" s="21"/>
      <c r="C28" s="21"/>
      <c r="D28" s="21"/>
      <c r="E28" s="21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</row>
    <row r="29" spans="1:17" ht="13.5">
      <c r="A29" s="20" t="s">
        <v>98</v>
      </c>
      <c r="B29" s="21"/>
      <c r="C29" s="21"/>
      <c r="D29" s="21"/>
      <c r="E29" s="21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ht="13.5">
      <c r="A30" s="3" t="s">
        <v>194</v>
      </c>
    </row>
    <row r="33" ht="13.5">
      <c r="A33" s="3" t="s">
        <v>215</v>
      </c>
    </row>
    <row r="34" spans="3:5" ht="13.5">
      <c r="C34" s="60" t="s">
        <v>109</v>
      </c>
      <c r="D34" s="3">
        <v>500</v>
      </c>
      <c r="E34" s="3" t="s">
        <v>100</v>
      </c>
    </row>
    <row r="35" spans="3:5" ht="13.5">
      <c r="C35" s="60" t="s">
        <v>101</v>
      </c>
      <c r="D35" s="3">
        <v>7</v>
      </c>
      <c r="E35" s="3" t="s">
        <v>102</v>
      </c>
    </row>
    <row r="36" spans="3:5" ht="13.5">
      <c r="C36" s="60" t="s">
        <v>103</v>
      </c>
      <c r="D36" s="3">
        <v>138000</v>
      </c>
      <c r="E36" s="3" t="s">
        <v>104</v>
      </c>
    </row>
    <row r="37" spans="3:5" ht="13.5">
      <c r="C37" s="60" t="s">
        <v>105</v>
      </c>
      <c r="D37" s="3">
        <v>7300</v>
      </c>
      <c r="E37" s="3" t="s">
        <v>106</v>
      </c>
    </row>
    <row r="38" ht="13.5">
      <c r="D38" s="61"/>
    </row>
    <row r="39" ht="13.5">
      <c r="B39" s="3" t="s">
        <v>107</v>
      </c>
    </row>
    <row r="40" spans="3:5" ht="13.5">
      <c r="C40" s="60" t="s">
        <v>108</v>
      </c>
      <c r="D40" s="62">
        <f>D34/1000000*D35/D36/32*64*D37</f>
        <v>0.0003702898550724638</v>
      </c>
      <c r="E40" s="3" t="s">
        <v>59</v>
      </c>
    </row>
    <row r="41" ht="13.5">
      <c r="D41" s="61"/>
    </row>
  </sheetData>
  <sheetProtection/>
  <printOptions/>
  <pageMargins left="0.74" right="0.5" top="0.75" bottom="0.75" header="0.5" footer="0.5"/>
  <pageSetup firstPageNumber="8" useFirstPageNumber="1" horizontalDpi="300" verticalDpi="300" orientation="landscape" scale="69" r:id="rId1"/>
  <headerFooter alignWithMargins="0">
    <oddHeader>&amp;C&amp;"Arial,Bold"TABLE A-15
CONSTRUCTION EQUIPMENT EMISSION FACTORS</oddHeader>
    <oddFooter>&amp;C&amp;"Arial Narrow,Regular"A-&amp;P&amp;R&amp;"Arial Narrow,Regular"5/21/03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0"/>
  <sheetViews>
    <sheetView showGridLines="0" zoomScalePageLayoutView="0" workbookViewId="0" topLeftCell="A1">
      <selection activeCell="O21" sqref="O21"/>
    </sheetView>
  </sheetViews>
  <sheetFormatPr defaultColWidth="9.140625" defaultRowHeight="12.75"/>
  <cols>
    <col min="1" max="1" width="25.28125" style="3" customWidth="1"/>
    <col min="2" max="14" width="7.57421875" style="3" customWidth="1"/>
    <col min="15" max="16" width="9.140625" style="3" customWidth="1"/>
    <col min="17" max="17" width="10.00390625" style="3" customWidth="1"/>
    <col min="18" max="16384" width="9.140625" style="3" customWidth="1"/>
  </cols>
  <sheetData>
    <row r="1" ht="13.5">
      <c r="A1" s="25" t="str">
        <f>'Tables A1-A9'!A1</f>
        <v>Chevron/Air Liquide EIR Construction Emissions</v>
      </c>
    </row>
    <row r="2" spans="1:8" ht="13.5">
      <c r="A2" s="1"/>
      <c r="B2" s="2"/>
      <c r="C2" s="2"/>
      <c r="D2" s="2"/>
      <c r="E2" s="2"/>
      <c r="F2" s="2"/>
      <c r="G2" s="2"/>
      <c r="H2" s="2"/>
    </row>
    <row r="3" spans="1:8" ht="13.5">
      <c r="A3" s="1"/>
      <c r="B3" s="2"/>
      <c r="C3" s="2"/>
      <c r="D3" s="2"/>
      <c r="E3" s="2"/>
      <c r="F3" s="2"/>
      <c r="G3" s="2"/>
      <c r="H3" s="2"/>
    </row>
    <row r="4" spans="1:8" ht="13.5">
      <c r="A4" s="4" t="s">
        <v>70</v>
      </c>
      <c r="B4" s="5"/>
      <c r="C4" s="5"/>
      <c r="D4" s="5"/>
      <c r="E4" s="5"/>
      <c r="F4" s="5"/>
      <c r="G4" s="5"/>
      <c r="H4" s="5"/>
    </row>
    <row r="5" spans="1:14" ht="13.5">
      <c r="A5" s="147" t="s">
        <v>41</v>
      </c>
      <c r="B5" s="149"/>
      <c r="C5" s="24" t="s">
        <v>10</v>
      </c>
      <c r="D5" s="7"/>
      <c r="E5" s="7"/>
      <c r="F5" s="7"/>
      <c r="G5" s="7"/>
      <c r="H5" s="7"/>
      <c r="I5" s="9"/>
      <c r="J5" s="9"/>
      <c r="K5" s="9"/>
      <c r="L5" s="9"/>
      <c r="M5" s="9"/>
      <c r="N5" s="10"/>
    </row>
    <row r="6" spans="1:14" ht="13.5">
      <c r="A6" s="148"/>
      <c r="B6" s="150"/>
      <c r="C6" s="94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</row>
    <row r="7" spans="1:14" ht="13.5">
      <c r="A7" s="97" t="s">
        <v>235</v>
      </c>
      <c r="B7" s="98"/>
      <c r="C7" s="132">
        <f>'Table A16'!$B$78*SUM('Table A15'!R11:R13)+'Table A16'!$C$78*'Table A15'!R9+'Table A16'!$D$78*SUM('Table A15'!R7:R8)+'Table A16'!$E$78*('Table A15'!R14+'Table A15'!R16+'Table A15'!R17)</f>
        <v>22.474890376011615</v>
      </c>
      <c r="D7" s="132">
        <f>'Table A16'!$B$78*SUM('Table A15'!S11:S13)+'Table A16'!$C$78*'Table A15'!S9+'Table A16'!$D$78*SUM('Table A15'!S7:S8)+'Table A16'!$E$78*('Table A15'!S14+'Table A15'!S16+'Table A15'!S17)</f>
        <v>23.726937139046136</v>
      </c>
      <c r="E7" s="132">
        <f>'Table A16'!$B$78*SUM('Table A15'!T11:T13)+'Table A16'!$C$78*'Table A15'!T9+'Table A16'!$D$78*SUM('Table A15'!T7:T8)+'Table A16'!$E$78*('Table A15'!T14+'Table A15'!T16+'Table A15'!T17)</f>
        <v>25.034331391898824</v>
      </c>
      <c r="F7" s="132">
        <f>'Table A16'!$B$78*SUM('Table A15'!U11:U13)+'Table A16'!$C$78*'Table A15'!U9+'Table A16'!$D$78*SUM('Table A15'!U7:U8)+'Table A16'!$E$78*('Table A15'!U14+'Table A15'!U16+'Table A15'!U17)</f>
        <v>27.833698157361614</v>
      </c>
      <c r="G7" s="132">
        <f>'Table A16'!$B$78*SUM('Table A15'!V11:V13)+'Table A16'!$C$78*'Table A15'!V9+'Table A16'!$D$78*SUM('Table A15'!V7:V8)+'Table A16'!$E$78*('Table A15'!V14+'Table A15'!V16+'Table A15'!V17)</f>
        <v>29.819417296681003</v>
      </c>
      <c r="H7" s="132">
        <f>'Table A16'!$B$78*SUM('Table A15'!W11:W13)+'Table A16'!$C$78*'Table A15'!W9+'Table A16'!$D$78*SUM('Table A15'!W7:W8)+'Table A16'!$E$78*('Table A15'!W14+'Table A15'!W16+'Table A15'!W17)</f>
        <v>28.647345783505006</v>
      </c>
      <c r="I7" s="132">
        <f>'Table A16'!$B$78*SUM('Table A15'!X11:X13)+'Table A16'!$C$78*'Table A15'!X9+'Table A16'!$D$78*SUM('Table A15'!X7:X8)+'Table A16'!$E$78*('Table A15'!X14+'Table A15'!X16+'Table A15'!X17)</f>
        <v>7.504477420386436</v>
      </c>
      <c r="J7" s="132">
        <f>'Table A16'!$B$78*SUM('Table A15'!Y11:Y13)+'Table A16'!$C$78*'Table A15'!Y9+'Table A16'!$D$78*SUM('Table A15'!Y7:Y8)+'Table A16'!$E$78*('Table A15'!Y14+'Table A15'!Y16+'Table A15'!Y17)</f>
        <v>7.504477420386436</v>
      </c>
      <c r="K7" s="132">
        <f>'Table A16'!$B$78*SUM('Table A15'!Z11:Z13)+'Table A16'!$C$78*'Table A15'!Z9+'Table A16'!$D$78*SUM('Table A15'!Z7:Z8)+'Table A16'!$E$78*('Table A15'!Z14+'Table A15'!Z16+'Table A15'!Z17)</f>
        <v>8.916474683138004</v>
      </c>
      <c r="L7" s="132">
        <f>'Table A16'!$B$78*SUM('Table A15'!AA11:AA13)+'Table A16'!$C$78*'Table A15'!AA9+'Table A16'!$D$78*SUM('Table A15'!AA7:AA8)+'Table A16'!$E$78*('Table A15'!AA14+'Table A15'!AA16+'Table A15'!AA17)</f>
        <v>7.556778925335873</v>
      </c>
      <c r="M7" s="132">
        <f>'Table A16'!$B$78*SUM('Table A15'!AB11:AB13)+'Table A16'!$C$78*'Table A15'!AB9+'Table A16'!$D$78*SUM('Table A15'!AB7:AB8)+'Table A16'!$E$78*('Table A15'!AB14+'Table A15'!AB16+'Table A15'!AB17)</f>
        <v>7.556778925335873</v>
      </c>
      <c r="N7" s="132">
        <f>'Table A16'!$B$78*SUM('Table A15'!AC11:AC13)+'Table A16'!$C$78*'Table A15'!AC9+'Table A16'!$D$78*SUM('Table A15'!AC7:AC8)+'Table A16'!$E$78*('Table A15'!AC14+'Table A15'!AC16+'Table A15'!AC17)</f>
        <v>4.079087273406391</v>
      </c>
    </row>
    <row r="8" spans="1:14" ht="13.5">
      <c r="A8" s="97" t="s">
        <v>249</v>
      </c>
      <c r="B8" s="99"/>
      <c r="C8" s="134">
        <f>0.00042*C42/27</f>
        <v>0.01757777777777778</v>
      </c>
      <c r="D8" s="134">
        <f aca="true" t="shared" si="0" ref="D8:N8">0.00042*D42</f>
        <v>0</v>
      </c>
      <c r="E8" s="134">
        <f t="shared" si="0"/>
        <v>0</v>
      </c>
      <c r="F8" s="134">
        <f t="shared" si="0"/>
        <v>0</v>
      </c>
      <c r="G8" s="134">
        <f t="shared" si="0"/>
        <v>0</v>
      </c>
      <c r="H8" s="134">
        <f t="shared" si="0"/>
        <v>0</v>
      </c>
      <c r="I8" s="134">
        <f t="shared" si="0"/>
        <v>0</v>
      </c>
      <c r="J8" s="134">
        <f t="shared" si="0"/>
        <v>0</v>
      </c>
      <c r="K8" s="134">
        <f t="shared" si="0"/>
        <v>0</v>
      </c>
      <c r="L8" s="134">
        <f t="shared" si="0"/>
        <v>0</v>
      </c>
      <c r="M8" s="134">
        <f t="shared" si="0"/>
        <v>0</v>
      </c>
      <c r="N8" s="134">
        <f t="shared" si="0"/>
        <v>0</v>
      </c>
    </row>
    <row r="9" spans="1:14" ht="13.5">
      <c r="A9" s="100" t="s">
        <v>250</v>
      </c>
      <c r="B9" s="101"/>
      <c r="C9" s="101">
        <f aca="true" t="shared" si="1" ref="C9:N9">0.85*$B$25/1.5*((365-$B$26)/235)*($B$27/15)*C20*(1-$B$29)*C21</f>
        <v>0.21882978723404253</v>
      </c>
      <c r="D9" s="133">
        <f t="shared" si="1"/>
        <v>0.21882978723404253</v>
      </c>
      <c r="E9" s="133">
        <f t="shared" si="1"/>
        <v>0.21882978723404253</v>
      </c>
      <c r="F9" s="133">
        <f t="shared" si="1"/>
        <v>0.21882978723404253</v>
      </c>
      <c r="G9" s="133">
        <f t="shared" si="1"/>
        <v>0.21882978723404253</v>
      </c>
      <c r="H9" s="133">
        <f t="shared" si="1"/>
        <v>0.21882978723404253</v>
      </c>
      <c r="I9" s="133">
        <f t="shared" si="1"/>
        <v>0.10941489361702127</v>
      </c>
      <c r="J9" s="133">
        <f t="shared" si="1"/>
        <v>0.10941489361702127</v>
      </c>
      <c r="K9" s="133">
        <f t="shared" si="1"/>
        <v>0.10941489361702127</v>
      </c>
      <c r="L9" s="133">
        <f t="shared" si="1"/>
        <v>0.10941489361702127</v>
      </c>
      <c r="M9" s="133">
        <f t="shared" si="1"/>
        <v>0.10941489361702127</v>
      </c>
      <c r="N9" s="133">
        <f t="shared" si="1"/>
        <v>0</v>
      </c>
    </row>
    <row r="10" spans="1:14" ht="13.5">
      <c r="A10" s="6" t="s">
        <v>11</v>
      </c>
      <c r="B10" s="10"/>
      <c r="C10" s="95">
        <f aca="true" t="shared" si="2" ref="C10:H10">SUM(C7:C9)</f>
        <v>22.711297941023435</v>
      </c>
      <c r="D10" s="17">
        <f t="shared" si="2"/>
        <v>23.94576692628018</v>
      </c>
      <c r="E10" s="17">
        <f t="shared" si="2"/>
        <v>25.253161179132867</v>
      </c>
      <c r="F10" s="17">
        <f t="shared" si="2"/>
        <v>28.052527944595656</v>
      </c>
      <c r="G10" s="17">
        <f t="shared" si="2"/>
        <v>30.038247083915046</v>
      </c>
      <c r="H10" s="17">
        <f t="shared" si="2"/>
        <v>28.86617557073905</v>
      </c>
      <c r="I10" s="17">
        <f aca="true" t="shared" si="3" ref="I10:N10">SUM(I7:I9)</f>
        <v>7.613892314003458</v>
      </c>
      <c r="J10" s="17">
        <f t="shared" si="3"/>
        <v>7.613892314003458</v>
      </c>
      <c r="K10" s="17">
        <f t="shared" si="3"/>
        <v>9.025889576755025</v>
      </c>
      <c r="L10" s="17">
        <f t="shared" si="3"/>
        <v>7.666193818952895</v>
      </c>
      <c r="M10" s="17">
        <f t="shared" si="3"/>
        <v>7.666193818952895</v>
      </c>
      <c r="N10" s="17">
        <f t="shared" si="3"/>
        <v>4.079087273406391</v>
      </c>
    </row>
    <row r="12" ht="13.5">
      <c r="A12" s="3" t="s">
        <v>54</v>
      </c>
    </row>
    <row r="13" ht="13.5">
      <c r="A13" s="3" t="s">
        <v>254</v>
      </c>
    </row>
    <row r="16" spans="1:3" ht="13.5">
      <c r="A16" s="25" t="s">
        <v>181</v>
      </c>
      <c r="C16" s="29"/>
    </row>
    <row r="17" ht="13.5">
      <c r="C17" s="29"/>
    </row>
    <row r="18" spans="1:14" ht="13.5">
      <c r="A18" s="144" t="s">
        <v>240</v>
      </c>
      <c r="B18" s="151" t="s">
        <v>97</v>
      </c>
      <c r="C18" s="24" t="s">
        <v>10</v>
      </c>
      <c r="D18" s="7"/>
      <c r="E18" s="7"/>
      <c r="F18" s="7"/>
      <c r="G18" s="7"/>
      <c r="H18" s="7"/>
      <c r="I18" s="9"/>
      <c r="J18" s="9"/>
      <c r="K18" s="9"/>
      <c r="L18" s="9"/>
      <c r="M18" s="9"/>
      <c r="N18" s="10"/>
    </row>
    <row r="19" spans="1:14" ht="13.5">
      <c r="A19" s="144"/>
      <c r="B19" s="144"/>
      <c r="C19" s="26">
        <v>1</v>
      </c>
      <c r="D19" s="26">
        <v>2</v>
      </c>
      <c r="E19" s="26">
        <v>3</v>
      </c>
      <c r="F19" s="26">
        <v>4</v>
      </c>
      <c r="G19" s="26">
        <v>5</v>
      </c>
      <c r="H19" s="26">
        <v>6</v>
      </c>
      <c r="I19" s="26">
        <v>7</v>
      </c>
      <c r="J19" s="26">
        <v>8</v>
      </c>
      <c r="K19" s="26">
        <v>9</v>
      </c>
      <c r="L19" s="26">
        <v>10</v>
      </c>
      <c r="M19" s="26">
        <v>11</v>
      </c>
      <c r="N19" s="26">
        <v>12</v>
      </c>
    </row>
    <row r="20" spans="1:14" ht="13.5">
      <c r="A20" s="30" t="s">
        <v>208</v>
      </c>
      <c r="B20" s="19" t="s">
        <v>192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0.5</v>
      </c>
      <c r="J20" s="15">
        <v>0.5</v>
      </c>
      <c r="K20" s="15">
        <v>0.5</v>
      </c>
      <c r="L20" s="15">
        <v>0.5</v>
      </c>
      <c r="M20" s="15">
        <v>0.5</v>
      </c>
      <c r="N20" s="15">
        <v>0</v>
      </c>
    </row>
    <row r="21" spans="1:14" ht="13.5">
      <c r="A21" s="30" t="s">
        <v>213</v>
      </c>
      <c r="B21" s="19" t="s">
        <v>193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</row>
    <row r="23" spans="1:3" ht="13.5">
      <c r="A23" s="3" t="s">
        <v>182</v>
      </c>
      <c r="C23" s="29"/>
    </row>
    <row r="24" ht="13.5">
      <c r="C24" s="29"/>
    </row>
    <row r="25" spans="1:3" ht="13.5">
      <c r="A25" s="60" t="s">
        <v>183</v>
      </c>
      <c r="B25" s="60">
        <v>7.5</v>
      </c>
      <c r="C25" s="50" t="s">
        <v>190</v>
      </c>
    </row>
    <row r="26" spans="1:3" ht="13.5">
      <c r="A26" s="60" t="s">
        <v>189</v>
      </c>
      <c r="B26" s="60">
        <v>2</v>
      </c>
      <c r="C26" s="50" t="s">
        <v>207</v>
      </c>
    </row>
    <row r="27" spans="1:3" ht="13.5">
      <c r="A27" s="60" t="s">
        <v>191</v>
      </c>
      <c r="B27" s="81">
        <v>0.5</v>
      </c>
      <c r="C27" s="50" t="s">
        <v>40</v>
      </c>
    </row>
    <row r="28" spans="1:3" ht="13.5">
      <c r="A28" s="60" t="s">
        <v>184</v>
      </c>
      <c r="B28" s="60"/>
      <c r="C28" s="50" t="s">
        <v>253</v>
      </c>
    </row>
    <row r="29" spans="1:3" ht="13.5">
      <c r="A29" s="60" t="s">
        <v>185</v>
      </c>
      <c r="B29" s="81">
        <v>0</v>
      </c>
      <c r="C29" s="50" t="s">
        <v>40</v>
      </c>
    </row>
    <row r="30" spans="1:3" ht="13.5">
      <c r="A30" s="83"/>
      <c r="C30" s="50"/>
    </row>
    <row r="31" ht="13.5">
      <c r="C31" s="29"/>
    </row>
    <row r="32" spans="1:3" ht="13.5">
      <c r="A32" s="3" t="s">
        <v>186</v>
      </c>
      <c r="C32" s="29"/>
    </row>
    <row r="33" spans="1:3" ht="13.5">
      <c r="A33" s="3" t="s">
        <v>187</v>
      </c>
      <c r="C33" s="29"/>
    </row>
    <row r="34" spans="1:3" ht="13.5">
      <c r="A34" s="3" t="s">
        <v>188</v>
      </c>
      <c r="C34" s="29"/>
    </row>
    <row r="36" spans="1:3" ht="13.5">
      <c r="A36" s="25" t="s">
        <v>247</v>
      </c>
      <c r="C36" s="29"/>
    </row>
    <row r="37" ht="13.5">
      <c r="C37" s="29"/>
    </row>
    <row r="38" spans="1:3" ht="13.5">
      <c r="A38" s="3" t="s">
        <v>260</v>
      </c>
      <c r="C38" s="29"/>
    </row>
    <row r="39" ht="13.5">
      <c r="C39" s="29"/>
    </row>
    <row r="40" spans="1:14" ht="13.5">
      <c r="A40" s="144" t="s">
        <v>240</v>
      </c>
      <c r="B40" s="151" t="s">
        <v>97</v>
      </c>
      <c r="C40" s="24" t="s">
        <v>10</v>
      </c>
      <c r="D40" s="7"/>
      <c r="E40" s="7"/>
      <c r="F40" s="7"/>
      <c r="G40" s="7"/>
      <c r="H40" s="7"/>
      <c r="I40" s="9"/>
      <c r="J40" s="9"/>
      <c r="K40" s="9"/>
      <c r="L40" s="9"/>
      <c r="M40" s="9"/>
      <c r="N40" s="10"/>
    </row>
    <row r="41" spans="1:14" ht="13.5">
      <c r="A41" s="144"/>
      <c r="B41" s="144"/>
      <c r="C41" s="26">
        <v>1</v>
      </c>
      <c r="D41" s="26">
        <v>2</v>
      </c>
      <c r="E41" s="26">
        <v>3</v>
      </c>
      <c r="F41" s="26">
        <v>4</v>
      </c>
      <c r="G41" s="26">
        <v>5</v>
      </c>
      <c r="H41" s="26">
        <v>6</v>
      </c>
      <c r="I41" s="26">
        <v>7</v>
      </c>
      <c r="J41" s="26">
        <v>8</v>
      </c>
      <c r="K41" s="26">
        <v>9</v>
      </c>
      <c r="L41" s="26">
        <v>10</v>
      </c>
      <c r="M41" s="26">
        <v>11</v>
      </c>
      <c r="N41" s="26">
        <v>12</v>
      </c>
    </row>
    <row r="42" spans="1:14" ht="13.5">
      <c r="A42" s="30" t="s">
        <v>244</v>
      </c>
      <c r="B42" s="19" t="s">
        <v>245</v>
      </c>
      <c r="C42" s="14">
        <v>1130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13.5">
      <c r="A43" s="30"/>
      <c r="B43" s="1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3" ht="13.5">
      <c r="A44" s="60"/>
      <c r="B44" s="81"/>
      <c r="C44" s="50"/>
    </row>
    <row r="45" spans="1:3" ht="13.5">
      <c r="A45" s="3" t="s">
        <v>246</v>
      </c>
      <c r="C45" s="50"/>
    </row>
    <row r="46" spans="1:3" ht="13.5">
      <c r="A46" s="3" t="s">
        <v>262</v>
      </c>
      <c r="C46" s="29"/>
    </row>
    <row r="47" ht="13.5">
      <c r="C47" s="29"/>
    </row>
    <row r="48" spans="1:8" ht="13.5">
      <c r="A48" s="25" t="s">
        <v>206</v>
      </c>
      <c r="C48" s="29"/>
      <c r="G48" s="109"/>
      <c r="H48" s="109"/>
    </row>
    <row r="49" spans="7:8" ht="13.5">
      <c r="G49" s="109"/>
      <c r="H49" s="109"/>
    </row>
    <row r="50" spans="1:8" ht="27">
      <c r="A50" s="77"/>
      <c r="B50" s="7" t="s">
        <v>257</v>
      </c>
      <c r="C50" s="102" t="s">
        <v>236</v>
      </c>
      <c r="D50" s="7" t="s">
        <v>202</v>
      </c>
      <c r="E50" s="7" t="s">
        <v>256</v>
      </c>
      <c r="G50" s="127" t="s">
        <v>203</v>
      </c>
      <c r="H50" s="127" t="s">
        <v>204</v>
      </c>
    </row>
    <row r="51" spans="1:8" ht="13.5">
      <c r="A51" s="1" t="s">
        <v>120</v>
      </c>
      <c r="B51" s="29"/>
      <c r="C51" s="78"/>
      <c r="G51" s="110"/>
      <c r="H51" s="110"/>
    </row>
    <row r="52" spans="1:8" ht="13.5">
      <c r="A52" s="79" t="s">
        <v>121</v>
      </c>
      <c r="B52" s="65">
        <f aca="true" t="shared" si="4" ref="B52:H52">45/60</f>
        <v>0.75</v>
      </c>
      <c r="C52" s="65">
        <f t="shared" si="4"/>
        <v>0.75</v>
      </c>
      <c r="D52" s="65">
        <f t="shared" si="4"/>
        <v>0.75</v>
      </c>
      <c r="E52" s="65">
        <f t="shared" si="4"/>
        <v>0.75</v>
      </c>
      <c r="G52" s="111">
        <f t="shared" si="4"/>
        <v>0.75</v>
      </c>
      <c r="H52" s="111">
        <f t="shared" si="4"/>
        <v>0.75</v>
      </c>
    </row>
    <row r="53" spans="1:8" ht="13.5">
      <c r="A53" s="60" t="s">
        <v>259</v>
      </c>
      <c r="B53" s="66">
        <v>70000</v>
      </c>
      <c r="C53" s="80" t="s">
        <v>117</v>
      </c>
      <c r="D53" s="66">
        <v>18000</v>
      </c>
      <c r="E53" s="66">
        <v>15000</v>
      </c>
      <c r="G53" s="112" t="s">
        <v>117</v>
      </c>
      <c r="H53" s="113" t="s">
        <v>117</v>
      </c>
    </row>
    <row r="54" spans="1:8" ht="13.5">
      <c r="A54" s="60" t="s">
        <v>122</v>
      </c>
      <c r="B54" s="60" t="s">
        <v>117</v>
      </c>
      <c r="C54" s="60" t="s">
        <v>117</v>
      </c>
      <c r="D54" s="60">
        <v>0.5</v>
      </c>
      <c r="E54" s="60" t="s">
        <v>117</v>
      </c>
      <c r="G54" s="113">
        <v>16</v>
      </c>
      <c r="H54" s="113" t="s">
        <v>117</v>
      </c>
    </row>
    <row r="55" spans="1:8" ht="13.5">
      <c r="A55" s="60" t="s">
        <v>123</v>
      </c>
      <c r="B55" s="60" t="s">
        <v>117</v>
      </c>
      <c r="C55" s="60" t="s">
        <v>117</v>
      </c>
      <c r="D55" s="67">
        <f>0.27*3</f>
        <v>0.81</v>
      </c>
      <c r="E55" s="60" t="s">
        <v>117</v>
      </c>
      <c r="G55" s="113">
        <v>10</v>
      </c>
      <c r="H55" s="113" t="s">
        <v>117</v>
      </c>
    </row>
    <row r="56" spans="1:8" ht="13.5">
      <c r="A56" s="60" t="s">
        <v>124</v>
      </c>
      <c r="B56" s="60" t="s">
        <v>117</v>
      </c>
      <c r="C56" s="60" t="s">
        <v>117</v>
      </c>
      <c r="D56" s="68">
        <f>ROUNDDOWN(60/D55*D52,0)</f>
        <v>55</v>
      </c>
      <c r="E56" s="60" t="s">
        <v>117</v>
      </c>
      <c r="G56" s="114">
        <f>ROUND(60/G55*G52,1)</f>
        <v>4.5</v>
      </c>
      <c r="H56" s="113" t="s">
        <v>117</v>
      </c>
    </row>
    <row r="57" spans="1:8" ht="13.5">
      <c r="A57" s="60" t="s">
        <v>125</v>
      </c>
      <c r="B57" s="60" t="s">
        <v>117</v>
      </c>
      <c r="C57" s="60" t="s">
        <v>117</v>
      </c>
      <c r="D57" s="70">
        <f>D54*D56*D52</f>
        <v>20.625</v>
      </c>
      <c r="E57" s="60" t="s">
        <v>117</v>
      </c>
      <c r="G57" s="115">
        <f>G54*G56*G52</f>
        <v>54</v>
      </c>
      <c r="H57" s="113" t="s">
        <v>117</v>
      </c>
    </row>
    <row r="58" spans="1:8" ht="13.5">
      <c r="A58" s="60" t="s">
        <v>214</v>
      </c>
      <c r="B58" s="60" t="s">
        <v>117</v>
      </c>
      <c r="C58" s="60" t="s">
        <v>117</v>
      </c>
      <c r="D58" s="70">
        <f>D57*'Table A15'!$AD$7</f>
        <v>185.625</v>
      </c>
      <c r="E58" s="60" t="s">
        <v>117</v>
      </c>
      <c r="G58" s="113">
        <f>G57*8</f>
        <v>432</v>
      </c>
      <c r="H58" s="113" t="s">
        <v>117</v>
      </c>
    </row>
    <row r="59" spans="1:8" ht="13.5">
      <c r="A59" s="60"/>
      <c r="B59" s="60"/>
      <c r="C59" s="29"/>
      <c r="D59" s="29"/>
      <c r="G59" s="109"/>
      <c r="H59" s="110"/>
    </row>
    <row r="60" spans="1:8" ht="13.5">
      <c r="A60" s="60" t="s">
        <v>126</v>
      </c>
      <c r="B60" s="60" t="s">
        <v>117</v>
      </c>
      <c r="C60" s="60" t="s">
        <v>117</v>
      </c>
      <c r="D60" s="60">
        <v>5</v>
      </c>
      <c r="E60" s="60" t="s">
        <v>117</v>
      </c>
      <c r="G60" s="113" t="s">
        <v>117</v>
      </c>
      <c r="H60" s="113" t="s">
        <v>117</v>
      </c>
    </row>
    <row r="61" spans="1:8" ht="13.5">
      <c r="A61" s="60" t="s">
        <v>127</v>
      </c>
      <c r="B61" s="70" t="s">
        <v>117</v>
      </c>
      <c r="C61" s="60" t="s">
        <v>117</v>
      </c>
      <c r="D61" s="70">
        <f>D60*D56</f>
        <v>275</v>
      </c>
      <c r="E61" s="70" t="s">
        <v>117</v>
      </c>
      <c r="G61" s="115" t="s">
        <v>117</v>
      </c>
      <c r="H61" s="115" t="s">
        <v>117</v>
      </c>
    </row>
    <row r="62" spans="1:8" ht="13.5">
      <c r="A62" s="60" t="s">
        <v>128</v>
      </c>
      <c r="B62" s="71">
        <v>0.04</v>
      </c>
      <c r="C62" s="60" t="s">
        <v>117</v>
      </c>
      <c r="D62" s="71">
        <f>D61/5280</f>
        <v>0.052083333333333336</v>
      </c>
      <c r="E62" s="71">
        <v>0.08</v>
      </c>
      <c r="G62" s="115" t="s">
        <v>117</v>
      </c>
      <c r="H62" s="115" t="s">
        <v>117</v>
      </c>
    </row>
    <row r="63" spans="1:8" ht="13.5">
      <c r="A63" s="60" t="s">
        <v>205</v>
      </c>
      <c r="B63" s="67">
        <f>B62*9</f>
        <v>0.36</v>
      </c>
      <c r="C63" s="60" t="s">
        <v>117</v>
      </c>
      <c r="D63" s="67">
        <f>D62*9</f>
        <v>0.46875</v>
      </c>
      <c r="E63" s="67">
        <f>E62*9</f>
        <v>0.72</v>
      </c>
      <c r="G63" s="116">
        <f>'Tables A18-A25'!B6</f>
        <v>10</v>
      </c>
      <c r="H63" s="116">
        <f>'Tables A18-A25'!B5</f>
        <v>5</v>
      </c>
    </row>
    <row r="64" spans="2:8" ht="13.5">
      <c r="B64" s="29"/>
      <c r="C64" s="60"/>
      <c r="G64" s="110"/>
      <c r="H64" s="110"/>
    </row>
    <row r="65" spans="1:8" ht="13.5">
      <c r="A65" s="1" t="s">
        <v>129</v>
      </c>
      <c r="B65" s="60" t="s">
        <v>118</v>
      </c>
      <c r="C65" s="60" t="s">
        <v>117</v>
      </c>
      <c r="D65" s="60" t="s">
        <v>118</v>
      </c>
      <c r="E65" s="60" t="s">
        <v>118</v>
      </c>
      <c r="G65" s="113" t="s">
        <v>118</v>
      </c>
      <c r="H65" s="113" t="s">
        <v>118</v>
      </c>
    </row>
    <row r="66" spans="1:8" ht="13.5">
      <c r="A66" s="60" t="s">
        <v>130</v>
      </c>
      <c r="B66" s="67">
        <f>B53/2000</f>
        <v>35</v>
      </c>
      <c r="C66" s="60" t="s">
        <v>117</v>
      </c>
      <c r="D66" s="67">
        <f>D53/2000</f>
        <v>9</v>
      </c>
      <c r="E66" s="67">
        <f>E53/2000</f>
        <v>7.5</v>
      </c>
      <c r="G66" s="116">
        <f>'Table A-26'!C9</f>
        <v>20</v>
      </c>
      <c r="H66" s="116">
        <f>'Table A-26'!C8</f>
        <v>3</v>
      </c>
    </row>
    <row r="67" spans="1:8" ht="13.5">
      <c r="A67" s="60" t="s">
        <v>131</v>
      </c>
      <c r="B67" s="72">
        <f>($B$90*($B$91/12)^0.8*(B66/3)^0.4)/(($B$96/0.2)^0.3)</f>
        <v>1.815825351184295</v>
      </c>
      <c r="C67" s="60" t="s">
        <v>117</v>
      </c>
      <c r="D67" s="72">
        <f>($B$90*($B$91/12)^0.8*(D66/3)^0.4)/(($B$96/0.2)^0.3)</f>
        <v>1.054736222539743</v>
      </c>
      <c r="E67" s="72">
        <f>($B$90*($B$91/12)^0.8*(E66/3)^0.4)/(($B$96/0.2)^0.3)</f>
        <v>0.9805536546885892</v>
      </c>
      <c r="G67" s="117">
        <f>($B$90*($B$91/12)^0.8*(G66/3)^0.4)/(($B$96/0.2)^0.3)</f>
        <v>1.4516397624349533</v>
      </c>
      <c r="H67" s="117">
        <f>($B$90*($B$91/12)^0.8*(H66/3)^0.4)/(($B$96/0.2)^0.3)</f>
        <v>0.6796657091843277</v>
      </c>
    </row>
    <row r="68" spans="1:8" ht="13.5">
      <c r="A68" s="60" t="s">
        <v>132</v>
      </c>
      <c r="B68" s="69">
        <v>0</v>
      </c>
      <c r="C68" s="69">
        <v>0</v>
      </c>
      <c r="D68" s="69">
        <v>0</v>
      </c>
      <c r="E68" s="69">
        <v>0</v>
      </c>
      <c r="G68" s="118">
        <v>0</v>
      </c>
      <c r="H68" s="118">
        <v>0</v>
      </c>
    </row>
    <row r="69" spans="1:8" ht="13.5">
      <c r="A69" s="60" t="s">
        <v>133</v>
      </c>
      <c r="B69" s="71">
        <f>B67*B62*(1-B68)</f>
        <v>0.0726330140473718</v>
      </c>
      <c r="C69" s="72">
        <f>(($B$114)^1.5)/(($B$116)^1.4)*0.75*(1-C68)*C52</f>
        <v>1.2138259441385753</v>
      </c>
      <c r="D69" s="71">
        <f>D67*D62*(1-D68)</f>
        <v>0.05493417825727828</v>
      </c>
      <c r="E69" s="71">
        <f>E67*E62*(1-E68)</f>
        <v>0.07844429237508714</v>
      </c>
      <c r="G69" s="113" t="s">
        <v>117</v>
      </c>
      <c r="H69" s="113" t="s">
        <v>117</v>
      </c>
    </row>
    <row r="70" spans="1:8" ht="13.5">
      <c r="A70" s="60" t="s">
        <v>134</v>
      </c>
      <c r="B70" s="71">
        <f>B69*9</f>
        <v>0.6536971264263461</v>
      </c>
      <c r="C70" s="71">
        <f>C69*9</f>
        <v>10.924433497247177</v>
      </c>
      <c r="D70" s="71">
        <f>D69*9</f>
        <v>0.49440760431550457</v>
      </c>
      <c r="E70" s="71">
        <f>E69*9</f>
        <v>0.7059986313757842</v>
      </c>
      <c r="G70" s="119">
        <f>G63*G67*(1-G68)</f>
        <v>14.516397624349533</v>
      </c>
      <c r="H70" s="119">
        <f>H63*H67*(1-H68)</f>
        <v>3.3983285459216384</v>
      </c>
    </row>
    <row r="71" spans="1:8" ht="13.5">
      <c r="A71" s="60"/>
      <c r="B71" s="73"/>
      <c r="C71" s="82"/>
      <c r="G71" s="110"/>
      <c r="H71" s="110"/>
    </row>
    <row r="72" spans="1:8" ht="13.5">
      <c r="A72" s="1" t="s">
        <v>135</v>
      </c>
      <c r="B72" s="29" t="s">
        <v>119</v>
      </c>
      <c r="C72" s="29"/>
      <c r="G72" s="110"/>
      <c r="H72" s="110"/>
    </row>
    <row r="73" spans="1:8" ht="13.5">
      <c r="A73" s="60" t="s">
        <v>136</v>
      </c>
      <c r="B73" s="60" t="s">
        <v>117</v>
      </c>
      <c r="C73" s="60" t="s">
        <v>117</v>
      </c>
      <c r="D73" s="74">
        <f>($B$103*0.0032*(($B$104/5)^1.3)*($B$106/2)^-1.4)</f>
        <v>0.0005260422749870315</v>
      </c>
      <c r="E73" s="60" t="s">
        <v>117</v>
      </c>
      <c r="G73" s="120">
        <f>($B$103*0.0032*(($B$104/5)^1.3)*($B$106/2)^-1.4)</f>
        <v>0.0005260422749870315</v>
      </c>
      <c r="H73" s="113" t="s">
        <v>117</v>
      </c>
    </row>
    <row r="74" spans="1:8" ht="13.5">
      <c r="A74" s="60" t="s">
        <v>137</v>
      </c>
      <c r="B74" s="60" t="s">
        <v>117</v>
      </c>
      <c r="C74" s="60" t="s">
        <v>117</v>
      </c>
      <c r="D74" s="68">
        <f>ROUND(D57*$B$85/2000,1)</f>
        <v>27.8</v>
      </c>
      <c r="E74" s="60" t="s">
        <v>117</v>
      </c>
      <c r="G74" s="121">
        <f>ROUND(G57*$B$85/2000,1)</f>
        <v>72.9</v>
      </c>
      <c r="H74" s="113" t="s">
        <v>117</v>
      </c>
    </row>
    <row r="75" spans="1:8" ht="13.5">
      <c r="A75" s="60" t="s">
        <v>133</v>
      </c>
      <c r="B75" s="60" t="s">
        <v>117</v>
      </c>
      <c r="C75" s="60" t="s">
        <v>117</v>
      </c>
      <c r="D75" s="75">
        <f>D73*D74*(1-$B$108)</f>
        <v>0.014623975244639476</v>
      </c>
      <c r="E75" s="60" t="s">
        <v>117</v>
      </c>
      <c r="G75" s="122">
        <f>G73*G74*(1-$B$108)</f>
        <v>0.0383484818465546</v>
      </c>
      <c r="H75" s="113" t="s">
        <v>117</v>
      </c>
    </row>
    <row r="76" spans="1:8" ht="13.5">
      <c r="A76" s="60" t="s">
        <v>134</v>
      </c>
      <c r="B76" s="60" t="s">
        <v>117</v>
      </c>
      <c r="C76" s="60" t="s">
        <v>117</v>
      </c>
      <c r="D76" s="75">
        <f>D75*9</f>
        <v>0.1316157772017553</v>
      </c>
      <c r="E76" s="60" t="s">
        <v>117</v>
      </c>
      <c r="G76" s="122">
        <f>G75*8</f>
        <v>0.3067878547724368</v>
      </c>
      <c r="H76" s="113" t="s">
        <v>117</v>
      </c>
    </row>
    <row r="77" spans="2:8" ht="13.5">
      <c r="B77" s="29"/>
      <c r="C77" s="29"/>
      <c r="G77" s="110"/>
      <c r="H77" s="110"/>
    </row>
    <row r="78" spans="1:8" ht="13.5">
      <c r="A78" s="83" t="s">
        <v>138</v>
      </c>
      <c r="B78" s="84">
        <f>B70</f>
        <v>0.6536971264263461</v>
      </c>
      <c r="C78" s="84">
        <f>C70</f>
        <v>10.924433497247177</v>
      </c>
      <c r="D78" s="76">
        <f>(D70+D76)</f>
        <v>0.6260233815172599</v>
      </c>
      <c r="E78" s="84">
        <f>E70</f>
        <v>0.7059986313757842</v>
      </c>
      <c r="G78" s="123">
        <f>(G70+G76)</f>
        <v>14.823185479121971</v>
      </c>
      <c r="H78" s="124">
        <f>H70</f>
        <v>3.3983285459216384</v>
      </c>
    </row>
    <row r="79" spans="1:8" ht="13.5">
      <c r="A79" s="83"/>
      <c r="B79" s="85"/>
      <c r="C79" s="85"/>
      <c r="E79" s="29"/>
      <c r="G79" s="125"/>
      <c r="H79" s="110"/>
    </row>
    <row r="80" spans="1:9" ht="13.5">
      <c r="A80" s="50" t="s">
        <v>54</v>
      </c>
      <c r="B80" s="86"/>
      <c r="C80" s="86"/>
      <c r="D80" s="86"/>
      <c r="G80" s="126"/>
      <c r="H80" s="110"/>
      <c r="I80" s="29"/>
    </row>
    <row r="81" spans="1:9" ht="13.5">
      <c r="A81" s="20"/>
      <c r="B81" s="86"/>
      <c r="C81" s="86"/>
      <c r="D81" s="86"/>
      <c r="F81" s="29"/>
      <c r="G81" s="29"/>
      <c r="H81"/>
      <c r="I81" s="29"/>
    </row>
    <row r="82" spans="1:9" ht="13.5">
      <c r="A82" s="87" t="s">
        <v>139</v>
      </c>
      <c r="B82" s="86"/>
      <c r="C82" s="86"/>
      <c r="D82" s="86"/>
      <c r="F82" s="29"/>
      <c r="G82" s="29"/>
      <c r="H82"/>
      <c r="I82" s="60"/>
    </row>
    <row r="83" spans="1:9" ht="13.5">
      <c r="A83" s="20" t="s">
        <v>261</v>
      </c>
      <c r="B83" s="86"/>
      <c r="C83" s="86"/>
      <c r="D83" s="86"/>
      <c r="F83" s="29"/>
      <c r="G83" s="29"/>
      <c r="H83"/>
      <c r="I83" s="29"/>
    </row>
    <row r="84" spans="1:9" ht="13.5">
      <c r="A84" s="3" t="s">
        <v>140</v>
      </c>
      <c r="B84" s="29"/>
      <c r="C84" s="29"/>
      <c r="D84" s="29"/>
      <c r="F84" s="29"/>
      <c r="G84" s="29"/>
      <c r="H84"/>
      <c r="I84" s="60"/>
    </row>
    <row r="85" spans="1:9" ht="13.5">
      <c r="A85" s="79" t="s">
        <v>141</v>
      </c>
      <c r="B85" s="80">
        <v>2700</v>
      </c>
      <c r="C85" s="88" t="s">
        <v>142</v>
      </c>
      <c r="D85" s="86"/>
      <c r="F85" s="29"/>
      <c r="G85" s="29"/>
      <c r="H85"/>
      <c r="I85" s="60"/>
    </row>
    <row r="86" spans="1:9" ht="13.5">
      <c r="A86" s="20"/>
      <c r="B86" s="70"/>
      <c r="C86" s="88"/>
      <c r="D86" s="86"/>
      <c r="F86" s="29"/>
      <c r="G86" s="29"/>
      <c r="H86"/>
      <c r="I86" s="60"/>
    </row>
    <row r="87" spans="1:9" ht="13.5">
      <c r="A87" s="89" t="s">
        <v>143</v>
      </c>
      <c r="B87" s="86"/>
      <c r="C87" s="86"/>
      <c r="D87" s="86"/>
      <c r="F87" s="29"/>
      <c r="G87" s="29"/>
      <c r="H87"/>
      <c r="I87" s="60"/>
    </row>
    <row r="88" spans="1:9" ht="13.5">
      <c r="A88" s="3" t="s">
        <v>144</v>
      </c>
      <c r="B88" s="29"/>
      <c r="C88" s="29"/>
      <c r="D88" s="29"/>
      <c r="F88" s="29"/>
      <c r="G88" s="29"/>
      <c r="H88"/>
      <c r="I88" s="29"/>
    </row>
    <row r="89" spans="1:9" ht="13.5">
      <c r="A89" s="3" t="s">
        <v>145</v>
      </c>
      <c r="B89" s="29"/>
      <c r="C89" s="29"/>
      <c r="D89" s="29"/>
      <c r="F89" s="29"/>
      <c r="G89" s="29"/>
      <c r="H89"/>
      <c r="I89" s="29"/>
    </row>
    <row r="90" spans="1:9" ht="13.5">
      <c r="A90" s="60" t="s">
        <v>146</v>
      </c>
      <c r="B90" s="60">
        <v>2.6</v>
      </c>
      <c r="C90" s="50" t="s">
        <v>147</v>
      </c>
      <c r="D90" s="29"/>
      <c r="F90" s="29"/>
      <c r="G90" s="29"/>
      <c r="H90"/>
      <c r="I90" s="29"/>
    </row>
    <row r="91" spans="1:9" ht="13.5">
      <c r="A91" s="60" t="s">
        <v>148</v>
      </c>
      <c r="B91" s="60">
        <v>7.5</v>
      </c>
      <c r="C91" s="50" t="s">
        <v>149</v>
      </c>
      <c r="D91" s="29"/>
      <c r="F91" s="29"/>
      <c r="G91" s="29"/>
      <c r="H91"/>
      <c r="I91" s="29"/>
    </row>
    <row r="92" spans="1:8" ht="13.5">
      <c r="A92" s="60" t="s">
        <v>150</v>
      </c>
      <c r="B92" s="60">
        <v>0.8</v>
      </c>
      <c r="C92" s="50" t="s">
        <v>151</v>
      </c>
      <c r="D92" s="29"/>
      <c r="F92" s="29"/>
      <c r="G92" s="29"/>
      <c r="H92"/>
    </row>
    <row r="93" spans="1:8" ht="13.5">
      <c r="A93" s="60" t="s">
        <v>152</v>
      </c>
      <c r="B93" s="60">
        <v>0.4</v>
      </c>
      <c r="C93" s="50" t="s">
        <v>151</v>
      </c>
      <c r="D93" s="29"/>
      <c r="F93" s="29"/>
      <c r="G93" s="29"/>
      <c r="H93"/>
    </row>
    <row r="94" spans="1:8" ht="13.5">
      <c r="A94" s="60" t="s">
        <v>153</v>
      </c>
      <c r="B94" s="60">
        <v>0.3</v>
      </c>
      <c r="C94" s="50" t="s">
        <v>151</v>
      </c>
      <c r="D94" s="29"/>
      <c r="F94" s="29"/>
      <c r="G94" s="29"/>
      <c r="H94"/>
    </row>
    <row r="95" spans="1:8" ht="13.5">
      <c r="A95" s="60" t="s">
        <v>154</v>
      </c>
      <c r="B95" s="60" t="s">
        <v>155</v>
      </c>
      <c r="C95" s="50" t="s">
        <v>156</v>
      </c>
      <c r="D95" s="29"/>
      <c r="F95" s="29"/>
      <c r="G95" s="29"/>
      <c r="H95"/>
    </row>
    <row r="96" spans="1:8" ht="13.5">
      <c r="A96" s="60" t="s">
        <v>157</v>
      </c>
      <c r="B96" s="60">
        <v>5</v>
      </c>
      <c r="C96" s="50" t="s">
        <v>158</v>
      </c>
      <c r="D96" s="29"/>
      <c r="F96" s="29"/>
      <c r="G96" s="29"/>
      <c r="H96"/>
    </row>
    <row r="97" spans="1:8" ht="13.5">
      <c r="A97" s="60"/>
      <c r="B97" s="29"/>
      <c r="C97" s="50" t="s">
        <v>159</v>
      </c>
      <c r="D97" s="29"/>
      <c r="F97" s="29"/>
      <c r="G97" s="29"/>
      <c r="H97"/>
    </row>
    <row r="98" spans="1:8" ht="13.5">
      <c r="A98" s="20"/>
      <c r="B98" s="29"/>
      <c r="C98" s="29"/>
      <c r="D98" s="29"/>
      <c r="F98" s="29"/>
      <c r="G98" s="29"/>
      <c r="H98"/>
    </row>
    <row r="99" spans="1:8" ht="13.5">
      <c r="A99" s="87" t="s">
        <v>135</v>
      </c>
      <c r="B99" s="29"/>
      <c r="C99" s="29"/>
      <c r="D99" s="29"/>
      <c r="F99" s="29"/>
      <c r="G99" s="29"/>
      <c r="H99"/>
    </row>
    <row r="100" spans="1:8" ht="13.5">
      <c r="A100" s="3" t="s">
        <v>167</v>
      </c>
      <c r="B100" s="29"/>
      <c r="C100" s="50"/>
      <c r="D100" s="29"/>
      <c r="F100" s="29"/>
      <c r="G100" s="29"/>
      <c r="H100"/>
    </row>
    <row r="101" spans="1:8" ht="13.5">
      <c r="A101" s="3" t="s">
        <v>268</v>
      </c>
      <c r="B101" s="29"/>
      <c r="C101" s="29"/>
      <c r="D101" s="29"/>
      <c r="F101" s="29"/>
      <c r="G101" s="29"/>
      <c r="H101"/>
    </row>
    <row r="102" spans="1:8" ht="13.5">
      <c r="A102" s="3" t="s">
        <v>267</v>
      </c>
      <c r="B102" s="29"/>
      <c r="C102" s="29"/>
      <c r="D102" s="29"/>
      <c r="F102" s="29"/>
      <c r="G102" s="29"/>
      <c r="H102"/>
    </row>
    <row r="103" spans="1:8" ht="13.5">
      <c r="A103" s="60" t="s">
        <v>146</v>
      </c>
      <c r="B103" s="60">
        <v>0.35</v>
      </c>
      <c r="C103" s="50" t="s">
        <v>168</v>
      </c>
      <c r="D103" s="29"/>
      <c r="F103" s="29"/>
      <c r="G103" s="29"/>
      <c r="H103"/>
    </row>
    <row r="104" spans="1:8" ht="13.5">
      <c r="A104" s="60" t="s">
        <v>169</v>
      </c>
      <c r="B104" s="60">
        <v>7.5</v>
      </c>
      <c r="C104" s="50" t="s">
        <v>170</v>
      </c>
      <c r="D104" s="29"/>
      <c r="F104" s="29"/>
      <c r="G104" s="29"/>
      <c r="H104"/>
    </row>
    <row r="105" spans="1:8" ht="13.5">
      <c r="A105" s="60"/>
      <c r="B105" s="60"/>
      <c r="C105" s="50" t="s">
        <v>252</v>
      </c>
      <c r="D105" s="29"/>
      <c r="F105" s="29"/>
      <c r="G105" s="29"/>
      <c r="H105"/>
    </row>
    <row r="106" spans="1:8" ht="13.5">
      <c r="A106" s="60" t="s">
        <v>171</v>
      </c>
      <c r="B106" s="60">
        <v>5</v>
      </c>
      <c r="C106" s="50" t="s">
        <v>172</v>
      </c>
      <c r="D106" s="29"/>
      <c r="F106" s="29"/>
      <c r="G106" s="29"/>
      <c r="H106"/>
    </row>
    <row r="107" spans="1:8" ht="13.5">
      <c r="A107" s="60"/>
      <c r="B107" s="29"/>
      <c r="C107" s="50" t="s">
        <v>173</v>
      </c>
      <c r="D107" s="29"/>
      <c r="F107" s="29"/>
      <c r="G107" s="29"/>
      <c r="H107"/>
    </row>
    <row r="108" spans="1:8" ht="13.5">
      <c r="A108" s="60" t="s">
        <v>174</v>
      </c>
      <c r="B108" s="81">
        <v>0</v>
      </c>
      <c r="C108" s="50" t="s">
        <v>251</v>
      </c>
      <c r="D108" s="29"/>
      <c r="F108" s="29"/>
      <c r="G108" s="29"/>
      <c r="H108"/>
    </row>
    <row r="109" spans="2:8" ht="13.5">
      <c r="B109" s="29"/>
      <c r="C109" s="50"/>
      <c r="D109" s="29"/>
      <c r="F109" s="29"/>
      <c r="G109" s="29"/>
      <c r="H109"/>
    </row>
    <row r="110" spans="1:8" ht="13.5">
      <c r="A110" s="91" t="s">
        <v>234</v>
      </c>
      <c r="B110" s="29"/>
      <c r="C110" s="29"/>
      <c r="D110" s="29"/>
      <c r="F110" s="29"/>
      <c r="G110" s="29"/>
      <c r="H110"/>
    </row>
    <row r="111" spans="1:8" ht="13.5">
      <c r="A111" s="3" t="s">
        <v>175</v>
      </c>
      <c r="B111" s="29"/>
      <c r="C111" s="29"/>
      <c r="D111" s="29"/>
      <c r="F111" s="29"/>
      <c r="G111" s="29"/>
      <c r="H111"/>
    </row>
    <row r="112" spans="1:8" ht="13.5">
      <c r="A112" s="3" t="s">
        <v>176</v>
      </c>
      <c r="B112" s="29"/>
      <c r="C112" s="29"/>
      <c r="D112" s="29"/>
      <c r="F112" s="29"/>
      <c r="G112" s="29"/>
      <c r="H112"/>
    </row>
    <row r="113" spans="1:8" ht="13.5">
      <c r="A113" s="3" t="s">
        <v>177</v>
      </c>
      <c r="B113" s="29"/>
      <c r="C113" s="29"/>
      <c r="D113" s="29"/>
      <c r="F113" s="29"/>
      <c r="G113" s="29"/>
      <c r="H113"/>
    </row>
    <row r="114" spans="1:8" ht="13.5">
      <c r="A114" s="60" t="s">
        <v>148</v>
      </c>
      <c r="B114" s="60">
        <v>7.5</v>
      </c>
      <c r="C114" s="50" t="s">
        <v>149</v>
      </c>
      <c r="D114" s="29"/>
      <c r="F114" s="29"/>
      <c r="G114" s="29"/>
      <c r="H114"/>
    </row>
    <row r="115" spans="1:8" ht="13.5">
      <c r="A115" s="60"/>
      <c r="B115" s="29"/>
      <c r="C115" s="50" t="s">
        <v>178</v>
      </c>
      <c r="D115" s="29"/>
      <c r="F115" s="29"/>
      <c r="G115" s="29"/>
      <c r="H115"/>
    </row>
    <row r="116" spans="1:8" ht="13.5">
      <c r="A116" s="60" t="s">
        <v>157</v>
      </c>
      <c r="B116" s="60">
        <v>5</v>
      </c>
      <c r="C116" s="50" t="s">
        <v>158</v>
      </c>
      <c r="D116" s="29"/>
      <c r="F116" s="29"/>
      <c r="G116" s="29"/>
      <c r="H116"/>
    </row>
    <row r="117" spans="2:8" ht="13.5">
      <c r="B117" s="29"/>
      <c r="C117" s="50" t="s">
        <v>179</v>
      </c>
      <c r="D117" s="29"/>
      <c r="F117" s="29"/>
      <c r="G117" s="29"/>
      <c r="H117"/>
    </row>
    <row r="118" spans="1:8" ht="13.5">
      <c r="A118" s="3" t="s">
        <v>180</v>
      </c>
      <c r="B118" s="29"/>
      <c r="C118" s="29"/>
      <c r="D118" s="29"/>
      <c r="F118" s="29"/>
      <c r="G118" s="29"/>
      <c r="H118"/>
    </row>
    <row r="120" ht="13.5">
      <c r="A120" s="91"/>
    </row>
  </sheetData>
  <sheetProtection/>
  <mergeCells count="6">
    <mergeCell ref="A5:A6"/>
    <mergeCell ref="B5:B6"/>
    <mergeCell ref="A40:A41"/>
    <mergeCell ref="B40:B41"/>
    <mergeCell ref="A18:A19"/>
    <mergeCell ref="B18:B19"/>
  </mergeCells>
  <printOptions/>
  <pageMargins left="0.74" right="0.5" top="0.75" bottom="0.75" header="0.5" footer="0.5"/>
  <pageSetup firstPageNumber="9" useFirstPageNumber="1" horizontalDpi="300" verticalDpi="300" orientation="landscape" scale="70" r:id="rId1"/>
  <headerFooter alignWithMargins="0">
    <oddHeader>&amp;C&amp;"Arial,Bold"TABLE A-16
FUGITIVE EMISSION CALCULATIONS</oddHeader>
    <oddFooter>&amp;C&amp;"Arial Narrow,Regular"A-&amp;P&amp;R&amp;"Arial Narrow,Regular"5/21/03</oddFooter>
  </headerFooter>
  <rowBreaks count="2" manualBreakCount="2">
    <brk id="35" max="255" man="1"/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58">
      <selection activeCell="O21" sqref="O21"/>
    </sheetView>
  </sheetViews>
  <sheetFormatPr defaultColWidth="9.140625" defaultRowHeight="12.75"/>
  <cols>
    <col min="1" max="1" width="21.00390625" style="3" bestFit="1" customWidth="1"/>
    <col min="2" max="7" width="7.140625" style="3" customWidth="1"/>
    <col min="8" max="13" width="8.140625" style="3" customWidth="1"/>
    <col min="14" max="15" width="5.140625" style="3" customWidth="1"/>
    <col min="16" max="17" width="9.140625" style="3" customWidth="1"/>
    <col min="18" max="18" width="10.00390625" style="3" customWidth="1"/>
    <col min="19" max="16384" width="9.140625" style="3" customWidth="1"/>
  </cols>
  <sheetData>
    <row r="1" ht="13.5">
      <c r="A1" s="25" t="str">
        <f>'Tables A1-A9'!A1</f>
        <v>Chevron/Air Liquide EIR Construction Emissions</v>
      </c>
    </row>
    <row r="2" spans="1:7" ht="13.5">
      <c r="A2" s="1"/>
      <c r="B2" s="2"/>
      <c r="C2" s="2"/>
      <c r="D2" s="2"/>
      <c r="E2" s="2"/>
      <c r="F2" s="2"/>
      <c r="G2" s="2"/>
    </row>
    <row r="3" spans="1:7" ht="13.5">
      <c r="A3" s="1" t="s">
        <v>196</v>
      </c>
      <c r="B3" s="2"/>
      <c r="C3" s="2"/>
      <c r="D3" s="2"/>
      <c r="E3" s="2"/>
      <c r="F3" s="2"/>
      <c r="G3" s="2"/>
    </row>
    <row r="4" spans="2:13" ht="13.5">
      <c r="B4" s="27" t="s">
        <v>10</v>
      </c>
      <c r="C4" s="55"/>
      <c r="D4" s="55"/>
      <c r="E4" s="55"/>
      <c r="F4" s="55"/>
      <c r="G4" s="55"/>
      <c r="H4" s="9"/>
      <c r="I4" s="9"/>
      <c r="J4" s="9"/>
      <c r="K4" s="9"/>
      <c r="L4" s="9"/>
      <c r="M4" s="10"/>
    </row>
    <row r="5" spans="2:13" ht="13.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</row>
    <row r="6" spans="1:13" ht="13.5">
      <c r="A6" s="13" t="s">
        <v>44</v>
      </c>
      <c r="B6" s="34">
        <v>0.5</v>
      </c>
      <c r="C6" s="34">
        <v>0.5</v>
      </c>
      <c r="D6" s="34">
        <v>0.5</v>
      </c>
      <c r="E6" s="34">
        <v>0.5</v>
      </c>
      <c r="F6" s="34">
        <v>0.5</v>
      </c>
      <c r="G6" s="34">
        <v>0.5</v>
      </c>
      <c r="H6" s="34">
        <v>0.5</v>
      </c>
      <c r="I6" s="34">
        <v>1</v>
      </c>
      <c r="J6" s="34">
        <v>2</v>
      </c>
      <c r="K6" s="34">
        <v>4</v>
      </c>
      <c r="L6" s="34">
        <v>2</v>
      </c>
      <c r="M6" s="34">
        <v>1</v>
      </c>
    </row>
    <row r="7" spans="1:13" ht="13.5">
      <c r="A7" s="13" t="s">
        <v>45</v>
      </c>
      <c r="B7" s="37">
        <f aca="true" t="shared" si="0" ref="B7:G7">B6*$B$10/119.95</f>
        <v>1.4589412255106293</v>
      </c>
      <c r="C7" s="37">
        <f t="shared" si="0"/>
        <v>1.4589412255106293</v>
      </c>
      <c r="D7" s="37">
        <f t="shared" si="0"/>
        <v>1.4589412255106293</v>
      </c>
      <c r="E7" s="37">
        <f t="shared" si="0"/>
        <v>1.4589412255106293</v>
      </c>
      <c r="F7" s="37">
        <f t="shared" si="0"/>
        <v>1.4589412255106293</v>
      </c>
      <c r="G7" s="37">
        <f t="shared" si="0"/>
        <v>1.4589412255106293</v>
      </c>
      <c r="H7" s="37">
        <f aca="true" t="shared" si="1" ref="H7:M7">H6*$B$10/119.95</f>
        <v>1.4589412255106293</v>
      </c>
      <c r="I7" s="37">
        <f t="shared" si="1"/>
        <v>2.9178824510212586</v>
      </c>
      <c r="J7" s="37">
        <f t="shared" si="1"/>
        <v>5.835764902042517</v>
      </c>
      <c r="K7" s="37">
        <f t="shared" si="1"/>
        <v>11.671529804085035</v>
      </c>
      <c r="L7" s="37">
        <f t="shared" si="1"/>
        <v>5.835764902042517</v>
      </c>
      <c r="M7" s="37">
        <f t="shared" si="1"/>
        <v>2.9178824510212586</v>
      </c>
    </row>
    <row r="10" spans="1:3" ht="13.5">
      <c r="A10" s="3" t="s">
        <v>237</v>
      </c>
      <c r="B10" s="56">
        <v>350</v>
      </c>
      <c r="C10" s="3" t="s">
        <v>96</v>
      </c>
    </row>
  </sheetData>
  <sheetProtection/>
  <printOptions/>
  <pageMargins left="0.74" right="0.5" top="0.75" bottom="0.75" header="0.5" footer="0.5"/>
  <pageSetup firstPageNumber="13" useFirstPageNumber="1" horizontalDpi="300" verticalDpi="300" orientation="landscape" scale="70" r:id="rId1"/>
  <headerFooter alignWithMargins="0">
    <oddHeader>&amp;C&amp;"Arial,Bold"TABLE A-17
ARCHITECTURAL COATING EMISSION CALCULATIONS</oddHeader>
    <oddFooter>&amp;C&amp;"Arial Narrow,Regular"A-&amp;P&amp;R&amp;"Arial Narrow,Regular"5/21/03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PageLayoutView="0" workbookViewId="0" topLeftCell="A3">
      <selection activeCell="O21" sqref="O21"/>
    </sheetView>
  </sheetViews>
  <sheetFormatPr defaultColWidth="9.140625" defaultRowHeight="12.75"/>
  <cols>
    <col min="1" max="1" width="31.8515625" style="3" bestFit="1" customWidth="1"/>
    <col min="2" max="7" width="7.7109375" style="3" customWidth="1"/>
    <col min="8" max="13" width="8.140625" style="3" customWidth="1"/>
    <col min="14" max="15" width="5.140625" style="3" customWidth="1"/>
    <col min="16" max="17" width="9.140625" style="3" customWidth="1"/>
    <col min="18" max="18" width="10.00390625" style="3" customWidth="1"/>
    <col min="19" max="16384" width="9.140625" style="3" customWidth="1"/>
  </cols>
  <sheetData>
    <row r="1" ht="13.5">
      <c r="A1" s="25" t="str">
        <f>'Tables A1-A9'!A1</f>
        <v>Chevron/Air Liquide EIR Construction Emissions</v>
      </c>
    </row>
    <row r="2" spans="1:8" ht="13.5">
      <c r="A2" s="1"/>
      <c r="B2" s="2"/>
      <c r="C2" s="2"/>
      <c r="D2" s="2"/>
      <c r="E2" s="2"/>
      <c r="F2" s="2"/>
      <c r="G2" s="2"/>
      <c r="H2" s="2"/>
    </row>
    <row r="3" spans="1:8" ht="13.5">
      <c r="A3" s="22" t="s">
        <v>51</v>
      </c>
      <c r="B3" s="23"/>
      <c r="C3" s="23"/>
      <c r="D3" s="23"/>
      <c r="E3" s="23"/>
      <c r="F3" s="23"/>
      <c r="G3" s="23"/>
      <c r="H3" s="23"/>
    </row>
    <row r="4" spans="1:9" ht="54.75">
      <c r="A4" s="11" t="s">
        <v>19</v>
      </c>
      <c r="B4" s="12" t="s">
        <v>34</v>
      </c>
      <c r="C4" s="12" t="s">
        <v>35</v>
      </c>
      <c r="D4" s="12" t="s">
        <v>36</v>
      </c>
      <c r="E4" s="12" t="s">
        <v>37</v>
      </c>
      <c r="F4" s="12" t="s">
        <v>81</v>
      </c>
      <c r="G4" s="12" t="s">
        <v>38</v>
      </c>
      <c r="H4" s="12" t="s">
        <v>39</v>
      </c>
      <c r="I4" s="12" t="s">
        <v>82</v>
      </c>
    </row>
    <row r="5" spans="1:9" ht="13.5">
      <c r="A5" s="13" t="s">
        <v>26</v>
      </c>
      <c r="B5" s="19">
        <v>5</v>
      </c>
      <c r="C5" s="19">
        <v>5</v>
      </c>
      <c r="D5" s="31">
        <f>(B5*VLOOKUP(A5,'Table A-26'!$A$8:$W$15,7,FALSE)+C5*VLOOKUP(A5,'Table A-26'!$A$8:$W$15,8,FALSE))/453.6</f>
        <v>0.5029761904761905</v>
      </c>
      <c r="E5" s="31">
        <f>(B5*(VLOOKUP(A5,'Table A-26'!$A$8:$W$15,9,FALSE)+VLOOKUP(A5,'Table A-26'!$A$8:$W$15,13,FALSE))+C5*(VLOOKUP(A5,'Table A-26'!$A$8:$W$15,10,FALSE)+VLOOKUP(A5,'Table A-26'!$A$8:$W$15,11,FALSE))+12*(VLOOKUP(A5,'Table A-26'!$A$8:$W$15,12,FALSE)+VLOOKUP(A5,'Table A-26'!$A$8:$W$15,14,FALSE)))/453.6</f>
        <v>0.05383818342151675</v>
      </c>
      <c r="F5" s="31">
        <f>(B5*VLOOKUP(A5,'Table A-26'!$A$8:$W$15,15,FALSE)+C5*VLOOKUP(A5,'Table A-26'!$A$8:$W$15,16,FALSE))/453.6</f>
        <v>0.038591269841269836</v>
      </c>
      <c r="G5" s="31">
        <f>(B5*VLOOKUP(A5,'Table A-26'!$A$8:$W$15,17,FALSE)+C5*VLOOKUP(A5,'Table A-26'!$A$8:$W$15,18,FALSE))/453.6</f>
        <v>0.0007054673721340387</v>
      </c>
      <c r="H5" s="31">
        <f>(B5*(VLOOKUP(A5,'Table A-26'!$A$8:$W$15,19,FALSE)+VLOOKUP(A5,'Table A-26'!$A$8:$W$15,20,FALSE)+VLOOKUP(A5,'Table A-26'!$A$8:$W$15,21,FALSE)))/453.6</f>
        <v>0.02063710877418622</v>
      </c>
      <c r="I5" s="46">
        <f>(B5*VLOOKUP(A5,'Table A-26'!$A$8:$W$15,22,FALSE)+C5*VLOOKUP(A5,'Table A-26'!$A$8:$W$15,23,FALSE))/453.6</f>
        <v>0.0002204585537918871</v>
      </c>
    </row>
    <row r="6" spans="1:9" ht="13.5">
      <c r="A6" s="13" t="s">
        <v>224</v>
      </c>
      <c r="B6" s="19">
        <v>10</v>
      </c>
      <c r="C6" s="19">
        <v>2</v>
      </c>
      <c r="D6" s="31">
        <f>(B6*VLOOKUP(A6,'Table A-26'!$A$8:$W$15,7,FALSE)+C6*VLOOKUP(A6,'Table A-26'!$A$8:$W$15,8,FALSE))/453.6</f>
        <v>0.09664902998236331</v>
      </c>
      <c r="E6" s="31">
        <f>(B6*(VLOOKUP(A6,'Table A-26'!$A$8:$W$15,9,FALSE)+VLOOKUP(A6,'Table A-26'!$A$8:$W$15,13,FALSE))+C6*(VLOOKUP(A6,'Table A-26'!$A$8:$W$15,10,FALSE)+VLOOKUP(A6,'Table A-26'!$A$8:$W$15,11,FALSE))+12*(VLOOKUP(A6,'Table A-26'!$A$8:$W$15,12,FALSE)+VLOOKUP(A6,'Table A-26'!$A$8:$W$15,14,FALSE)))/453.6</f>
        <v>0.01417548500881834</v>
      </c>
      <c r="F6" s="31">
        <f>(B6*VLOOKUP(A6,'Table A-26'!$A$8:$W$15,15,FALSE)+C6*VLOOKUP(A6,'Table A-26'!$A$8:$W$15,16,FALSE))/453.6</f>
        <v>0.32208994708994704</v>
      </c>
      <c r="G6" s="31">
        <f>(B6*VLOOKUP(A6,'Table A-26'!$A$8:$W$15,17,FALSE)+C6*VLOOKUP(A6,'Table A-26'!$A$8:$W$15,18,FALSE))/453.6</f>
        <v>0.014572310405643739</v>
      </c>
      <c r="H6" s="31">
        <f>(B6*(VLOOKUP(A6,'Table A-26'!$A$8:$W$15,19,FALSE)+VLOOKUP(A6,'Table A-26'!$A$8:$W$15,20,FALSE)+VLOOKUP(A6,'Table A-26'!$A$8:$W$15,21,FALSE)))/453.6</f>
        <v>0.694697272033009</v>
      </c>
      <c r="I6" s="46">
        <f>(B6*VLOOKUP(A6,'Table A-26'!$A$8:$W$15,22,FALSE)+C6*VLOOKUP(A6,'Table A-26'!$A$8:$W$15,23,FALSE))/453.6</f>
        <v>0.0029541446208112875</v>
      </c>
    </row>
    <row r="7" spans="1:9" ht="13.5">
      <c r="A7" s="13" t="s">
        <v>53</v>
      </c>
      <c r="B7" s="19">
        <v>22.5</v>
      </c>
      <c r="C7" s="19">
        <v>2</v>
      </c>
      <c r="D7" s="31">
        <f>(B7*VLOOKUP(A7,'Table A-26'!$A$8:$W$15,7,FALSE)+C7*VLOOKUP(A7,'Table A-26'!$A$8:$W$15,8,FALSE))/453.6</f>
        <v>0.7094246031746032</v>
      </c>
      <c r="E7" s="31">
        <f>(B7*(VLOOKUP(A7,'Table A-26'!$A$8:$W$15,9,FALSE)+VLOOKUP(A7,'Table A-26'!$A$8:$W$15,13,FALSE))+C7*(VLOOKUP(A7,'Table A-26'!$A$8:$W$15,10,FALSE)+VLOOKUP(A7,'Table A-26'!$A$8:$W$15,11,FALSE))+12*(VLOOKUP(A7,'Table A-26'!$A$8:$W$15,12,FALSE)+VLOOKUP(A7,'Table A-26'!$A$8:$W$15,14,FALSE)))/453.6</f>
        <v>0.07002645502645503</v>
      </c>
      <c r="F7" s="31">
        <f>(B7*VLOOKUP(A7,'Table A-26'!$A$8:$W$15,15,FALSE)+C7*VLOOKUP(A7,'Table A-26'!$A$8:$W$15,16,FALSE))/453.6</f>
        <v>0.07060626102292769</v>
      </c>
      <c r="G7" s="31">
        <f>(B7*VLOOKUP(A7,'Table A-26'!$A$8:$W$15,17,FALSE)+C7*VLOOKUP(A7,'Table A-26'!$A$8:$W$15,18,FALSE))/453.6</f>
        <v>0.0006294091710758377</v>
      </c>
      <c r="H7" s="31">
        <f>(B7*(VLOOKUP(A7,'Table A-26'!$A$8:$W$15,19,FALSE)+VLOOKUP(A7,'Table A-26'!$A$8:$W$15,20,FALSE)+VLOOKUP(A7,'Table A-26'!$A$8:$W$15,21,FALSE)))/453.6</f>
        <v>0.010556893168024111</v>
      </c>
      <c r="I7" s="46">
        <f>(B7*VLOOKUP(A7,'Table A-26'!$A$8:$W$15,22,FALSE)+C7*VLOOKUP(A7,'Table A-26'!$A$8:$W$15,23,FALSE))/453.6</f>
        <v>0.00031966490299823635</v>
      </c>
    </row>
    <row r="8" spans="1:9" ht="13.5">
      <c r="A8" s="13" t="s">
        <v>50</v>
      </c>
      <c r="B8" s="19">
        <v>22.5</v>
      </c>
      <c r="C8" s="19">
        <v>2</v>
      </c>
      <c r="D8" s="31">
        <f>(B8*VLOOKUP(A8,'Table A-26'!$A$8:$W$15,7,FALSE)+C8*VLOOKUP(A8,'Table A-26'!$A$8:$W$15,8,FALSE))/453.6</f>
        <v>0.16507936507936505</v>
      </c>
      <c r="E8" s="31">
        <f>(B8*(VLOOKUP(A8,'Table A-26'!$A$8:$W$15,9,FALSE)+VLOOKUP(A8,'Table A-26'!$A$8:$W$15,13,FALSE))+C8*(VLOOKUP(A8,'Table A-26'!$A$8:$W$15,10,FALSE)+VLOOKUP(A8,'Table A-26'!$A$8:$W$15,11,FALSE))+12*(VLOOKUP(A8,'Table A-26'!$A$8:$W$15,12,FALSE)+VLOOKUP(A8,'Table A-26'!$A$8:$W$15,14,FALSE)))/453.6</f>
        <v>0.04226190476190476</v>
      </c>
      <c r="F8" s="31">
        <f>(B8*VLOOKUP(A8,'Table A-26'!$A$8:$W$15,15,FALSE)+C8*VLOOKUP(A8,'Table A-26'!$A$8:$W$15,16,FALSE))/453.6</f>
        <v>0.7991071428571428</v>
      </c>
      <c r="G8" s="31">
        <f>(B8*VLOOKUP(A8,'Table A-26'!$A$8:$W$15,17,FALSE)+C8*VLOOKUP(A8,'Table A-26'!$A$8:$W$15,18,FALSE))/453.6</f>
        <v>0.020833333333333332</v>
      </c>
      <c r="H8" s="31">
        <f>(B8*(VLOOKUP(A8,'Table A-26'!$A$8:$W$15,19,FALSE)+VLOOKUP(A8,'Table A-26'!$A$8:$W$15,20,FALSE)+VLOOKUP(A8,'Table A-26'!$A$8:$W$15,21,FALSE)))/453.6</f>
        <v>0.46569315062794964</v>
      </c>
      <c r="I8" s="46">
        <f>(B8*VLOOKUP(A8,'Table A-26'!$A$8:$W$15,22,FALSE)+C8*VLOOKUP(A8,'Table A-26'!$A$8:$W$15,23,FALSE))/453.6</f>
        <v>0.009523809523809525</v>
      </c>
    </row>
    <row r="11" spans="1:9" ht="13.5">
      <c r="A11" s="1"/>
      <c r="B11" s="2"/>
      <c r="C11" s="2"/>
      <c r="D11" s="2"/>
      <c r="E11" s="2"/>
      <c r="F11" s="2"/>
      <c r="G11" s="2"/>
      <c r="H11" s="2"/>
      <c r="I11" s="2"/>
    </row>
    <row r="12" spans="1:9" ht="13.5">
      <c r="A12" s="22" t="s">
        <v>71</v>
      </c>
      <c r="B12" s="5"/>
      <c r="C12" s="5"/>
      <c r="D12" s="5"/>
      <c r="E12" s="5"/>
      <c r="F12" s="5"/>
      <c r="G12" s="5"/>
      <c r="H12" s="2"/>
      <c r="I12" s="2"/>
    </row>
    <row r="13" spans="1:13" ht="13.5">
      <c r="A13" s="143" t="s">
        <v>19</v>
      </c>
      <c r="B13" s="24" t="s">
        <v>10</v>
      </c>
      <c r="C13" s="7"/>
      <c r="D13" s="7"/>
      <c r="E13" s="7"/>
      <c r="F13" s="7"/>
      <c r="G13" s="7"/>
      <c r="H13" s="7"/>
      <c r="I13" s="7"/>
      <c r="J13" s="9"/>
      <c r="K13" s="9"/>
      <c r="L13" s="9"/>
      <c r="M13" s="10"/>
    </row>
    <row r="14" spans="1:13" ht="13.5">
      <c r="A14" s="152"/>
      <c r="B14" s="26">
        <v>1</v>
      </c>
      <c r="C14" s="26">
        <v>2</v>
      </c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</row>
    <row r="15" spans="1:13" ht="13.5">
      <c r="A15" s="13" t="str">
        <f>A5</f>
        <v>On-site pickup truck</v>
      </c>
      <c r="B15" s="19">
        <v>1</v>
      </c>
      <c r="C15" s="19">
        <v>2</v>
      </c>
      <c r="D15" s="19">
        <v>2</v>
      </c>
      <c r="E15" s="19">
        <v>4</v>
      </c>
      <c r="F15" s="19">
        <v>6</v>
      </c>
      <c r="G15" s="19">
        <v>7</v>
      </c>
      <c r="H15" s="19">
        <v>7</v>
      </c>
      <c r="I15" s="19">
        <v>7</v>
      </c>
      <c r="J15" s="19">
        <v>7</v>
      </c>
      <c r="K15" s="19">
        <v>7</v>
      </c>
      <c r="L15" s="19">
        <v>7</v>
      </c>
      <c r="M15" s="19">
        <v>3</v>
      </c>
    </row>
    <row r="16" spans="1:13" ht="13.5">
      <c r="A16" s="13" t="str">
        <f>A6</f>
        <v>On-site dump truck</v>
      </c>
      <c r="B16" s="19">
        <v>2</v>
      </c>
      <c r="C16" s="19">
        <v>2</v>
      </c>
      <c r="D16" s="19">
        <v>2</v>
      </c>
      <c r="E16" s="19">
        <v>2</v>
      </c>
      <c r="F16" s="19">
        <v>2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ht="13.5">
      <c r="A17" s="13" t="str">
        <f>A7</f>
        <v>Off-site construction worker commute</v>
      </c>
      <c r="B17" s="19">
        <v>18</v>
      </c>
      <c r="C17" s="19">
        <v>34</v>
      </c>
      <c r="D17" s="19">
        <v>55</v>
      </c>
      <c r="E17" s="19">
        <v>82</v>
      </c>
      <c r="F17" s="19">
        <v>119</v>
      </c>
      <c r="G17" s="19">
        <v>166</v>
      </c>
      <c r="H17" s="19">
        <v>213</v>
      </c>
      <c r="I17" s="19">
        <v>186</v>
      </c>
      <c r="J17" s="19">
        <v>191</v>
      </c>
      <c r="K17" s="19">
        <v>190</v>
      </c>
      <c r="L17" s="19">
        <v>174</v>
      </c>
      <c r="M17" s="19">
        <v>110</v>
      </c>
    </row>
    <row r="18" spans="1:13" ht="13.5">
      <c r="A18" s="13" t="str">
        <f>A8</f>
        <v>Off-site delivery vehicle</v>
      </c>
      <c r="B18" s="19">
        <v>2</v>
      </c>
      <c r="C18" s="19">
        <v>3</v>
      </c>
      <c r="D18" s="19">
        <v>3</v>
      </c>
      <c r="E18" s="19">
        <v>3</v>
      </c>
      <c r="F18" s="19">
        <v>3</v>
      </c>
      <c r="G18" s="19">
        <v>3</v>
      </c>
      <c r="H18" s="19">
        <v>3</v>
      </c>
      <c r="I18" s="19">
        <v>3</v>
      </c>
      <c r="J18" s="19">
        <v>3</v>
      </c>
      <c r="K18" s="19">
        <v>2</v>
      </c>
      <c r="L18" s="19">
        <v>2</v>
      </c>
      <c r="M18" s="19">
        <v>2</v>
      </c>
    </row>
    <row r="19" spans="8:9" ht="13.5">
      <c r="H19" s="2"/>
      <c r="I19" s="2"/>
    </row>
    <row r="20" spans="8:9" ht="13.5">
      <c r="H20" s="2"/>
      <c r="I20" s="2"/>
    </row>
    <row r="21" spans="1:9" ht="13.5">
      <c r="A21" s="1"/>
      <c r="B21" s="2"/>
      <c r="C21" s="2"/>
      <c r="D21" s="2"/>
      <c r="E21" s="2"/>
      <c r="F21" s="2"/>
      <c r="G21" s="2"/>
      <c r="H21" s="2"/>
      <c r="I21" s="2"/>
    </row>
    <row r="22" spans="1:9" ht="13.5">
      <c r="A22" s="22" t="s">
        <v>72</v>
      </c>
      <c r="B22" s="23"/>
      <c r="C22" s="23"/>
      <c r="D22" s="23"/>
      <c r="E22" s="23"/>
      <c r="F22" s="23"/>
      <c r="G22" s="23"/>
      <c r="H22" s="2"/>
      <c r="I22" s="2"/>
    </row>
    <row r="23" spans="1:13" ht="13.5">
      <c r="A23" s="144" t="s">
        <v>19</v>
      </c>
      <c r="B23" s="24" t="s">
        <v>10</v>
      </c>
      <c r="C23" s="7"/>
      <c r="D23" s="7"/>
      <c r="E23" s="7"/>
      <c r="F23" s="7"/>
      <c r="G23" s="7"/>
      <c r="H23" s="7"/>
      <c r="I23" s="7"/>
      <c r="J23" s="9"/>
      <c r="K23" s="9"/>
      <c r="L23" s="9"/>
      <c r="M23" s="10"/>
    </row>
    <row r="24" spans="1:13" ht="13.5">
      <c r="A24" s="152"/>
      <c r="B24" s="11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1">
        <v>7</v>
      </c>
      <c r="I24" s="11">
        <v>8</v>
      </c>
      <c r="J24" s="11">
        <v>9</v>
      </c>
      <c r="K24" s="11">
        <v>10</v>
      </c>
      <c r="L24" s="11">
        <v>11</v>
      </c>
      <c r="M24" s="11">
        <v>12</v>
      </c>
    </row>
    <row r="25" spans="1:13" ht="13.5">
      <c r="A25" s="13" t="str">
        <f>A5</f>
        <v>On-site pickup truck</v>
      </c>
      <c r="B25" s="57">
        <f aca="true" t="shared" si="0" ref="B25:M25">B$15*$D5</f>
        <v>0.5029761904761905</v>
      </c>
      <c r="C25" s="57">
        <f t="shared" si="0"/>
        <v>1.005952380952381</v>
      </c>
      <c r="D25" s="57">
        <f t="shared" si="0"/>
        <v>1.005952380952381</v>
      </c>
      <c r="E25" s="57">
        <f t="shared" si="0"/>
        <v>2.011904761904762</v>
      </c>
      <c r="F25" s="57">
        <f t="shared" si="0"/>
        <v>3.017857142857143</v>
      </c>
      <c r="G25" s="57">
        <f t="shared" si="0"/>
        <v>3.520833333333333</v>
      </c>
      <c r="H25" s="57">
        <f t="shared" si="0"/>
        <v>3.520833333333333</v>
      </c>
      <c r="I25" s="57">
        <f t="shared" si="0"/>
        <v>3.520833333333333</v>
      </c>
      <c r="J25" s="57">
        <f t="shared" si="0"/>
        <v>3.520833333333333</v>
      </c>
      <c r="K25" s="57">
        <f t="shared" si="0"/>
        <v>3.520833333333333</v>
      </c>
      <c r="L25" s="57">
        <f t="shared" si="0"/>
        <v>3.520833333333333</v>
      </c>
      <c r="M25" s="57">
        <f t="shared" si="0"/>
        <v>1.5089285714285714</v>
      </c>
    </row>
    <row r="26" spans="1:13" ht="13.5">
      <c r="A26" s="13" t="str">
        <f>A6</f>
        <v>On-site dump truck</v>
      </c>
      <c r="B26" s="57">
        <f aca="true" t="shared" si="1" ref="B26:M26">B$16*$D6</f>
        <v>0.19329805996472663</v>
      </c>
      <c r="C26" s="57">
        <f t="shared" si="1"/>
        <v>0.19329805996472663</v>
      </c>
      <c r="D26" s="57">
        <f t="shared" si="1"/>
        <v>0.19329805996472663</v>
      </c>
      <c r="E26" s="57">
        <f t="shared" si="1"/>
        <v>0.19329805996472663</v>
      </c>
      <c r="F26" s="57">
        <f t="shared" si="1"/>
        <v>0.19329805996472663</v>
      </c>
      <c r="G26" s="57">
        <f t="shared" si="1"/>
        <v>0</v>
      </c>
      <c r="H26" s="57">
        <f t="shared" si="1"/>
        <v>0</v>
      </c>
      <c r="I26" s="57">
        <f t="shared" si="1"/>
        <v>0</v>
      </c>
      <c r="J26" s="57">
        <f t="shared" si="1"/>
        <v>0</v>
      </c>
      <c r="K26" s="57">
        <f t="shared" si="1"/>
        <v>0</v>
      </c>
      <c r="L26" s="57">
        <f t="shared" si="1"/>
        <v>0</v>
      </c>
      <c r="M26" s="57">
        <f t="shared" si="1"/>
        <v>0</v>
      </c>
    </row>
    <row r="27" spans="1:13" ht="13.5">
      <c r="A27" s="13" t="str">
        <f>A17</f>
        <v>Off-site construction worker commute</v>
      </c>
      <c r="B27" s="57">
        <f aca="true" t="shared" si="2" ref="B27:M27">B$17*$D7</f>
        <v>12.769642857142857</v>
      </c>
      <c r="C27" s="57">
        <f t="shared" si="2"/>
        <v>24.12043650793651</v>
      </c>
      <c r="D27" s="57">
        <f t="shared" si="2"/>
        <v>39.01835317460318</v>
      </c>
      <c r="E27" s="57">
        <f t="shared" si="2"/>
        <v>58.17281746031746</v>
      </c>
      <c r="F27" s="57">
        <f t="shared" si="2"/>
        <v>84.42152777777778</v>
      </c>
      <c r="G27" s="57">
        <f t="shared" si="2"/>
        <v>117.76448412698413</v>
      </c>
      <c r="H27" s="57">
        <f t="shared" si="2"/>
        <v>151.10744047619048</v>
      </c>
      <c r="I27" s="57">
        <f t="shared" si="2"/>
        <v>131.9529761904762</v>
      </c>
      <c r="J27" s="57">
        <f t="shared" si="2"/>
        <v>135.5000992063492</v>
      </c>
      <c r="K27" s="57">
        <f t="shared" si="2"/>
        <v>134.7906746031746</v>
      </c>
      <c r="L27" s="57">
        <f t="shared" si="2"/>
        <v>123.43988095238096</v>
      </c>
      <c r="M27" s="57">
        <f t="shared" si="2"/>
        <v>78.03670634920636</v>
      </c>
    </row>
    <row r="28" spans="1:13" ht="13.5">
      <c r="A28" s="13" t="s">
        <v>50</v>
      </c>
      <c r="B28" s="57">
        <f aca="true" t="shared" si="3" ref="B28:M28">B$18*$D8</f>
        <v>0.3301587301587301</v>
      </c>
      <c r="C28" s="57">
        <f t="shared" si="3"/>
        <v>0.49523809523809514</v>
      </c>
      <c r="D28" s="57">
        <f t="shared" si="3"/>
        <v>0.49523809523809514</v>
      </c>
      <c r="E28" s="57">
        <f t="shared" si="3"/>
        <v>0.49523809523809514</v>
      </c>
      <c r="F28" s="57">
        <f t="shared" si="3"/>
        <v>0.49523809523809514</v>
      </c>
      <c r="G28" s="57">
        <f t="shared" si="3"/>
        <v>0.49523809523809514</v>
      </c>
      <c r="H28" s="57">
        <f t="shared" si="3"/>
        <v>0.49523809523809514</v>
      </c>
      <c r="I28" s="57">
        <f t="shared" si="3"/>
        <v>0.49523809523809514</v>
      </c>
      <c r="J28" s="57">
        <f t="shared" si="3"/>
        <v>0.49523809523809514</v>
      </c>
      <c r="K28" s="57">
        <f t="shared" si="3"/>
        <v>0.3301587301587301</v>
      </c>
      <c r="L28" s="57">
        <f t="shared" si="3"/>
        <v>0.3301587301587301</v>
      </c>
      <c r="M28" s="57">
        <f t="shared" si="3"/>
        <v>0.3301587301587301</v>
      </c>
    </row>
    <row r="29" spans="1:13" ht="13.5">
      <c r="A29" s="16" t="s">
        <v>42</v>
      </c>
      <c r="B29" s="58">
        <f aca="true" t="shared" si="4" ref="B29:M29">SUM(B25:B26)</f>
        <v>0.6962742504409171</v>
      </c>
      <c r="C29" s="58">
        <f t="shared" si="4"/>
        <v>1.1992504409171076</v>
      </c>
      <c r="D29" s="58">
        <f t="shared" si="4"/>
        <v>1.1992504409171076</v>
      </c>
      <c r="E29" s="58">
        <f t="shared" si="4"/>
        <v>2.2052028218694883</v>
      </c>
      <c r="F29" s="58">
        <f t="shared" si="4"/>
        <v>3.2111552028218693</v>
      </c>
      <c r="G29" s="58">
        <f t="shared" si="4"/>
        <v>3.520833333333333</v>
      </c>
      <c r="H29" s="58">
        <f t="shared" si="4"/>
        <v>3.520833333333333</v>
      </c>
      <c r="I29" s="58">
        <f t="shared" si="4"/>
        <v>3.520833333333333</v>
      </c>
      <c r="J29" s="58">
        <f t="shared" si="4"/>
        <v>3.520833333333333</v>
      </c>
      <c r="K29" s="58">
        <f t="shared" si="4"/>
        <v>3.520833333333333</v>
      </c>
      <c r="L29" s="58">
        <f t="shared" si="4"/>
        <v>3.520833333333333</v>
      </c>
      <c r="M29" s="58">
        <f t="shared" si="4"/>
        <v>1.5089285714285714</v>
      </c>
    </row>
    <row r="30" spans="1:13" ht="13.5">
      <c r="A30" s="16" t="s">
        <v>43</v>
      </c>
      <c r="B30" s="58">
        <f aca="true" t="shared" si="5" ref="B30:G30">SUM(B27:B28)</f>
        <v>13.099801587301588</v>
      </c>
      <c r="C30" s="58">
        <f t="shared" si="5"/>
        <v>24.615674603174604</v>
      </c>
      <c r="D30" s="58">
        <f t="shared" si="5"/>
        <v>39.51359126984127</v>
      </c>
      <c r="E30" s="58">
        <f t="shared" si="5"/>
        <v>58.668055555555554</v>
      </c>
      <c r="F30" s="58">
        <f t="shared" si="5"/>
        <v>84.91676587301588</v>
      </c>
      <c r="G30" s="58">
        <f t="shared" si="5"/>
        <v>118.25972222222222</v>
      </c>
      <c r="H30" s="58">
        <f aca="true" t="shared" si="6" ref="H30:M30">SUM(H27:H28)</f>
        <v>151.60267857142858</v>
      </c>
      <c r="I30" s="58">
        <f t="shared" si="6"/>
        <v>132.4482142857143</v>
      </c>
      <c r="J30" s="58">
        <f t="shared" si="6"/>
        <v>135.9953373015873</v>
      </c>
      <c r="K30" s="58">
        <f t="shared" si="6"/>
        <v>135.12083333333334</v>
      </c>
      <c r="L30" s="58">
        <f t="shared" si="6"/>
        <v>123.77003968253969</v>
      </c>
      <c r="M30" s="58">
        <f t="shared" si="6"/>
        <v>78.36686507936508</v>
      </c>
    </row>
    <row r="31" spans="1:13" ht="13.5">
      <c r="A31" s="16" t="s">
        <v>11</v>
      </c>
      <c r="B31" s="58">
        <f aca="true" t="shared" si="7" ref="B31:G31">SUM(B25:B28)</f>
        <v>13.796075837742505</v>
      </c>
      <c r="C31" s="58">
        <f t="shared" si="7"/>
        <v>25.814925044091712</v>
      </c>
      <c r="D31" s="58">
        <f t="shared" si="7"/>
        <v>40.712841710758376</v>
      </c>
      <c r="E31" s="58">
        <f t="shared" si="7"/>
        <v>60.873258377425046</v>
      </c>
      <c r="F31" s="58">
        <f t="shared" si="7"/>
        <v>88.12792107583775</v>
      </c>
      <c r="G31" s="58">
        <f t="shared" si="7"/>
        <v>121.78055555555555</v>
      </c>
      <c r="H31" s="58">
        <f aca="true" t="shared" si="8" ref="H31:M31">SUM(H25:H28)</f>
        <v>155.12351190476193</v>
      </c>
      <c r="I31" s="58">
        <f t="shared" si="8"/>
        <v>135.96904761904764</v>
      </c>
      <c r="J31" s="58">
        <f t="shared" si="8"/>
        <v>139.51617063492066</v>
      </c>
      <c r="K31" s="58">
        <f t="shared" si="8"/>
        <v>138.64166666666668</v>
      </c>
      <c r="L31" s="58">
        <f t="shared" si="8"/>
        <v>127.29087301587302</v>
      </c>
      <c r="M31" s="58">
        <f t="shared" si="8"/>
        <v>79.87579365079365</v>
      </c>
    </row>
    <row r="32" spans="8:9" ht="13.5">
      <c r="H32" s="2"/>
      <c r="I32" s="2"/>
    </row>
    <row r="33" spans="8:9" ht="13.5">
      <c r="H33" s="2"/>
      <c r="I33" s="2"/>
    </row>
    <row r="34" spans="1:9" ht="13.5">
      <c r="A34" s="1"/>
      <c r="B34" s="2"/>
      <c r="C34" s="2"/>
      <c r="D34" s="2"/>
      <c r="E34" s="2"/>
      <c r="F34" s="2"/>
      <c r="G34" s="2"/>
      <c r="H34" s="2"/>
      <c r="I34" s="2"/>
    </row>
    <row r="35" spans="1:9" ht="13.5">
      <c r="A35" s="22" t="s">
        <v>73</v>
      </c>
      <c r="B35" s="23"/>
      <c r="C35" s="23"/>
      <c r="D35" s="23"/>
      <c r="E35" s="23"/>
      <c r="F35" s="23"/>
      <c r="G35" s="23"/>
      <c r="H35" s="2"/>
      <c r="I35" s="2"/>
    </row>
    <row r="36" spans="1:13" ht="13.5">
      <c r="A36" s="144" t="s">
        <v>19</v>
      </c>
      <c r="B36" s="24" t="s">
        <v>10</v>
      </c>
      <c r="C36" s="7"/>
      <c r="D36" s="7"/>
      <c r="E36" s="7"/>
      <c r="F36" s="7"/>
      <c r="G36" s="7"/>
      <c r="H36" s="7"/>
      <c r="I36" s="7"/>
      <c r="J36" s="9"/>
      <c r="K36" s="9"/>
      <c r="L36" s="9"/>
      <c r="M36" s="10"/>
    </row>
    <row r="37" spans="1:13" ht="13.5">
      <c r="A37" s="152"/>
      <c r="B37" s="11">
        <v>1</v>
      </c>
      <c r="C37" s="11">
        <v>2</v>
      </c>
      <c r="D37" s="11">
        <v>3</v>
      </c>
      <c r="E37" s="11">
        <v>4</v>
      </c>
      <c r="F37" s="11">
        <v>5</v>
      </c>
      <c r="G37" s="11">
        <v>6</v>
      </c>
      <c r="H37" s="11">
        <v>7</v>
      </c>
      <c r="I37" s="11">
        <v>8</v>
      </c>
      <c r="J37" s="11">
        <v>9</v>
      </c>
      <c r="K37" s="11">
        <v>10</v>
      </c>
      <c r="L37" s="11">
        <v>11</v>
      </c>
      <c r="M37" s="11">
        <v>12</v>
      </c>
    </row>
    <row r="38" spans="1:13" ht="13.5">
      <c r="A38" s="13" t="str">
        <f>A5</f>
        <v>On-site pickup truck</v>
      </c>
      <c r="B38" s="15">
        <f aca="true" t="shared" si="9" ref="B38:M38">B$15*$E5</f>
        <v>0.05383818342151675</v>
      </c>
      <c r="C38" s="15">
        <f t="shared" si="9"/>
        <v>0.1076763668430335</v>
      </c>
      <c r="D38" s="15">
        <f t="shared" si="9"/>
        <v>0.1076763668430335</v>
      </c>
      <c r="E38" s="15">
        <f t="shared" si="9"/>
        <v>0.215352733686067</v>
      </c>
      <c r="F38" s="15">
        <f t="shared" si="9"/>
        <v>0.3230291005291005</v>
      </c>
      <c r="G38" s="15">
        <f t="shared" si="9"/>
        <v>0.37686728395061725</v>
      </c>
      <c r="H38" s="15">
        <f t="shared" si="9"/>
        <v>0.37686728395061725</v>
      </c>
      <c r="I38" s="15">
        <f t="shared" si="9"/>
        <v>0.37686728395061725</v>
      </c>
      <c r="J38" s="15">
        <f t="shared" si="9"/>
        <v>0.37686728395061725</v>
      </c>
      <c r="K38" s="15">
        <f t="shared" si="9"/>
        <v>0.37686728395061725</v>
      </c>
      <c r="L38" s="15">
        <f t="shared" si="9"/>
        <v>0.37686728395061725</v>
      </c>
      <c r="M38" s="15">
        <f t="shared" si="9"/>
        <v>0.16151455026455025</v>
      </c>
    </row>
    <row r="39" spans="1:13" ht="13.5">
      <c r="A39" s="13" t="str">
        <f>A6</f>
        <v>On-site dump truck</v>
      </c>
      <c r="B39" s="15">
        <f aca="true" t="shared" si="10" ref="B39:M39">B$16*$E6</f>
        <v>0.02835097001763668</v>
      </c>
      <c r="C39" s="15">
        <f t="shared" si="10"/>
        <v>0.02835097001763668</v>
      </c>
      <c r="D39" s="15">
        <f t="shared" si="10"/>
        <v>0.02835097001763668</v>
      </c>
      <c r="E39" s="15">
        <f t="shared" si="10"/>
        <v>0.02835097001763668</v>
      </c>
      <c r="F39" s="15">
        <f t="shared" si="10"/>
        <v>0.02835097001763668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</row>
    <row r="40" spans="1:13" ht="13.5">
      <c r="A40" s="13" t="str">
        <f>A7</f>
        <v>Off-site construction worker commute</v>
      </c>
      <c r="B40" s="15">
        <f aca="true" t="shared" si="11" ref="B40:M40">B$17*$E7</f>
        <v>1.2604761904761905</v>
      </c>
      <c r="C40" s="15">
        <f t="shared" si="11"/>
        <v>2.3808994708994713</v>
      </c>
      <c r="D40" s="15">
        <f t="shared" si="11"/>
        <v>3.8514550264550267</v>
      </c>
      <c r="E40" s="15">
        <f t="shared" si="11"/>
        <v>5.742169312169313</v>
      </c>
      <c r="F40" s="15">
        <f t="shared" si="11"/>
        <v>8.33314814814815</v>
      </c>
      <c r="G40" s="15">
        <f t="shared" si="11"/>
        <v>11.624391534391536</v>
      </c>
      <c r="H40" s="15">
        <f t="shared" si="11"/>
        <v>14.915634920634922</v>
      </c>
      <c r="I40" s="15">
        <f t="shared" si="11"/>
        <v>13.024920634920637</v>
      </c>
      <c r="J40" s="15">
        <f t="shared" si="11"/>
        <v>13.375052910052911</v>
      </c>
      <c r="K40" s="15">
        <f t="shared" si="11"/>
        <v>13.305026455026457</v>
      </c>
      <c r="L40" s="15">
        <f t="shared" si="11"/>
        <v>12.184603174603176</v>
      </c>
      <c r="M40" s="15">
        <f t="shared" si="11"/>
        <v>7.702910052910053</v>
      </c>
    </row>
    <row r="41" spans="1:13" ht="13.5">
      <c r="A41" s="13" t="s">
        <v>50</v>
      </c>
      <c r="B41" s="15">
        <f aca="true" t="shared" si="12" ref="B41:M41">B$18*$E8</f>
        <v>0.08452380952380951</v>
      </c>
      <c r="C41" s="15">
        <f t="shared" si="12"/>
        <v>0.12678571428571428</v>
      </c>
      <c r="D41" s="15">
        <f t="shared" si="12"/>
        <v>0.12678571428571428</v>
      </c>
      <c r="E41" s="15">
        <f t="shared" si="12"/>
        <v>0.12678571428571428</v>
      </c>
      <c r="F41" s="15">
        <f t="shared" si="12"/>
        <v>0.12678571428571428</v>
      </c>
      <c r="G41" s="15">
        <f t="shared" si="12"/>
        <v>0.12678571428571428</v>
      </c>
      <c r="H41" s="15">
        <f t="shared" si="12"/>
        <v>0.12678571428571428</v>
      </c>
      <c r="I41" s="15">
        <f t="shared" si="12"/>
        <v>0.12678571428571428</v>
      </c>
      <c r="J41" s="15">
        <f t="shared" si="12"/>
        <v>0.12678571428571428</v>
      </c>
      <c r="K41" s="15">
        <f t="shared" si="12"/>
        <v>0.08452380952380951</v>
      </c>
      <c r="L41" s="15">
        <f t="shared" si="12"/>
        <v>0.08452380952380951</v>
      </c>
      <c r="M41" s="15">
        <f t="shared" si="12"/>
        <v>0.08452380952380951</v>
      </c>
    </row>
    <row r="42" spans="1:13" ht="13.5">
      <c r="A42" s="16" t="s">
        <v>42</v>
      </c>
      <c r="B42" s="17">
        <f aca="true" t="shared" si="13" ref="B42:M42">SUM(B38:B39)</f>
        <v>0.08218915343915342</v>
      </c>
      <c r="C42" s="17">
        <f t="shared" si="13"/>
        <v>0.13602733686067017</v>
      </c>
      <c r="D42" s="17">
        <f t="shared" si="13"/>
        <v>0.13602733686067017</v>
      </c>
      <c r="E42" s="17">
        <f t="shared" si="13"/>
        <v>0.24370370370370367</v>
      </c>
      <c r="F42" s="17">
        <f t="shared" si="13"/>
        <v>0.3513800705467372</v>
      </c>
      <c r="G42" s="17">
        <f t="shared" si="13"/>
        <v>0.37686728395061725</v>
      </c>
      <c r="H42" s="17">
        <f t="shared" si="13"/>
        <v>0.37686728395061725</v>
      </c>
      <c r="I42" s="17">
        <f t="shared" si="13"/>
        <v>0.37686728395061725</v>
      </c>
      <c r="J42" s="17">
        <f t="shared" si="13"/>
        <v>0.37686728395061725</v>
      </c>
      <c r="K42" s="17">
        <f t="shared" si="13"/>
        <v>0.37686728395061725</v>
      </c>
      <c r="L42" s="17">
        <f t="shared" si="13"/>
        <v>0.37686728395061725</v>
      </c>
      <c r="M42" s="17">
        <f t="shared" si="13"/>
        <v>0.16151455026455025</v>
      </c>
    </row>
    <row r="43" spans="1:13" ht="13.5">
      <c r="A43" s="16" t="s">
        <v>43</v>
      </c>
      <c r="B43" s="17">
        <f aca="true" t="shared" si="14" ref="B43:G43">SUM(B40:B41)</f>
        <v>1.345</v>
      </c>
      <c r="C43" s="17">
        <f t="shared" si="14"/>
        <v>2.507685185185186</v>
      </c>
      <c r="D43" s="17">
        <f t="shared" si="14"/>
        <v>3.978240740740741</v>
      </c>
      <c r="E43" s="17">
        <f t="shared" si="14"/>
        <v>5.868955026455027</v>
      </c>
      <c r="F43" s="17">
        <f t="shared" si="14"/>
        <v>8.459933862433864</v>
      </c>
      <c r="G43" s="17">
        <f t="shared" si="14"/>
        <v>11.751177248677251</v>
      </c>
      <c r="H43" s="17">
        <f aca="true" t="shared" si="15" ref="H43:M43">SUM(H40:H41)</f>
        <v>15.042420634920637</v>
      </c>
      <c r="I43" s="17">
        <f t="shared" si="15"/>
        <v>13.151706349206352</v>
      </c>
      <c r="J43" s="17">
        <f t="shared" si="15"/>
        <v>13.501838624338626</v>
      </c>
      <c r="K43" s="17">
        <f t="shared" si="15"/>
        <v>13.389550264550266</v>
      </c>
      <c r="L43" s="17">
        <f t="shared" si="15"/>
        <v>12.269126984126984</v>
      </c>
      <c r="M43" s="17">
        <f t="shared" si="15"/>
        <v>7.787433862433863</v>
      </c>
    </row>
    <row r="44" spans="1:13" ht="13.5">
      <c r="A44" s="16" t="s">
        <v>11</v>
      </c>
      <c r="B44" s="17">
        <f aca="true" t="shared" si="16" ref="B44:G44">SUM(B38:B41)</f>
        <v>1.4271891534391534</v>
      </c>
      <c r="C44" s="17">
        <f t="shared" si="16"/>
        <v>2.643712522045856</v>
      </c>
      <c r="D44" s="17">
        <f t="shared" si="16"/>
        <v>4.1142680776014116</v>
      </c>
      <c r="E44" s="17">
        <f t="shared" si="16"/>
        <v>6.1126587301587305</v>
      </c>
      <c r="F44" s="17">
        <f t="shared" si="16"/>
        <v>8.811313932980601</v>
      </c>
      <c r="G44" s="17">
        <f t="shared" si="16"/>
        <v>12.128044532627868</v>
      </c>
      <c r="H44" s="17">
        <f aca="true" t="shared" si="17" ref="H44:M44">SUM(H38:H41)</f>
        <v>15.419287918871253</v>
      </c>
      <c r="I44" s="17">
        <f t="shared" si="17"/>
        <v>13.528573633156968</v>
      </c>
      <c r="J44" s="17">
        <f t="shared" si="17"/>
        <v>13.878705908289243</v>
      </c>
      <c r="K44" s="17">
        <f t="shared" si="17"/>
        <v>13.766417548500883</v>
      </c>
      <c r="L44" s="17">
        <f t="shared" si="17"/>
        <v>12.645994268077601</v>
      </c>
      <c r="M44" s="17">
        <f t="shared" si="17"/>
        <v>7.948948412698413</v>
      </c>
    </row>
    <row r="45" spans="8:9" ht="13.5">
      <c r="H45" s="2"/>
      <c r="I45" s="2"/>
    </row>
    <row r="46" spans="8:9" ht="13.5">
      <c r="H46" s="2"/>
      <c r="I46" s="2"/>
    </row>
    <row r="47" spans="1:9" ht="13.5">
      <c r="A47" s="1"/>
      <c r="B47" s="2"/>
      <c r="C47" s="2"/>
      <c r="D47" s="2"/>
      <c r="E47" s="2"/>
      <c r="F47" s="2"/>
      <c r="G47" s="2"/>
      <c r="H47" s="2"/>
      <c r="I47" s="2"/>
    </row>
    <row r="48" spans="1:9" ht="13.5">
      <c r="A48" s="22" t="s">
        <v>80</v>
      </c>
      <c r="B48" s="23"/>
      <c r="C48" s="23"/>
      <c r="D48" s="23"/>
      <c r="E48" s="23"/>
      <c r="F48" s="23"/>
      <c r="G48" s="23"/>
      <c r="H48" s="2"/>
      <c r="I48" s="2"/>
    </row>
    <row r="49" spans="1:13" ht="13.5">
      <c r="A49" s="144" t="s">
        <v>19</v>
      </c>
      <c r="B49" s="24" t="s">
        <v>10</v>
      </c>
      <c r="C49" s="7"/>
      <c r="D49" s="7"/>
      <c r="E49" s="7"/>
      <c r="F49" s="7"/>
      <c r="G49" s="7"/>
      <c r="H49" s="7"/>
      <c r="I49" s="7"/>
      <c r="J49" s="9"/>
      <c r="K49" s="9"/>
      <c r="L49" s="9"/>
      <c r="M49" s="10"/>
    </row>
    <row r="50" spans="1:13" ht="13.5">
      <c r="A50" s="152"/>
      <c r="B50" s="11">
        <v>1</v>
      </c>
      <c r="C50" s="11">
        <v>2</v>
      </c>
      <c r="D50" s="11">
        <v>3</v>
      </c>
      <c r="E50" s="11">
        <v>4</v>
      </c>
      <c r="F50" s="11">
        <v>5</v>
      </c>
      <c r="G50" s="11">
        <v>6</v>
      </c>
      <c r="H50" s="11">
        <v>7</v>
      </c>
      <c r="I50" s="11">
        <v>8</v>
      </c>
      <c r="J50" s="11">
        <v>9</v>
      </c>
      <c r="K50" s="11">
        <v>10</v>
      </c>
      <c r="L50" s="11">
        <v>11</v>
      </c>
      <c r="M50" s="11">
        <v>12</v>
      </c>
    </row>
    <row r="51" spans="1:13" ht="13.5">
      <c r="A51" s="13" t="str">
        <f>A5</f>
        <v>On-site pickup truck</v>
      </c>
      <c r="B51" s="15">
        <f aca="true" t="shared" si="18" ref="B51:M51">B$15*$F6</f>
        <v>0.32208994708994704</v>
      </c>
      <c r="C51" s="15">
        <f t="shared" si="18"/>
        <v>0.6441798941798941</v>
      </c>
      <c r="D51" s="15">
        <f t="shared" si="18"/>
        <v>0.6441798941798941</v>
      </c>
      <c r="E51" s="15">
        <f t="shared" si="18"/>
        <v>1.2883597883597881</v>
      </c>
      <c r="F51" s="15">
        <f t="shared" si="18"/>
        <v>1.9325396825396823</v>
      </c>
      <c r="G51" s="15">
        <f t="shared" si="18"/>
        <v>2.2546296296296293</v>
      </c>
      <c r="H51" s="15">
        <f t="shared" si="18"/>
        <v>2.2546296296296293</v>
      </c>
      <c r="I51" s="15">
        <f t="shared" si="18"/>
        <v>2.2546296296296293</v>
      </c>
      <c r="J51" s="15">
        <f t="shared" si="18"/>
        <v>2.2546296296296293</v>
      </c>
      <c r="K51" s="15">
        <f t="shared" si="18"/>
        <v>2.2546296296296293</v>
      </c>
      <c r="L51" s="15">
        <f t="shared" si="18"/>
        <v>2.2546296296296293</v>
      </c>
      <c r="M51" s="15">
        <f t="shared" si="18"/>
        <v>0.9662698412698412</v>
      </c>
    </row>
    <row r="52" spans="1:13" ht="13.5">
      <c r="A52" s="13" t="str">
        <f>A6</f>
        <v>On-site dump truck</v>
      </c>
      <c r="B52" s="15">
        <f aca="true" t="shared" si="19" ref="B52:M52">B$16*$F6</f>
        <v>0.6441798941798941</v>
      </c>
      <c r="C52" s="15">
        <f t="shared" si="19"/>
        <v>0.6441798941798941</v>
      </c>
      <c r="D52" s="15">
        <f t="shared" si="19"/>
        <v>0.6441798941798941</v>
      </c>
      <c r="E52" s="15">
        <f t="shared" si="19"/>
        <v>0.6441798941798941</v>
      </c>
      <c r="F52" s="15">
        <f t="shared" si="19"/>
        <v>0.6441798941798941</v>
      </c>
      <c r="G52" s="15">
        <f t="shared" si="19"/>
        <v>0</v>
      </c>
      <c r="H52" s="15">
        <f t="shared" si="19"/>
        <v>0</v>
      </c>
      <c r="I52" s="15">
        <f t="shared" si="19"/>
        <v>0</v>
      </c>
      <c r="J52" s="15">
        <f t="shared" si="19"/>
        <v>0</v>
      </c>
      <c r="K52" s="15">
        <f t="shared" si="19"/>
        <v>0</v>
      </c>
      <c r="L52" s="15">
        <f t="shared" si="19"/>
        <v>0</v>
      </c>
      <c r="M52" s="15">
        <f t="shared" si="19"/>
        <v>0</v>
      </c>
    </row>
    <row r="53" spans="1:13" ht="13.5">
      <c r="A53" s="13" t="str">
        <f>A7</f>
        <v>Off-site construction worker commute</v>
      </c>
      <c r="B53" s="15">
        <f aca="true" t="shared" si="20" ref="B53:M53">B$17*$F7</f>
        <v>1.2709126984126984</v>
      </c>
      <c r="C53" s="15">
        <f t="shared" si="20"/>
        <v>2.4006128747795414</v>
      </c>
      <c r="D53" s="15">
        <f t="shared" si="20"/>
        <v>3.883344356261023</v>
      </c>
      <c r="E53" s="15">
        <f t="shared" si="20"/>
        <v>5.789713403880071</v>
      </c>
      <c r="F53" s="15">
        <f t="shared" si="20"/>
        <v>8.402145061728396</v>
      </c>
      <c r="G53" s="15">
        <f t="shared" si="20"/>
        <v>11.720639329805996</v>
      </c>
      <c r="H53" s="15">
        <f t="shared" si="20"/>
        <v>15.039133597883598</v>
      </c>
      <c r="I53" s="15">
        <f t="shared" si="20"/>
        <v>13.13276455026455</v>
      </c>
      <c r="J53" s="15">
        <f t="shared" si="20"/>
        <v>13.48579585537919</v>
      </c>
      <c r="K53" s="15">
        <f t="shared" si="20"/>
        <v>13.415189594356262</v>
      </c>
      <c r="L53" s="15">
        <f t="shared" si="20"/>
        <v>12.285489417989417</v>
      </c>
      <c r="M53" s="15">
        <f t="shared" si="20"/>
        <v>7.766688712522046</v>
      </c>
    </row>
    <row r="54" spans="1:13" ht="13.5">
      <c r="A54" s="13" t="str">
        <f>A8</f>
        <v>Off-site delivery vehicle</v>
      </c>
      <c r="B54" s="15">
        <f aca="true" t="shared" si="21" ref="B54:M54">B$18*$F8</f>
        <v>1.5982142857142856</v>
      </c>
      <c r="C54" s="15">
        <f t="shared" si="21"/>
        <v>2.3973214285714284</v>
      </c>
      <c r="D54" s="15">
        <f t="shared" si="21"/>
        <v>2.3973214285714284</v>
      </c>
      <c r="E54" s="15">
        <f t="shared" si="21"/>
        <v>2.3973214285714284</v>
      </c>
      <c r="F54" s="15">
        <f t="shared" si="21"/>
        <v>2.3973214285714284</v>
      </c>
      <c r="G54" s="15">
        <f t="shared" si="21"/>
        <v>2.3973214285714284</v>
      </c>
      <c r="H54" s="15">
        <f t="shared" si="21"/>
        <v>2.3973214285714284</v>
      </c>
      <c r="I54" s="15">
        <f t="shared" si="21"/>
        <v>2.3973214285714284</v>
      </c>
      <c r="J54" s="15">
        <f t="shared" si="21"/>
        <v>2.3973214285714284</v>
      </c>
      <c r="K54" s="15">
        <f t="shared" si="21"/>
        <v>1.5982142857142856</v>
      </c>
      <c r="L54" s="15">
        <f t="shared" si="21"/>
        <v>1.5982142857142856</v>
      </c>
      <c r="M54" s="15">
        <f t="shared" si="21"/>
        <v>1.5982142857142856</v>
      </c>
    </row>
    <row r="55" spans="1:13" ht="13.5">
      <c r="A55" s="16" t="s">
        <v>42</v>
      </c>
      <c r="B55" s="17">
        <f aca="true" t="shared" si="22" ref="B55:M55">SUM(B51:B52)</f>
        <v>0.9662698412698412</v>
      </c>
      <c r="C55" s="17">
        <f t="shared" si="22"/>
        <v>1.2883597883597881</v>
      </c>
      <c r="D55" s="17">
        <f t="shared" si="22"/>
        <v>1.2883597883597881</v>
      </c>
      <c r="E55" s="17">
        <f t="shared" si="22"/>
        <v>1.9325396825396823</v>
      </c>
      <c r="F55" s="17">
        <f t="shared" si="22"/>
        <v>2.5767195767195763</v>
      </c>
      <c r="G55" s="17">
        <f t="shared" si="22"/>
        <v>2.2546296296296293</v>
      </c>
      <c r="H55" s="17">
        <f t="shared" si="22"/>
        <v>2.2546296296296293</v>
      </c>
      <c r="I55" s="17">
        <f t="shared" si="22"/>
        <v>2.2546296296296293</v>
      </c>
      <c r="J55" s="17">
        <f t="shared" si="22"/>
        <v>2.2546296296296293</v>
      </c>
      <c r="K55" s="17">
        <f t="shared" si="22"/>
        <v>2.2546296296296293</v>
      </c>
      <c r="L55" s="17">
        <f t="shared" si="22"/>
        <v>2.2546296296296293</v>
      </c>
      <c r="M55" s="17">
        <f t="shared" si="22"/>
        <v>0.9662698412698412</v>
      </c>
    </row>
    <row r="56" spans="1:13" ht="13.5">
      <c r="A56" s="16" t="s">
        <v>43</v>
      </c>
      <c r="B56" s="17">
        <f aca="true" t="shared" si="23" ref="B56:G56">SUM(B53:B54)</f>
        <v>2.869126984126984</v>
      </c>
      <c r="C56" s="17">
        <f t="shared" si="23"/>
        <v>4.79793430335097</v>
      </c>
      <c r="D56" s="17">
        <f t="shared" si="23"/>
        <v>6.280665784832451</v>
      </c>
      <c r="E56" s="17">
        <f t="shared" si="23"/>
        <v>8.187034832451499</v>
      </c>
      <c r="F56" s="17">
        <f t="shared" si="23"/>
        <v>10.799466490299825</v>
      </c>
      <c r="G56" s="17">
        <f t="shared" si="23"/>
        <v>14.117960758377425</v>
      </c>
      <c r="H56" s="17">
        <f aca="true" t="shared" si="24" ref="H56:M56">SUM(H53:H54)</f>
        <v>17.436455026455025</v>
      </c>
      <c r="I56" s="17">
        <f t="shared" si="24"/>
        <v>15.530085978835979</v>
      </c>
      <c r="J56" s="17">
        <f t="shared" si="24"/>
        <v>15.883117283950618</v>
      </c>
      <c r="K56" s="17">
        <f t="shared" si="24"/>
        <v>15.013403880070548</v>
      </c>
      <c r="L56" s="17">
        <f t="shared" si="24"/>
        <v>13.883703703703702</v>
      </c>
      <c r="M56" s="17">
        <f t="shared" si="24"/>
        <v>9.364902998236332</v>
      </c>
    </row>
    <row r="57" spans="1:13" ht="13.5">
      <c r="A57" s="16" t="s">
        <v>11</v>
      </c>
      <c r="B57" s="17">
        <f aca="true" t="shared" si="25" ref="B57:G57">SUM(B51:B54)</f>
        <v>3.835396825396825</v>
      </c>
      <c r="C57" s="17">
        <f t="shared" si="25"/>
        <v>6.086294091710759</v>
      </c>
      <c r="D57" s="17">
        <f t="shared" si="25"/>
        <v>7.56902557319224</v>
      </c>
      <c r="E57" s="17">
        <f t="shared" si="25"/>
        <v>10.119574514991182</v>
      </c>
      <c r="F57" s="17">
        <f t="shared" si="25"/>
        <v>13.3761860670194</v>
      </c>
      <c r="G57" s="17">
        <f t="shared" si="25"/>
        <v>16.372590388007055</v>
      </c>
      <c r="H57" s="17">
        <f aca="true" t="shared" si="26" ref="H57:M57">SUM(H51:H54)</f>
        <v>19.691084656084655</v>
      </c>
      <c r="I57" s="17">
        <f t="shared" si="26"/>
        <v>17.784715608465607</v>
      </c>
      <c r="J57" s="17">
        <f t="shared" si="26"/>
        <v>18.137746913580248</v>
      </c>
      <c r="K57" s="17">
        <f t="shared" si="26"/>
        <v>17.268033509700178</v>
      </c>
      <c r="L57" s="17">
        <f t="shared" si="26"/>
        <v>16.138333333333332</v>
      </c>
      <c r="M57" s="17">
        <f t="shared" si="26"/>
        <v>10.331172839506173</v>
      </c>
    </row>
    <row r="58" spans="8:9" ht="13.5">
      <c r="H58" s="2"/>
      <c r="I58" s="2"/>
    </row>
    <row r="59" spans="8:9" ht="13.5">
      <c r="H59" s="2"/>
      <c r="I59" s="2"/>
    </row>
    <row r="60" spans="1:9" ht="13.5">
      <c r="A60" s="1"/>
      <c r="B60" s="2"/>
      <c r="C60" s="2"/>
      <c r="D60" s="2"/>
      <c r="E60" s="2"/>
      <c r="F60" s="2"/>
      <c r="G60" s="2"/>
      <c r="H60" s="2"/>
      <c r="I60" s="2"/>
    </row>
    <row r="61" spans="1:9" ht="13.5">
      <c r="A61" s="22" t="s">
        <v>74</v>
      </c>
      <c r="B61" s="23"/>
      <c r="C61" s="23"/>
      <c r="D61" s="23"/>
      <c r="E61" s="23"/>
      <c r="F61" s="23"/>
      <c r="G61" s="23"/>
      <c r="H61" s="2"/>
      <c r="I61" s="2"/>
    </row>
    <row r="62" spans="1:13" ht="13.5">
      <c r="A62" s="144" t="s">
        <v>19</v>
      </c>
      <c r="B62" s="24" t="s">
        <v>10</v>
      </c>
      <c r="C62" s="7"/>
      <c r="D62" s="7"/>
      <c r="E62" s="7"/>
      <c r="F62" s="7"/>
      <c r="G62" s="7"/>
      <c r="H62" s="7"/>
      <c r="I62" s="7"/>
      <c r="J62" s="9"/>
      <c r="K62" s="9"/>
      <c r="L62" s="9"/>
      <c r="M62" s="10"/>
    </row>
    <row r="63" spans="1:13" ht="13.5">
      <c r="A63" s="152"/>
      <c r="B63" s="11">
        <v>1</v>
      </c>
      <c r="C63" s="11">
        <v>2</v>
      </c>
      <c r="D63" s="11">
        <v>3</v>
      </c>
      <c r="E63" s="11">
        <v>4</v>
      </c>
      <c r="F63" s="11">
        <v>5</v>
      </c>
      <c r="G63" s="11">
        <v>6</v>
      </c>
      <c r="H63" s="11">
        <v>7</v>
      </c>
      <c r="I63" s="11">
        <v>8</v>
      </c>
      <c r="J63" s="11">
        <v>9</v>
      </c>
      <c r="K63" s="11">
        <v>10</v>
      </c>
      <c r="L63" s="11">
        <v>11</v>
      </c>
      <c r="M63" s="11">
        <v>12</v>
      </c>
    </row>
    <row r="64" spans="1:13" ht="13.5">
      <c r="A64" s="13" t="str">
        <f>A5</f>
        <v>On-site pickup truck</v>
      </c>
      <c r="B64" s="15">
        <f aca="true" t="shared" si="27" ref="B64:M64">B$15*$G5</f>
        <v>0.0007054673721340387</v>
      </c>
      <c r="C64" s="15">
        <f t="shared" si="27"/>
        <v>0.0014109347442680775</v>
      </c>
      <c r="D64" s="15">
        <f t="shared" si="27"/>
        <v>0.0014109347442680775</v>
      </c>
      <c r="E64" s="15">
        <f t="shared" si="27"/>
        <v>0.002821869488536155</v>
      </c>
      <c r="F64" s="15">
        <f t="shared" si="27"/>
        <v>0.004232804232804232</v>
      </c>
      <c r="G64" s="15">
        <f t="shared" si="27"/>
        <v>0.0049382716049382715</v>
      </c>
      <c r="H64" s="15">
        <f t="shared" si="27"/>
        <v>0.0049382716049382715</v>
      </c>
      <c r="I64" s="15">
        <f t="shared" si="27"/>
        <v>0.0049382716049382715</v>
      </c>
      <c r="J64" s="15">
        <f t="shared" si="27"/>
        <v>0.0049382716049382715</v>
      </c>
      <c r="K64" s="15">
        <f t="shared" si="27"/>
        <v>0.0049382716049382715</v>
      </c>
      <c r="L64" s="15">
        <f t="shared" si="27"/>
        <v>0.0049382716049382715</v>
      </c>
      <c r="M64" s="15">
        <f t="shared" si="27"/>
        <v>0.002116402116402116</v>
      </c>
    </row>
    <row r="65" spans="1:13" ht="13.5">
      <c r="A65" s="13" t="str">
        <f>A6</f>
        <v>On-site dump truck</v>
      </c>
      <c r="B65" s="15">
        <f aca="true" t="shared" si="28" ref="B65:M65">B$16*$G6</f>
        <v>0.029144620811287478</v>
      </c>
      <c r="C65" s="15">
        <f t="shared" si="28"/>
        <v>0.029144620811287478</v>
      </c>
      <c r="D65" s="15">
        <f t="shared" si="28"/>
        <v>0.029144620811287478</v>
      </c>
      <c r="E65" s="15">
        <f t="shared" si="28"/>
        <v>0.029144620811287478</v>
      </c>
      <c r="F65" s="15">
        <f t="shared" si="28"/>
        <v>0.029144620811287478</v>
      </c>
      <c r="G65" s="15">
        <f t="shared" si="28"/>
        <v>0</v>
      </c>
      <c r="H65" s="15">
        <f t="shared" si="28"/>
        <v>0</v>
      </c>
      <c r="I65" s="15">
        <f t="shared" si="28"/>
        <v>0</v>
      </c>
      <c r="J65" s="15">
        <f t="shared" si="28"/>
        <v>0</v>
      </c>
      <c r="K65" s="15">
        <f t="shared" si="28"/>
        <v>0</v>
      </c>
      <c r="L65" s="15">
        <f t="shared" si="28"/>
        <v>0</v>
      </c>
      <c r="M65" s="15">
        <f t="shared" si="28"/>
        <v>0</v>
      </c>
    </row>
    <row r="66" spans="1:13" ht="13.5">
      <c r="A66" s="13" t="str">
        <f>A7</f>
        <v>Off-site construction worker commute</v>
      </c>
      <c r="B66" s="15">
        <f aca="true" t="shared" si="29" ref="B66:M66">B$17*$G7</f>
        <v>0.011329365079365078</v>
      </c>
      <c r="C66" s="15">
        <f t="shared" si="29"/>
        <v>0.021399911816578483</v>
      </c>
      <c r="D66" s="15">
        <f t="shared" si="29"/>
        <v>0.03461750440917107</v>
      </c>
      <c r="E66" s="15">
        <f t="shared" si="29"/>
        <v>0.05161155202821869</v>
      </c>
      <c r="F66" s="15">
        <f t="shared" si="29"/>
        <v>0.07489969135802468</v>
      </c>
      <c r="G66" s="15">
        <f t="shared" si="29"/>
        <v>0.10448192239858906</v>
      </c>
      <c r="H66" s="15">
        <f t="shared" si="29"/>
        <v>0.13406415343915343</v>
      </c>
      <c r="I66" s="15">
        <f t="shared" si="29"/>
        <v>0.11707010582010581</v>
      </c>
      <c r="J66" s="15">
        <f t="shared" si="29"/>
        <v>0.120217151675485</v>
      </c>
      <c r="K66" s="15">
        <f t="shared" si="29"/>
        <v>0.11958774250440916</v>
      </c>
      <c r="L66" s="15">
        <f t="shared" si="29"/>
        <v>0.10951719576719575</v>
      </c>
      <c r="M66" s="15">
        <f t="shared" si="29"/>
        <v>0.06923500881834214</v>
      </c>
    </row>
    <row r="67" spans="1:13" ht="13.5">
      <c r="A67" s="13" t="str">
        <f>A8</f>
        <v>Off-site delivery vehicle</v>
      </c>
      <c r="B67" s="15">
        <f aca="true" t="shared" si="30" ref="B67:M67">B$18*$G8</f>
        <v>0.041666666666666664</v>
      </c>
      <c r="C67" s="15">
        <f t="shared" si="30"/>
        <v>0.0625</v>
      </c>
      <c r="D67" s="15">
        <f t="shared" si="30"/>
        <v>0.0625</v>
      </c>
      <c r="E67" s="15">
        <f t="shared" si="30"/>
        <v>0.0625</v>
      </c>
      <c r="F67" s="15">
        <f t="shared" si="30"/>
        <v>0.0625</v>
      </c>
      <c r="G67" s="15">
        <f t="shared" si="30"/>
        <v>0.0625</v>
      </c>
      <c r="H67" s="15">
        <f t="shared" si="30"/>
        <v>0.0625</v>
      </c>
      <c r="I67" s="15">
        <f t="shared" si="30"/>
        <v>0.0625</v>
      </c>
      <c r="J67" s="15">
        <f t="shared" si="30"/>
        <v>0.0625</v>
      </c>
      <c r="K67" s="15">
        <f t="shared" si="30"/>
        <v>0.041666666666666664</v>
      </c>
      <c r="L67" s="15">
        <f t="shared" si="30"/>
        <v>0.041666666666666664</v>
      </c>
      <c r="M67" s="15">
        <f t="shared" si="30"/>
        <v>0.041666666666666664</v>
      </c>
    </row>
    <row r="68" spans="1:13" ht="13.5">
      <c r="A68" s="16" t="s">
        <v>42</v>
      </c>
      <c r="B68" s="17">
        <f aca="true" t="shared" si="31" ref="B68:M68">SUM(B64:B65)</f>
        <v>0.029850088183421518</v>
      </c>
      <c r="C68" s="17">
        <f t="shared" si="31"/>
        <v>0.030555555555555555</v>
      </c>
      <c r="D68" s="17">
        <f t="shared" si="31"/>
        <v>0.030555555555555555</v>
      </c>
      <c r="E68" s="17">
        <f t="shared" si="31"/>
        <v>0.03196649029982363</v>
      </c>
      <c r="F68" s="17">
        <f t="shared" si="31"/>
        <v>0.03337742504409171</v>
      </c>
      <c r="G68" s="17">
        <f t="shared" si="31"/>
        <v>0.0049382716049382715</v>
      </c>
      <c r="H68" s="17">
        <f t="shared" si="31"/>
        <v>0.0049382716049382715</v>
      </c>
      <c r="I68" s="17">
        <f t="shared" si="31"/>
        <v>0.0049382716049382715</v>
      </c>
      <c r="J68" s="17">
        <f t="shared" si="31"/>
        <v>0.0049382716049382715</v>
      </c>
      <c r="K68" s="17">
        <f t="shared" si="31"/>
        <v>0.0049382716049382715</v>
      </c>
      <c r="L68" s="17">
        <f t="shared" si="31"/>
        <v>0.0049382716049382715</v>
      </c>
      <c r="M68" s="17">
        <f t="shared" si="31"/>
        <v>0.002116402116402116</v>
      </c>
    </row>
    <row r="69" spans="1:13" ht="13.5">
      <c r="A69" s="16" t="s">
        <v>43</v>
      </c>
      <c r="B69" s="17">
        <f aca="true" t="shared" si="32" ref="B69:G69">SUM(B66:B67)</f>
        <v>0.05299603174603174</v>
      </c>
      <c r="C69" s="17">
        <f t="shared" si="32"/>
        <v>0.08389991181657848</v>
      </c>
      <c r="D69" s="17">
        <f t="shared" si="32"/>
        <v>0.09711750440917108</v>
      </c>
      <c r="E69" s="17">
        <f t="shared" si="32"/>
        <v>0.11411155202821868</v>
      </c>
      <c r="F69" s="17">
        <f t="shared" si="32"/>
        <v>0.13739969135802468</v>
      </c>
      <c r="G69" s="17">
        <f t="shared" si="32"/>
        <v>0.16698192239858906</v>
      </c>
      <c r="H69" s="17">
        <f aca="true" t="shared" si="33" ref="H69:M69">SUM(H66:H67)</f>
        <v>0.19656415343915343</v>
      </c>
      <c r="I69" s="17">
        <f t="shared" si="33"/>
        <v>0.1795701058201058</v>
      </c>
      <c r="J69" s="17">
        <f t="shared" si="33"/>
        <v>0.182717151675485</v>
      </c>
      <c r="K69" s="17">
        <f t="shared" si="33"/>
        <v>0.16125440917107584</v>
      </c>
      <c r="L69" s="17">
        <f t="shared" si="33"/>
        <v>0.15118386243386242</v>
      </c>
      <c r="M69" s="17">
        <f t="shared" si="33"/>
        <v>0.11090167548500882</v>
      </c>
    </row>
    <row r="70" spans="1:13" ht="13.5">
      <c r="A70" s="16" t="s">
        <v>11</v>
      </c>
      <c r="B70" s="17">
        <f aca="true" t="shared" si="34" ref="B70:G70">SUM(B64:B67)</f>
        <v>0.08284611992945326</v>
      </c>
      <c r="C70" s="17">
        <f t="shared" si="34"/>
        <v>0.11445546737213404</v>
      </c>
      <c r="D70" s="17">
        <f t="shared" si="34"/>
        <v>0.1276730599647266</v>
      </c>
      <c r="E70" s="17">
        <f t="shared" si="34"/>
        <v>0.14607804232804233</v>
      </c>
      <c r="F70" s="17">
        <f t="shared" si="34"/>
        <v>0.1707771164021164</v>
      </c>
      <c r="G70" s="17">
        <f t="shared" si="34"/>
        <v>0.17192019400352732</v>
      </c>
      <c r="H70" s="17">
        <f aca="true" t="shared" si="35" ref="H70:M70">SUM(H64:H67)</f>
        <v>0.2015024250440917</v>
      </c>
      <c r="I70" s="17">
        <f t="shared" si="35"/>
        <v>0.18450837742504408</v>
      </c>
      <c r="J70" s="17">
        <f t="shared" si="35"/>
        <v>0.18765542328042326</v>
      </c>
      <c r="K70" s="17">
        <f t="shared" si="35"/>
        <v>0.1661926807760141</v>
      </c>
      <c r="L70" s="17">
        <f t="shared" si="35"/>
        <v>0.15612213403880068</v>
      </c>
      <c r="M70" s="17">
        <f t="shared" si="35"/>
        <v>0.11301807760141092</v>
      </c>
    </row>
    <row r="71" spans="8:9" ht="13.5">
      <c r="H71" s="2"/>
      <c r="I71" s="2"/>
    </row>
    <row r="72" spans="8:9" ht="13.5">
      <c r="H72" s="2"/>
      <c r="I72" s="2"/>
    </row>
    <row r="73" spans="1:9" ht="13.5">
      <c r="A73" s="1"/>
      <c r="B73" s="2"/>
      <c r="C73" s="2"/>
      <c r="D73" s="2"/>
      <c r="E73" s="2"/>
      <c r="F73" s="2"/>
      <c r="G73" s="2"/>
      <c r="H73" s="2"/>
      <c r="I73" s="2"/>
    </row>
    <row r="74" spans="1:9" ht="13.5">
      <c r="A74" s="22" t="s">
        <v>75</v>
      </c>
      <c r="B74" s="23"/>
      <c r="C74" s="23"/>
      <c r="D74" s="23"/>
      <c r="E74" s="23"/>
      <c r="F74" s="23"/>
      <c r="G74" s="23"/>
      <c r="H74" s="2"/>
      <c r="I74" s="2"/>
    </row>
    <row r="75" spans="1:13" ht="13.5">
      <c r="A75" s="144" t="s">
        <v>19</v>
      </c>
      <c r="B75" s="24" t="s">
        <v>10</v>
      </c>
      <c r="C75" s="7"/>
      <c r="D75" s="7"/>
      <c r="E75" s="7"/>
      <c r="F75" s="7"/>
      <c r="G75" s="7"/>
      <c r="H75" s="7"/>
      <c r="I75" s="7"/>
      <c r="J75" s="9"/>
      <c r="K75" s="9"/>
      <c r="L75" s="9"/>
      <c r="M75" s="10"/>
    </row>
    <row r="76" spans="1:13" ht="13.5">
      <c r="A76" s="152"/>
      <c r="B76" s="11">
        <v>1</v>
      </c>
      <c r="C76" s="11">
        <v>2</v>
      </c>
      <c r="D76" s="11">
        <v>3</v>
      </c>
      <c r="E76" s="11">
        <v>4</v>
      </c>
      <c r="F76" s="11">
        <v>5</v>
      </c>
      <c r="G76" s="11">
        <v>6</v>
      </c>
      <c r="H76" s="11">
        <v>7</v>
      </c>
      <c r="I76" s="11">
        <v>8</v>
      </c>
      <c r="J76" s="11">
        <v>9</v>
      </c>
      <c r="K76" s="11">
        <v>10</v>
      </c>
      <c r="L76" s="11">
        <v>11</v>
      </c>
      <c r="M76" s="11">
        <v>12</v>
      </c>
    </row>
    <row r="77" spans="1:13" ht="13.5">
      <c r="A77" s="13" t="str">
        <f>A5</f>
        <v>On-site pickup truck</v>
      </c>
      <c r="B77" s="15">
        <f aca="true" t="shared" si="36" ref="B77:M77">B$15*$H5</f>
        <v>0.02063710877418622</v>
      </c>
      <c r="C77" s="15">
        <f t="shared" si="36"/>
        <v>0.04127421754837244</v>
      </c>
      <c r="D77" s="15">
        <f t="shared" si="36"/>
        <v>0.04127421754837244</v>
      </c>
      <c r="E77" s="15">
        <f t="shared" si="36"/>
        <v>0.08254843509674488</v>
      </c>
      <c r="F77" s="15">
        <f t="shared" si="36"/>
        <v>0.12382265264511733</v>
      </c>
      <c r="G77" s="15">
        <f t="shared" si="36"/>
        <v>0.14445976141930353</v>
      </c>
      <c r="H77" s="15">
        <f t="shared" si="36"/>
        <v>0.14445976141930353</v>
      </c>
      <c r="I77" s="15">
        <f t="shared" si="36"/>
        <v>0.14445976141930353</v>
      </c>
      <c r="J77" s="15">
        <f t="shared" si="36"/>
        <v>0.14445976141930353</v>
      </c>
      <c r="K77" s="15">
        <f t="shared" si="36"/>
        <v>0.14445976141930353</v>
      </c>
      <c r="L77" s="15">
        <f t="shared" si="36"/>
        <v>0.14445976141930353</v>
      </c>
      <c r="M77" s="15">
        <f t="shared" si="36"/>
        <v>0.06191132632255866</v>
      </c>
    </row>
    <row r="78" spans="1:13" ht="13.5">
      <c r="A78" s="13" t="str">
        <f>A6</f>
        <v>On-site dump truck</v>
      </c>
      <c r="B78" s="15">
        <f aca="true" t="shared" si="37" ref="B78:M78">B$16*$H6</f>
        <v>1.389394544066018</v>
      </c>
      <c r="C78" s="15">
        <f t="shared" si="37"/>
        <v>1.389394544066018</v>
      </c>
      <c r="D78" s="15">
        <f t="shared" si="37"/>
        <v>1.389394544066018</v>
      </c>
      <c r="E78" s="15">
        <f t="shared" si="37"/>
        <v>1.389394544066018</v>
      </c>
      <c r="F78" s="15">
        <f t="shared" si="37"/>
        <v>1.389394544066018</v>
      </c>
      <c r="G78" s="15">
        <f t="shared" si="37"/>
        <v>0</v>
      </c>
      <c r="H78" s="15">
        <f t="shared" si="37"/>
        <v>0</v>
      </c>
      <c r="I78" s="15">
        <f t="shared" si="37"/>
        <v>0</v>
      </c>
      <c r="J78" s="15">
        <f t="shared" si="37"/>
        <v>0</v>
      </c>
      <c r="K78" s="15">
        <f t="shared" si="37"/>
        <v>0</v>
      </c>
      <c r="L78" s="15">
        <f t="shared" si="37"/>
        <v>0</v>
      </c>
      <c r="M78" s="15">
        <f t="shared" si="37"/>
        <v>0</v>
      </c>
    </row>
    <row r="79" spans="1:13" ht="13.5">
      <c r="A79" s="13" t="str">
        <f>A7</f>
        <v>Off-site construction worker commute</v>
      </c>
      <c r="B79" s="15">
        <f aca="true" t="shared" si="38" ref="B79:M79">B$17*$H7</f>
        <v>0.190024077024434</v>
      </c>
      <c r="C79" s="15">
        <f t="shared" si="38"/>
        <v>0.3589343677128198</v>
      </c>
      <c r="D79" s="15">
        <f t="shared" si="38"/>
        <v>0.5806291242413262</v>
      </c>
      <c r="E79" s="15">
        <f t="shared" si="38"/>
        <v>0.8656652397779772</v>
      </c>
      <c r="F79" s="15">
        <f t="shared" si="38"/>
        <v>1.2562702869948692</v>
      </c>
      <c r="G79" s="15">
        <f t="shared" si="38"/>
        <v>1.7524442658920025</v>
      </c>
      <c r="H79" s="15">
        <f t="shared" si="38"/>
        <v>2.2486182447891356</v>
      </c>
      <c r="I79" s="15">
        <f t="shared" si="38"/>
        <v>1.9635821292524847</v>
      </c>
      <c r="J79" s="15">
        <f t="shared" si="38"/>
        <v>2.016366595092605</v>
      </c>
      <c r="K79" s="15">
        <f t="shared" si="38"/>
        <v>2.0058097019245813</v>
      </c>
      <c r="L79" s="15">
        <f t="shared" si="38"/>
        <v>1.8368994112361954</v>
      </c>
      <c r="M79" s="15">
        <f t="shared" si="38"/>
        <v>1.1612582484826524</v>
      </c>
    </row>
    <row r="80" spans="1:13" ht="13.5">
      <c r="A80" s="13" t="str">
        <f>A8</f>
        <v>Off-site delivery vehicle</v>
      </c>
      <c r="B80" s="15">
        <f aca="true" t="shared" si="39" ref="B80:M80">B$18*$H8</f>
        <v>0.9313863012558993</v>
      </c>
      <c r="C80" s="15">
        <f t="shared" si="39"/>
        <v>1.397079451883849</v>
      </c>
      <c r="D80" s="15">
        <f t="shared" si="39"/>
        <v>1.397079451883849</v>
      </c>
      <c r="E80" s="15">
        <f t="shared" si="39"/>
        <v>1.397079451883849</v>
      </c>
      <c r="F80" s="15">
        <f t="shared" si="39"/>
        <v>1.397079451883849</v>
      </c>
      <c r="G80" s="15">
        <f t="shared" si="39"/>
        <v>1.397079451883849</v>
      </c>
      <c r="H80" s="15">
        <f t="shared" si="39"/>
        <v>1.397079451883849</v>
      </c>
      <c r="I80" s="15">
        <f t="shared" si="39"/>
        <v>1.397079451883849</v>
      </c>
      <c r="J80" s="15">
        <f t="shared" si="39"/>
        <v>1.397079451883849</v>
      </c>
      <c r="K80" s="15">
        <f t="shared" si="39"/>
        <v>0.9313863012558993</v>
      </c>
      <c r="L80" s="15">
        <f t="shared" si="39"/>
        <v>0.9313863012558993</v>
      </c>
      <c r="M80" s="15">
        <f t="shared" si="39"/>
        <v>0.9313863012558993</v>
      </c>
    </row>
    <row r="81" spans="1:13" ht="13.5">
      <c r="A81" s="16" t="s">
        <v>42</v>
      </c>
      <c r="B81" s="17">
        <f aca="true" t="shared" si="40" ref="B81:M81">SUM(B77:B78)</f>
        <v>1.4100316528402042</v>
      </c>
      <c r="C81" s="17">
        <f t="shared" si="40"/>
        <v>1.4306687616143905</v>
      </c>
      <c r="D81" s="17">
        <f t="shared" si="40"/>
        <v>1.4306687616143905</v>
      </c>
      <c r="E81" s="17">
        <f t="shared" si="40"/>
        <v>1.471942979162763</v>
      </c>
      <c r="F81" s="17">
        <f t="shared" si="40"/>
        <v>1.5132171967111354</v>
      </c>
      <c r="G81" s="17">
        <f t="shared" si="40"/>
        <v>0.14445976141930353</v>
      </c>
      <c r="H81" s="17">
        <f t="shared" si="40"/>
        <v>0.14445976141930353</v>
      </c>
      <c r="I81" s="17">
        <f t="shared" si="40"/>
        <v>0.14445976141930353</v>
      </c>
      <c r="J81" s="17">
        <f t="shared" si="40"/>
        <v>0.14445976141930353</v>
      </c>
      <c r="K81" s="17">
        <f t="shared" si="40"/>
        <v>0.14445976141930353</v>
      </c>
      <c r="L81" s="17">
        <f t="shared" si="40"/>
        <v>0.14445976141930353</v>
      </c>
      <c r="M81" s="17">
        <f t="shared" si="40"/>
        <v>0.06191132632255866</v>
      </c>
    </row>
    <row r="82" spans="1:13" ht="13.5">
      <c r="A82" s="16" t="s">
        <v>43</v>
      </c>
      <c r="B82" s="17">
        <f aca="true" t="shared" si="41" ref="B82:G82">SUM(B79:B80)</f>
        <v>1.1214103782803333</v>
      </c>
      <c r="C82" s="17">
        <f t="shared" si="41"/>
        <v>1.7560138195966688</v>
      </c>
      <c r="D82" s="17">
        <f t="shared" si="41"/>
        <v>1.9777085761251751</v>
      </c>
      <c r="E82" s="17">
        <f t="shared" si="41"/>
        <v>2.262744691661826</v>
      </c>
      <c r="F82" s="17">
        <f t="shared" si="41"/>
        <v>2.653349738878718</v>
      </c>
      <c r="G82" s="17">
        <f t="shared" si="41"/>
        <v>3.1495237177758515</v>
      </c>
      <c r="H82" s="17">
        <f aca="true" t="shared" si="42" ref="H82:M82">SUM(H79:H80)</f>
        <v>3.6456976966729844</v>
      </c>
      <c r="I82" s="17">
        <f t="shared" si="42"/>
        <v>3.3606615811363336</v>
      </c>
      <c r="J82" s="17">
        <f t="shared" si="42"/>
        <v>3.4134460469764543</v>
      </c>
      <c r="K82" s="17">
        <f t="shared" si="42"/>
        <v>2.9371960031804805</v>
      </c>
      <c r="L82" s="17">
        <f t="shared" si="42"/>
        <v>2.7682857124920948</v>
      </c>
      <c r="M82" s="17">
        <f t="shared" si="42"/>
        <v>2.0926445497385515</v>
      </c>
    </row>
    <row r="83" spans="1:13" ht="13.5">
      <c r="A83" s="16" t="s">
        <v>11</v>
      </c>
      <c r="B83" s="17">
        <f aca="true" t="shared" si="43" ref="B83:G83">SUM(B77:B80)</f>
        <v>2.5314420311205375</v>
      </c>
      <c r="C83" s="17">
        <f t="shared" si="43"/>
        <v>3.186682581211059</v>
      </c>
      <c r="D83" s="17">
        <f t="shared" si="43"/>
        <v>3.408377337739566</v>
      </c>
      <c r="E83" s="17">
        <f t="shared" si="43"/>
        <v>3.734687670824589</v>
      </c>
      <c r="F83" s="17">
        <f t="shared" si="43"/>
        <v>4.166566935589854</v>
      </c>
      <c r="G83" s="17">
        <f t="shared" si="43"/>
        <v>3.293983479195155</v>
      </c>
      <c r="H83" s="17">
        <f aca="true" t="shared" si="44" ref="H83:M83">SUM(H77:H80)</f>
        <v>3.7901574580922883</v>
      </c>
      <c r="I83" s="17">
        <f t="shared" si="44"/>
        <v>3.505121342555637</v>
      </c>
      <c r="J83" s="17">
        <f t="shared" si="44"/>
        <v>3.5579058083957573</v>
      </c>
      <c r="K83" s="17">
        <f t="shared" si="44"/>
        <v>3.081655764599784</v>
      </c>
      <c r="L83" s="17">
        <f t="shared" si="44"/>
        <v>2.9127454739113983</v>
      </c>
      <c r="M83" s="17">
        <f t="shared" si="44"/>
        <v>2.15455587606111</v>
      </c>
    </row>
    <row r="84" spans="8:9" ht="13.5">
      <c r="H84" s="2"/>
      <c r="I84" s="2"/>
    </row>
    <row r="85" spans="8:9" ht="13.5">
      <c r="H85" s="2"/>
      <c r="I85" s="2"/>
    </row>
    <row r="86" spans="8:9" ht="13.5">
      <c r="H86" s="2"/>
      <c r="I86" s="2"/>
    </row>
    <row r="87" spans="8:9" ht="13.5">
      <c r="H87" s="2"/>
      <c r="I87" s="2"/>
    </row>
    <row r="88" spans="8:9" ht="13.5">
      <c r="H88" s="2"/>
      <c r="I88" s="2"/>
    </row>
  </sheetData>
  <sheetProtection/>
  <mergeCells count="6">
    <mergeCell ref="A13:A14"/>
    <mergeCell ref="A23:A24"/>
    <mergeCell ref="A36:A37"/>
    <mergeCell ref="A75:A76"/>
    <mergeCell ref="A49:A50"/>
    <mergeCell ref="A62:A63"/>
  </mergeCells>
  <printOptions/>
  <pageMargins left="0.74" right="0.5" top="0.75" bottom="0.75" header="0.5" footer="0.5"/>
  <pageSetup firstPageNumber="14" useFirstPageNumber="1" horizontalDpi="300" verticalDpi="300" orientation="landscape" scale="70" r:id="rId1"/>
  <headerFooter alignWithMargins="0">
    <oddHeader>&amp;C&amp;"Arial,Bold"TABLES A-18 THROUGH A-25
CONSTRUCTION VEHICLE EMISSION FACTORS</oddHeader>
    <oddFooter>&amp;C&amp;"Arial Narrow,Regular"A-&amp;P&amp;R&amp;"Arial Narrow,Regular"5/21/03</oddFooter>
  </headerFooter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PageLayoutView="0" workbookViewId="0" topLeftCell="B1">
      <selection activeCell="O21" sqref="O21"/>
    </sheetView>
  </sheetViews>
  <sheetFormatPr defaultColWidth="9.140625" defaultRowHeight="12.75"/>
  <cols>
    <col min="1" max="1" width="24.8515625" style="3" customWidth="1"/>
    <col min="2" max="2" width="22.7109375" style="3" customWidth="1"/>
    <col min="3" max="3" width="6.28125" style="3" customWidth="1"/>
    <col min="4" max="5" width="6.57421875" style="3" customWidth="1"/>
    <col min="6" max="6" width="5.57421875" style="3" customWidth="1"/>
    <col min="7" max="7" width="7.00390625" style="3" customWidth="1"/>
    <col min="8" max="8" width="5.8515625" style="3" customWidth="1"/>
    <col min="9" max="9" width="6.8515625" style="3" customWidth="1"/>
    <col min="10" max="10" width="5.140625" style="3" customWidth="1"/>
    <col min="11" max="11" width="5.8515625" style="3" customWidth="1"/>
    <col min="12" max="12" width="6.8515625" style="3" customWidth="1"/>
    <col min="13" max="13" width="5.8515625" style="3" customWidth="1"/>
    <col min="14" max="14" width="6.28125" style="3" customWidth="1"/>
    <col min="15" max="15" width="6.8515625" style="3" customWidth="1"/>
    <col min="16" max="16" width="5.00390625" style="3" customWidth="1"/>
    <col min="17" max="17" width="6.8515625" style="3" customWidth="1"/>
    <col min="18" max="21" width="5.8515625" style="3" customWidth="1"/>
    <col min="22" max="22" width="6.8515625" style="3" customWidth="1"/>
    <col min="23" max="23" width="5.140625" style="3" customWidth="1"/>
    <col min="24" max="24" width="6.140625" style="3" customWidth="1"/>
    <col min="25" max="16384" width="9.140625" style="3" customWidth="1"/>
  </cols>
  <sheetData>
    <row r="1" ht="13.5">
      <c r="A1" s="25" t="str">
        <f>'Tables A1-A9'!A1</f>
        <v>Chevron/Air Liquide EIR Construction Emissions</v>
      </c>
    </row>
    <row r="2" spans="1:8" ht="13.5">
      <c r="A2" s="1"/>
      <c r="B2" s="2"/>
      <c r="C2" s="2"/>
      <c r="D2" s="2"/>
      <c r="E2" s="2"/>
      <c r="F2" s="2"/>
      <c r="G2" s="2"/>
      <c r="H2" s="2"/>
    </row>
    <row r="3" spans="1:21" ht="13.5">
      <c r="A3" s="4" t="s">
        <v>116</v>
      </c>
      <c r="B3" s="5"/>
      <c r="C3" s="5"/>
      <c r="D3" s="5"/>
      <c r="E3" s="5"/>
      <c r="F3" s="5"/>
      <c r="G3" s="5"/>
      <c r="H3" s="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20" customFormat="1" ht="13.5">
      <c r="A4" s="4"/>
      <c r="B4" s="5"/>
      <c r="C4" s="5"/>
      <c r="D4" s="5"/>
      <c r="E4" s="5"/>
      <c r="F4" s="5"/>
      <c r="G4" s="5"/>
      <c r="H4" s="5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4" ht="13.5">
      <c r="A5" s="40"/>
      <c r="B5" s="40"/>
      <c r="C5" s="40"/>
      <c r="D5" s="40"/>
      <c r="E5" s="41"/>
      <c r="F5" s="40"/>
      <c r="G5" s="144" t="s">
        <v>0</v>
      </c>
      <c r="H5" s="144"/>
      <c r="I5" s="144" t="s">
        <v>1</v>
      </c>
      <c r="J5" s="144"/>
      <c r="K5" s="144"/>
      <c r="L5" s="144"/>
      <c r="M5" s="144"/>
      <c r="N5" s="144"/>
      <c r="O5" s="144" t="s">
        <v>12</v>
      </c>
      <c r="P5" s="144"/>
      <c r="Q5" s="144" t="s">
        <v>8</v>
      </c>
      <c r="R5" s="144"/>
      <c r="S5" s="144"/>
      <c r="T5" s="144"/>
      <c r="U5" s="144"/>
      <c r="V5" s="144" t="s">
        <v>79</v>
      </c>
      <c r="W5" s="144"/>
      <c r="X5" s="64"/>
    </row>
    <row r="6" spans="1:24" ht="41.25">
      <c r="A6" s="42"/>
      <c r="B6" s="42"/>
      <c r="C6" s="42"/>
      <c r="D6" s="42"/>
      <c r="E6" s="43"/>
      <c r="F6" s="42"/>
      <c r="G6" s="12" t="s">
        <v>13</v>
      </c>
      <c r="H6" s="12" t="s">
        <v>76</v>
      </c>
      <c r="I6" s="12" t="s">
        <v>13</v>
      </c>
      <c r="J6" s="12" t="s">
        <v>76</v>
      </c>
      <c r="K6" s="12" t="s">
        <v>14</v>
      </c>
      <c r="L6" s="12" t="s">
        <v>15</v>
      </c>
      <c r="M6" s="12" t="s">
        <v>115</v>
      </c>
      <c r="N6" s="12" t="s">
        <v>16</v>
      </c>
      <c r="O6" s="12" t="s">
        <v>13</v>
      </c>
      <c r="P6" s="12" t="s">
        <v>76</v>
      </c>
      <c r="Q6" s="12" t="s">
        <v>13</v>
      </c>
      <c r="R6" s="12" t="s">
        <v>76</v>
      </c>
      <c r="S6" s="12" t="s">
        <v>17</v>
      </c>
      <c r="T6" s="12" t="s">
        <v>18</v>
      </c>
      <c r="U6" s="12" t="s">
        <v>87</v>
      </c>
      <c r="V6" s="12" t="s">
        <v>13</v>
      </c>
      <c r="W6" s="12" t="s">
        <v>76</v>
      </c>
      <c r="X6" s="26" t="s">
        <v>110</v>
      </c>
    </row>
    <row r="7" spans="1:24" ht="41.25">
      <c r="A7" s="44" t="s">
        <v>19</v>
      </c>
      <c r="B7" s="44" t="s">
        <v>20</v>
      </c>
      <c r="C7" s="44" t="s">
        <v>84</v>
      </c>
      <c r="D7" s="44" t="s">
        <v>21</v>
      </c>
      <c r="E7" s="45" t="s">
        <v>89</v>
      </c>
      <c r="F7" s="44" t="s">
        <v>22</v>
      </c>
      <c r="G7" s="12" t="s">
        <v>23</v>
      </c>
      <c r="H7" s="12" t="s">
        <v>24</v>
      </c>
      <c r="I7" s="12" t="s">
        <v>23</v>
      </c>
      <c r="J7" s="12" t="s">
        <v>24</v>
      </c>
      <c r="K7" s="12" t="s">
        <v>24</v>
      </c>
      <c r="L7" s="12" t="s">
        <v>25</v>
      </c>
      <c r="M7" s="12" t="s">
        <v>112</v>
      </c>
      <c r="N7" s="12" t="s">
        <v>25</v>
      </c>
      <c r="O7" s="12" t="s">
        <v>23</v>
      </c>
      <c r="P7" s="12" t="s">
        <v>24</v>
      </c>
      <c r="Q7" s="12" t="s">
        <v>23</v>
      </c>
      <c r="R7" s="12" t="s">
        <v>24</v>
      </c>
      <c r="S7" s="12" t="s">
        <v>23</v>
      </c>
      <c r="T7" s="12" t="s">
        <v>23</v>
      </c>
      <c r="U7" s="12" t="s">
        <v>23</v>
      </c>
      <c r="V7" s="12" t="s">
        <v>23</v>
      </c>
      <c r="W7" s="12" t="s">
        <v>24</v>
      </c>
      <c r="X7" s="11" t="s">
        <v>111</v>
      </c>
    </row>
    <row r="8" spans="1:24" ht="13.5">
      <c r="A8" s="13" t="s">
        <v>26</v>
      </c>
      <c r="B8" s="13" t="s">
        <v>27</v>
      </c>
      <c r="C8" s="19">
        <v>3</v>
      </c>
      <c r="D8" s="19" t="s">
        <v>28</v>
      </c>
      <c r="E8" s="46">
        <v>0.24</v>
      </c>
      <c r="F8" s="19">
        <v>15</v>
      </c>
      <c r="G8" s="63">
        <v>12.13</v>
      </c>
      <c r="H8" s="63">
        <v>33.5</v>
      </c>
      <c r="I8" s="63">
        <v>0.805</v>
      </c>
      <c r="J8" s="63">
        <v>3.281</v>
      </c>
      <c r="K8" s="63">
        <v>0.222</v>
      </c>
      <c r="L8" s="63">
        <v>0.048</v>
      </c>
      <c r="M8" s="63">
        <v>0.449</v>
      </c>
      <c r="N8" s="63">
        <v>0.005</v>
      </c>
      <c r="O8" s="63">
        <v>1.934</v>
      </c>
      <c r="P8" s="63">
        <v>1.567</v>
      </c>
      <c r="Q8" s="63">
        <v>0.04</v>
      </c>
      <c r="R8" s="63">
        <v>0.024</v>
      </c>
      <c r="S8" s="63">
        <v>0.017</v>
      </c>
      <c r="T8" s="63">
        <v>0.026</v>
      </c>
      <c r="U8" s="32">
        <f aca="true" t="shared" si="0" ref="U8:U14">0.016*453.6*(E8/2)^0.65*(C8/3)^1.5</f>
        <v>1.829198507994174</v>
      </c>
      <c r="V8" s="63">
        <v>0.014</v>
      </c>
      <c r="W8" s="63">
        <v>0.006</v>
      </c>
      <c r="X8" s="19">
        <v>8.8</v>
      </c>
    </row>
    <row r="9" spans="1:24" ht="13.5">
      <c r="A9" s="13" t="s">
        <v>224</v>
      </c>
      <c r="B9" s="13" t="s">
        <v>29</v>
      </c>
      <c r="C9" s="19">
        <v>20</v>
      </c>
      <c r="D9" s="19" t="s">
        <v>28</v>
      </c>
      <c r="E9" s="46">
        <v>0.24</v>
      </c>
      <c r="F9" s="19">
        <v>15</v>
      </c>
      <c r="G9" s="63">
        <v>4.384</v>
      </c>
      <c r="H9" s="63">
        <v>0</v>
      </c>
      <c r="I9" s="63">
        <v>0.643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14.61</v>
      </c>
      <c r="P9" s="63">
        <v>0</v>
      </c>
      <c r="Q9" s="63">
        <v>0.661</v>
      </c>
      <c r="R9" s="63">
        <v>0</v>
      </c>
      <c r="S9" s="63">
        <v>0.012</v>
      </c>
      <c r="T9" s="63">
        <v>0.013</v>
      </c>
      <c r="U9" s="32">
        <f t="shared" si="0"/>
        <v>31.48646825941729</v>
      </c>
      <c r="V9" s="63">
        <v>0.134</v>
      </c>
      <c r="W9" s="63">
        <v>0</v>
      </c>
      <c r="X9" s="19">
        <v>6.7</v>
      </c>
    </row>
    <row r="10" spans="1:24" ht="13.5">
      <c r="A10" s="13" t="s">
        <v>99</v>
      </c>
      <c r="B10" s="13" t="s">
        <v>29</v>
      </c>
      <c r="C10" s="59">
        <f>15+0.5*3000*8.3/2000</f>
        <v>21.225</v>
      </c>
      <c r="D10" s="19" t="s">
        <v>28</v>
      </c>
      <c r="E10" s="46">
        <v>0.24</v>
      </c>
      <c r="F10" s="19">
        <v>5</v>
      </c>
      <c r="G10" s="63">
        <v>8.8</v>
      </c>
      <c r="H10" s="63">
        <v>0</v>
      </c>
      <c r="I10" s="63">
        <v>1.021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20.484</v>
      </c>
      <c r="P10" s="63">
        <v>0</v>
      </c>
      <c r="Q10" s="63">
        <v>1.049</v>
      </c>
      <c r="R10" s="63">
        <v>0</v>
      </c>
      <c r="S10" s="63">
        <v>0.012</v>
      </c>
      <c r="T10" s="63">
        <v>0.013</v>
      </c>
      <c r="U10" s="32">
        <f>0.016*453.6*(E10/2)^0.65*(C10/3)^1.5</f>
        <v>34.42314171362355</v>
      </c>
      <c r="V10" s="63">
        <v>0.134</v>
      </c>
      <c r="W10" s="63">
        <v>0</v>
      </c>
      <c r="X10" s="19">
        <v>6.7</v>
      </c>
    </row>
    <row r="11" spans="1:24" ht="13.5">
      <c r="A11" s="13" t="s">
        <v>53</v>
      </c>
      <c r="B11" s="13" t="s">
        <v>31</v>
      </c>
      <c r="C11" s="19">
        <v>1.5</v>
      </c>
      <c r="D11" s="19" t="s">
        <v>32</v>
      </c>
      <c r="E11" s="46">
        <v>0.037</v>
      </c>
      <c r="F11" s="19">
        <v>35</v>
      </c>
      <c r="G11" s="63">
        <v>11.07</v>
      </c>
      <c r="H11" s="63">
        <v>36.36</v>
      </c>
      <c r="I11" s="63">
        <v>0.349</v>
      </c>
      <c r="J11" s="63">
        <v>2.876</v>
      </c>
      <c r="K11" s="63">
        <v>0.298</v>
      </c>
      <c r="L11" s="63">
        <v>0.061</v>
      </c>
      <c r="M11" s="63">
        <v>0.747</v>
      </c>
      <c r="N11" s="63">
        <v>0.002</v>
      </c>
      <c r="O11" s="63">
        <v>1.322</v>
      </c>
      <c r="P11" s="63">
        <v>1.141</v>
      </c>
      <c r="Q11" s="63">
        <v>0.011</v>
      </c>
      <c r="R11" s="63">
        <v>0.019</v>
      </c>
      <c r="S11" s="63">
        <v>0.008</v>
      </c>
      <c r="T11" s="63">
        <v>0.013</v>
      </c>
      <c r="U11" s="32">
        <f t="shared" si="0"/>
        <v>0.19182696626736612</v>
      </c>
      <c r="V11" s="63">
        <v>0.006</v>
      </c>
      <c r="W11" s="63">
        <v>0.005</v>
      </c>
      <c r="X11" s="19">
        <v>22</v>
      </c>
    </row>
    <row r="12" spans="1:24" ht="13.5">
      <c r="A12" s="13" t="s">
        <v>50</v>
      </c>
      <c r="B12" s="13" t="s">
        <v>30</v>
      </c>
      <c r="C12" s="19">
        <v>20</v>
      </c>
      <c r="D12" s="19" t="s">
        <v>32</v>
      </c>
      <c r="E12" s="46">
        <v>0.037</v>
      </c>
      <c r="F12" s="19">
        <v>35</v>
      </c>
      <c r="G12" s="63">
        <v>3.328</v>
      </c>
      <c r="H12" s="63">
        <v>0</v>
      </c>
      <c r="I12" s="63">
        <v>0.852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16.11</v>
      </c>
      <c r="P12" s="63">
        <v>0</v>
      </c>
      <c r="Q12" s="63">
        <v>0.42</v>
      </c>
      <c r="R12" s="63">
        <v>0</v>
      </c>
      <c r="S12" s="63">
        <v>0.036</v>
      </c>
      <c r="T12" s="63">
        <v>0.013</v>
      </c>
      <c r="U12" s="32">
        <f>0.016*453.6*(E12/2)^0.65*(C12/3)^1.5</f>
        <v>9.339373916659465</v>
      </c>
      <c r="V12" s="63">
        <v>0.192</v>
      </c>
      <c r="W12" s="63">
        <v>0</v>
      </c>
      <c r="X12" s="19">
        <v>4.7</v>
      </c>
    </row>
    <row r="13" spans="1:24" ht="13.5">
      <c r="A13" s="13"/>
      <c r="B13" s="13"/>
      <c r="C13" s="19"/>
      <c r="D13" s="19"/>
      <c r="E13" s="46"/>
      <c r="F13" s="19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19"/>
    </row>
    <row r="14" spans="1:21" ht="13.5" hidden="1">
      <c r="A14" s="13" t="s">
        <v>33</v>
      </c>
      <c r="B14" s="13" t="s">
        <v>30</v>
      </c>
      <c r="C14" s="19">
        <v>2.7</v>
      </c>
      <c r="D14" s="19" t="s">
        <v>32</v>
      </c>
      <c r="E14" s="46">
        <v>0.037</v>
      </c>
      <c r="F14" s="19">
        <v>25</v>
      </c>
      <c r="G14" s="32">
        <f>150.701/25</f>
        <v>6.02804</v>
      </c>
      <c r="H14" s="32">
        <v>0</v>
      </c>
      <c r="I14" s="32">
        <f>28.115/25</f>
        <v>1.1246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f>423.884/25</f>
        <v>16.95536</v>
      </c>
      <c r="P14" s="32">
        <v>0</v>
      </c>
      <c r="Q14" s="32">
        <f>17.737/25</f>
        <v>0.7094799999999999</v>
      </c>
      <c r="R14" s="32">
        <v>0</v>
      </c>
      <c r="S14" s="32">
        <f>0.9/25</f>
        <v>0.036000000000000004</v>
      </c>
      <c r="T14" s="32">
        <f>0.314/25</f>
        <v>0.01256</v>
      </c>
      <c r="U14" s="32">
        <f t="shared" si="0"/>
        <v>0.4632531874107009</v>
      </c>
    </row>
    <row r="15" spans="1:20" ht="13.5">
      <c r="A15" s="47"/>
      <c r="B15" s="47"/>
      <c r="C15" s="33"/>
      <c r="D15" s="48"/>
      <c r="E15" s="33"/>
      <c r="F15" s="49"/>
      <c r="G15" s="49"/>
      <c r="H15" s="49"/>
      <c r="I15" s="49"/>
      <c r="J15" s="49"/>
      <c r="K15" s="49"/>
      <c r="L15" s="48"/>
      <c r="M15" s="49"/>
      <c r="N15" s="49"/>
      <c r="O15" s="49"/>
      <c r="P15" s="49"/>
      <c r="Q15" s="49"/>
      <c r="R15" s="49"/>
      <c r="S15" s="49"/>
      <c r="T15" s="49"/>
    </row>
    <row r="17" ht="13.5">
      <c r="A17" s="3" t="s">
        <v>54</v>
      </c>
    </row>
    <row r="18" ht="13.5">
      <c r="A18" s="3" t="s">
        <v>225</v>
      </c>
    </row>
    <row r="20" spans="1:4" ht="13.5">
      <c r="A20" s="20" t="s">
        <v>210</v>
      </c>
      <c r="B20" s="29"/>
      <c r="C20" s="29"/>
      <c r="D20" s="29"/>
    </row>
    <row r="21" spans="1:12" ht="13.5">
      <c r="A21" s="3" t="s">
        <v>209</v>
      </c>
      <c r="B21" s="29"/>
      <c r="C21" s="29"/>
      <c r="D21" s="29"/>
      <c r="J21" s="60"/>
      <c r="L21" s="90"/>
    </row>
    <row r="22" spans="2:12" ht="13.5">
      <c r="B22" s="60" t="s">
        <v>146</v>
      </c>
      <c r="C22" s="3">
        <v>0.016</v>
      </c>
      <c r="D22" s="90" t="s">
        <v>160</v>
      </c>
      <c r="J22" s="60"/>
      <c r="L22" s="90"/>
    </row>
    <row r="23" spans="2:12" ht="13.5">
      <c r="B23" s="60"/>
      <c r="D23" s="90" t="s">
        <v>161</v>
      </c>
      <c r="J23" s="60"/>
      <c r="L23" s="90"/>
    </row>
    <row r="24" spans="2:12" ht="13.5">
      <c r="B24" s="60" t="s">
        <v>162</v>
      </c>
      <c r="C24" s="3">
        <v>0.32</v>
      </c>
      <c r="D24" s="50" t="s">
        <v>163</v>
      </c>
      <c r="J24" s="60"/>
      <c r="L24" s="90"/>
    </row>
    <row r="25" spans="2:12" ht="13.5">
      <c r="B25" s="60"/>
      <c r="D25" s="50" t="s">
        <v>211</v>
      </c>
      <c r="J25" s="60"/>
      <c r="L25" s="90"/>
    </row>
    <row r="26" spans="2:12" ht="13.5">
      <c r="B26" s="60"/>
      <c r="D26" s="50" t="s">
        <v>212</v>
      </c>
      <c r="J26" s="60"/>
      <c r="L26" s="90"/>
    </row>
    <row r="27" spans="2:12" ht="13.5">
      <c r="B27" s="60"/>
      <c r="D27" s="50" t="s">
        <v>226</v>
      </c>
      <c r="J27" s="60"/>
      <c r="L27" s="90"/>
    </row>
    <row r="28" spans="2:12" ht="13.5">
      <c r="B28" s="60" t="s">
        <v>164</v>
      </c>
      <c r="C28" s="60" t="s">
        <v>165</v>
      </c>
      <c r="D28" s="50" t="s">
        <v>166</v>
      </c>
      <c r="J28" s="60"/>
      <c r="L28" s="90"/>
    </row>
    <row r="29" spans="10:12" ht="13.5">
      <c r="J29" s="60"/>
      <c r="L29" s="50"/>
    </row>
    <row r="30" spans="1:12" ht="13.5">
      <c r="A30" s="3" t="s">
        <v>88</v>
      </c>
      <c r="J30" s="60"/>
      <c r="L30" s="50"/>
    </row>
    <row r="31" spans="1:12" ht="13.5">
      <c r="A31" s="3" t="s">
        <v>114</v>
      </c>
      <c r="J31" s="60"/>
      <c r="L31" s="50"/>
    </row>
    <row r="32" spans="1:12" ht="13.5">
      <c r="A32" s="3" t="s">
        <v>113</v>
      </c>
      <c r="J32" s="60"/>
      <c r="K32" s="60"/>
      <c r="L32" s="50"/>
    </row>
    <row r="33" spans="1:12" ht="13.5">
      <c r="A33" s="3" t="s">
        <v>201</v>
      </c>
      <c r="J33" s="60"/>
      <c r="L33" s="90"/>
    </row>
    <row r="34" spans="1:12" ht="13.5">
      <c r="A34" s="92" t="s">
        <v>197</v>
      </c>
      <c r="J34" s="60"/>
      <c r="L34" s="90"/>
    </row>
    <row r="35" spans="1:12" ht="13.5">
      <c r="A35" s="92" t="s">
        <v>198</v>
      </c>
      <c r="J35" s="60"/>
      <c r="L35" s="50"/>
    </row>
    <row r="36" spans="1:12" ht="13.5">
      <c r="A36" s="92" t="s">
        <v>199</v>
      </c>
      <c r="C36" s="60"/>
      <c r="J36" s="60"/>
      <c r="L36" s="50"/>
    </row>
    <row r="37" spans="1:12" ht="13.5">
      <c r="A37" s="92" t="s">
        <v>200</v>
      </c>
      <c r="C37" s="60"/>
      <c r="J37" s="60"/>
      <c r="L37" s="50"/>
    </row>
    <row r="38" ht="13.5">
      <c r="D38" s="61"/>
    </row>
    <row r="40" spans="3:4" ht="13.5">
      <c r="C40" s="60"/>
      <c r="D40" s="62"/>
    </row>
    <row r="41" ht="13.5">
      <c r="D41" s="61"/>
    </row>
  </sheetData>
  <sheetProtection/>
  <mergeCells count="5">
    <mergeCell ref="V5:W5"/>
    <mergeCell ref="Q5:U5"/>
    <mergeCell ref="G5:H5"/>
    <mergeCell ref="I5:N5"/>
    <mergeCell ref="O5:P5"/>
  </mergeCells>
  <printOptions/>
  <pageMargins left="0.74" right="0.5" top="0.75" bottom="0.75" header="0.5" footer="0.5"/>
  <pageSetup firstPageNumber="16" useFirstPageNumber="1" horizontalDpi="300" verticalDpi="300" orientation="landscape" scale="68" r:id="rId1"/>
  <headerFooter alignWithMargins="0">
    <oddHeader>&amp;C&amp;"Arial,Bold"TABLE A-26
CONSTRUCTION VEHICLE EMISSION FACTORS</oddHeader>
    <oddFooter>&amp;C&amp;"Arial Narrow,Regular"A-&amp;P&amp;R&amp;"Arial Narrow,Regular"5/21/03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2">
      <selection activeCell="A1" sqref="A1"/>
    </sheetView>
  </sheetViews>
  <sheetFormatPr defaultColWidth="9.140625" defaultRowHeight="12.75"/>
  <sheetData/>
  <sheetProtection/>
  <printOptions horizontalCentered="1"/>
  <pageMargins left="0.75" right="0.75" top="1" bottom="1" header="0.5" footer="0.5"/>
  <pageSetup firstPageNumber="17" useFirstPageNumber="1" fitToHeight="1" fitToWidth="1" horizontalDpi="400" verticalDpi="400" orientation="portrait" scale="89" r:id="rId3"/>
  <headerFooter alignWithMargins="0">
    <oddFooter>&amp;C&amp;"Times New Roman,Regular"&amp;12A-&amp;P</oddFooter>
  </headerFooter>
  <legacyDrawing r:id="rId2"/>
  <oleObjects>
    <oleObject progId="Word.Document.8" shapeId="9802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Sasaki</dc:creator>
  <cp:keywords/>
  <dc:description/>
  <cp:lastModifiedBy>dsasaki</cp:lastModifiedBy>
  <cp:lastPrinted>2003-05-22T23:11:44Z</cp:lastPrinted>
  <dcterms:created xsi:type="dcterms:W3CDTF">2002-01-16T19:02:18Z</dcterms:created>
  <dcterms:modified xsi:type="dcterms:W3CDTF">2014-08-06T19:13:41Z</dcterms:modified>
  <cp:category/>
  <cp:version/>
  <cp:contentType/>
  <cp:contentStatus/>
</cp:coreProperties>
</file>