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95" windowWidth="12120" windowHeight="4665" activeTab="0"/>
  </bookViews>
  <sheets>
    <sheet name="Locomotive" sheetId="1" r:id="rId1"/>
    <sheet name="ConstructionWorkerTrips" sheetId="2" r:id="rId2"/>
    <sheet name="OneEmployeeTrip" sheetId="3" r:id="rId3"/>
    <sheet name="ConstructionEquip" sheetId="4" r:id="rId4"/>
  </sheets>
  <externalReferences>
    <externalReference r:id="rId7"/>
  </externalReferences>
  <definedNames>
    <definedName name="Bulldozerfug">#REF!</definedName>
    <definedName name="CAT320fug">#REF!</definedName>
    <definedName name="CAT325LBfug">#REF!</definedName>
    <definedName name="CAT325Lfug">#REF!</definedName>
    <definedName name="CAT330Lfug">#REF!</definedName>
    <definedName name="CAT375fug">#REF!</definedName>
    <definedName name="CAT631Efug">#REF!</definedName>
    <definedName name="CAT966Ffug">#REF!</definedName>
    <definedName name="CAT980Gfug">#REF!</definedName>
    <definedName name="CAT988Ffug">#REF!</definedName>
    <definedName name="CAT992Dfug">#REF!</definedName>
    <definedName name="CompactorFug">#REF!</definedName>
    <definedName name="DaysPerWeek">#REF!</definedName>
    <definedName name="Forkliftfug">#REF!</definedName>
    <definedName name="GraderFug">#REF!</definedName>
    <definedName name="_xlnm.Print_Area" localSheetId="0">'Locomotive'!$A$1:$K$50</definedName>
    <definedName name="_xlnm.Print_Titles" localSheetId="0">'Locomotive'!$1:$2</definedName>
  </definedNames>
  <calcPr fullCalcOnLoad="1"/>
</workbook>
</file>

<file path=xl/sharedStrings.xml><?xml version="1.0" encoding="utf-8"?>
<sst xmlns="http://schemas.openxmlformats.org/spreadsheetml/2006/main" count="194" uniqueCount="123">
  <si>
    <t xml:space="preserve"> CO</t>
  </si>
  <si>
    <t xml:space="preserve"> VOC</t>
  </si>
  <si>
    <t xml:space="preserve"> NOx</t>
  </si>
  <si>
    <t xml:space="preserve"> SOx</t>
  </si>
  <si>
    <t xml:space="preserve"> PM10</t>
  </si>
  <si>
    <t>SOx</t>
  </si>
  <si>
    <t>Description</t>
  </si>
  <si>
    <t>Notes/Assumptions</t>
  </si>
  <si>
    <t xml:space="preserve">SCAQMD Rule 431.2 (Sulfur Content of Liquid Fuels) limits the sulfur content of liquid fuels sold in the District to 500 ppmw.  </t>
  </si>
  <si>
    <t>Effective 1 Jan 2005, a refiner or importer shall not produce or supply any diesel fuel for any stationary or mobile source application</t>
  </si>
  <si>
    <t>in the District, unless the diesel fuel is low sulfur diesel for which the sulfur content shall not exceed 15 ppm by weight.</t>
  </si>
  <si>
    <t>Diesel fuel sulfur content:</t>
  </si>
  <si>
    <t>ppmw (as S)</t>
  </si>
  <si>
    <t>Diesel fuel fuel density:</t>
  </si>
  <si>
    <t>lb/gal</t>
  </si>
  <si>
    <t>Higher Heating Value (HHV) of diesel fuel:</t>
  </si>
  <si>
    <t>Btu/gal</t>
  </si>
  <si>
    <t>Brake Specific Fuel Consumption (BSFC):</t>
  </si>
  <si>
    <t>SOx EF:</t>
  </si>
  <si>
    <t>lb/hp-hr</t>
  </si>
  <si>
    <t>g/hp-hr</t>
  </si>
  <si>
    <t>(g/hp-hr)</t>
  </si>
  <si>
    <t xml:space="preserve">Idling time: </t>
  </si>
  <si>
    <t>SOx as SO2 (lb/hp-hr) = (ppmw as S/1000000) x (Fuel Density [lb/gal]) x (1 gal/138000 Btu) x</t>
  </si>
  <si>
    <t xml:space="preserve"> (1 lb-mol S/32 lb S) x (1 lb-mole SO2/1 lb-mole S) x (64 lb SO2/1 lb-mole SO2) x (BSFC [Btu/hp-hr])</t>
  </si>
  <si>
    <t>SOx emission factor calculated based on sulfur content of diesel fuel:</t>
  </si>
  <si>
    <r>
      <t>Technical Highlights - Emission Factors for Locomotives</t>
    </r>
    <r>
      <rPr>
        <sz val="10"/>
        <rFont val="Arial Narrow"/>
        <family val="2"/>
      </rPr>
      <t>, EPA420-F-97-051, December 1997.</t>
    </r>
  </si>
  <si>
    <t>(lb/day)</t>
  </si>
  <si>
    <t>hr/day (15 minutes per day)</t>
  </si>
  <si>
    <t>Btu/hp-hr</t>
  </si>
  <si>
    <t>lb/hp-hr (ranges from 0.334 to about 0.370 lb/hp-hr for CAT's 2250 hp 3516B locomotive engine)</t>
  </si>
  <si>
    <t>Fuel usage while idling:</t>
  </si>
  <si>
    <t>Locomotive rating:</t>
  </si>
  <si>
    <t>Diesel</t>
  </si>
  <si>
    <t>Fuel:</t>
  </si>
  <si>
    <t>gal/hr (conservative estimate)</t>
  </si>
  <si>
    <t>g/hp-hr means grams per horsepower-hour</t>
  </si>
  <si>
    <t xml:space="preserve">(per Caterpillar's August 2000 Spec Sheet LEHH0562, a 2250 bhp CAT 3516B locomotive engine has a fuel </t>
  </si>
  <si>
    <t>consumption rate of 2 gal/hr at idle [600 rpm] and 107.3 gal/hr at full load [1800 rpm])</t>
  </si>
  <si>
    <t>"Line-haul" duty-cycle, uncontrolled</t>
  </si>
  <si>
    <t>Older line-haul locomotives are typically powered by 2000-3000 hp engines, while newer line-haul</t>
  </si>
  <si>
    <t>Regulatory Support Document, April 1998)</t>
  </si>
  <si>
    <t xml:space="preserve">locomotives are powered by 3500-5000 hp engines (Source:  EPA Locomotive Emission Standards </t>
  </si>
  <si>
    <t>Line-haul or freight locomotives are the most powerful locomotives and are used to power freight train operations over long distances (EPA).</t>
  </si>
  <si>
    <t>EPA's emission rates are average emission rates for current "line-haul" uncontrolled locomotives (Line-haul locomotives over the line-haul duty-cycle)</t>
  </si>
  <si>
    <t>Locomotive (at full load/horsepower)</t>
  </si>
  <si>
    <r>
      <t>b</t>
    </r>
    <r>
      <rPr>
        <sz val="10"/>
        <rFont val="Arial Narrow"/>
        <family val="2"/>
      </rPr>
      <t>Idling Emissions [lb/day] = (Emission Factor [g/hp-hr]) x (1/BSFC [hp-hr/lb]) x (Fuel Density [lb/gal]) x (Fuel Use [gal/hr]) x (Idling Time [hr/day]) x (1/453.6 [lb/g])</t>
    </r>
  </si>
  <si>
    <r>
      <t xml:space="preserve">c </t>
    </r>
    <r>
      <rPr>
        <sz val="10"/>
        <rFont val="Arial Narrow"/>
        <family val="2"/>
      </rPr>
      <t>CO, VOC (HC), NOx, and PM10 (PM) emission factors from EPA's</t>
    </r>
  </si>
  <si>
    <r>
      <t>a</t>
    </r>
    <r>
      <rPr>
        <sz val="10"/>
        <rFont val="Arial Narrow"/>
        <family val="2"/>
      </rPr>
      <t xml:space="preserve"> Facility personnel estimate idling may occur for 5 - 15 minutes on two additional days/week over the current unloading situation (15 minutes was assumed here)</t>
    </r>
  </si>
  <si>
    <t>Emissions at full load/horsepower [lb/day] = (Emission Factor [g/hp-hr]) x (Rating [hp]) x (Idling Time [hr/day]) x (1/453.6 [lb/g])</t>
  </si>
  <si>
    <t>horsepower (hp) (conversation with Ugo Fucak at RR)</t>
  </si>
  <si>
    <r>
      <t>(lb/day)</t>
    </r>
    <r>
      <rPr>
        <b/>
        <vertAlign val="superscript"/>
        <sz val="12"/>
        <rFont val="Arial Narrow"/>
        <family val="2"/>
      </rPr>
      <t>a</t>
    </r>
  </si>
  <si>
    <r>
      <t>Locomotive (idling)</t>
    </r>
    <r>
      <rPr>
        <vertAlign val="superscript"/>
        <sz val="12"/>
        <rFont val="Arial Narrow"/>
        <family val="2"/>
      </rPr>
      <t>b</t>
    </r>
  </si>
  <si>
    <r>
      <t>Locomotive Emission Factors</t>
    </r>
    <r>
      <rPr>
        <b/>
        <vertAlign val="superscript"/>
        <sz val="12"/>
        <rFont val="Arial Narrow"/>
        <family val="2"/>
      </rPr>
      <t>c</t>
    </r>
  </si>
  <si>
    <t>Vehicle Type</t>
  </si>
  <si>
    <t>CO</t>
  </si>
  <si>
    <t>VOC</t>
  </si>
  <si>
    <t>NOx</t>
  </si>
  <si>
    <t>PM10</t>
  </si>
  <si>
    <t>Exhaust Emissions Factor (g/mile)</t>
  </si>
  <si>
    <t>Continuous Start EF (g/trip)</t>
  </si>
  <si>
    <t>Exhaust Emission Factor (g/mile)</t>
  </si>
  <si>
    <t>Diurmal &amp; Resting Losses (g/hr)</t>
  </si>
  <si>
    <t>Evap Running Losses (g/mile)</t>
  </si>
  <si>
    <t>Emission Factor (g/mile)</t>
  </si>
  <si>
    <t>Construction Workers Commuting</t>
  </si>
  <si>
    <t>Input</t>
  </si>
  <si>
    <t>Total Emissions, lbs/day</t>
  </si>
  <si>
    <t>Number of Vehicles</t>
  </si>
  <si>
    <t>Total Number of Trips</t>
  </si>
  <si>
    <t>Distance Traveled In Miles (each way)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</si>
  <si>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</si>
  <si>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</si>
  <si>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</si>
  <si>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</si>
  <si>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</si>
  <si>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</si>
  <si>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</si>
  <si>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Construction Workers Commuting </t>
  </si>
  <si>
    <t xml:space="preserve">Total Emissions for Construction Workers Commuting </t>
  </si>
  <si>
    <t>Employee Commuting</t>
  </si>
  <si>
    <t>Employee</t>
  </si>
  <si>
    <t>Construction Equipment Needed for TOSCO LAT Unloading Rack</t>
  </si>
  <si>
    <t>Equipment Type</t>
  </si>
  <si>
    <t xml:space="preserve">Hours </t>
  </si>
  <si>
    <t xml:space="preserve"> </t>
  </si>
  <si>
    <t>#</t>
  </si>
  <si>
    <t>Per Day</t>
  </si>
  <si>
    <t>Backhoe</t>
  </si>
  <si>
    <t>Crane</t>
  </si>
  <si>
    <t>Weld Machine</t>
  </si>
  <si>
    <t>Locomotive Idling Emissions at TOSCO's LAT Unloading Rack</t>
  </si>
  <si>
    <t xml:space="preserve">Construction Worker Trips Needed for TOSCO LAT Unloading Rack </t>
  </si>
  <si>
    <t xml:space="preserve">One Additional Employee Trip Needed for TOSCO LAT Unloading Rack </t>
  </si>
  <si>
    <t>Total Emissions, lb/day</t>
  </si>
  <si>
    <t>CO 
(lb/day)</t>
  </si>
  <si>
    <t>PM10 
(lb/day)</t>
  </si>
  <si>
    <t>NOx 
(lb/day)</t>
  </si>
  <si>
    <t>VOC 
(lb/day)</t>
  </si>
  <si>
    <t>Total Emissions per Employee</t>
  </si>
  <si>
    <t>Daily Emissions (lb/day)</t>
  </si>
  <si>
    <t>Total Emissions</t>
  </si>
  <si>
    <t>Continuous Start EF 
(g/trip)</t>
  </si>
  <si>
    <t>Hot Soak Factor 
(g/trip)</t>
  </si>
  <si>
    <t>Evap Running Losses
(g/mile)</t>
  </si>
  <si>
    <t>Exhaust Emissions Factor 
(g/mile)</t>
  </si>
  <si>
    <t>Emission Factor 
(g/mile)</t>
  </si>
  <si>
    <r>
      <t>Emission Factors (lb/hr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>)</t>
    </r>
  </si>
  <si>
    <r>
      <t>Heavy Duty Trucks</t>
    </r>
    <r>
      <rPr>
        <vertAlign val="superscript"/>
        <sz val="10"/>
        <rFont val="Arial Narrow"/>
        <family val="2"/>
      </rPr>
      <t>b</t>
    </r>
  </si>
  <si>
    <t>Emissions were calculated by multiplying emission factor (g/mile x miles traveled x # trips per day x 454 grams/pound = pounds per day.</t>
  </si>
  <si>
    <r>
      <t>a</t>
    </r>
    <r>
      <rPr>
        <sz val="10"/>
        <rFont val="Arial Narrow"/>
        <family val="2"/>
      </rPr>
      <t xml:space="preserve">Emission factors from SCAQMD CEQA Air Quality Handbook, Table A9-8-B.  </t>
    </r>
  </si>
  <si>
    <t>Emission factors based on CARB's EMFAC2002 onroad motor vehicle emissions model (model years 1965-2003, state-wide annual simple averages)</t>
  </si>
  <si>
    <t>Diurnal and resting losses are for 8 hours/day although construction equipment is assumed to be working for 6 hours/day</t>
  </si>
  <si>
    <t>SOx 
(lb/day)</t>
  </si>
  <si>
    <t>Emission factors assume light duty trucks (non-catalyst/gasoline, catalyst/gasoline, and diesel engines)</t>
  </si>
  <si>
    <t>Equipment horsepower rating based on CEQA Table A9-8-C and multiplied by load factor in CEQA Table A9-8-C.</t>
  </si>
  <si>
    <t>Emissions calculated by multiplying emission factor (g/mile x miles traveled x ONE trip per day x 454 grams/pound = pounds per day.</t>
  </si>
  <si>
    <r>
      <t>b</t>
    </r>
    <r>
      <rPr>
        <sz val="10"/>
        <rFont val="Arial Narrow"/>
        <family val="2"/>
      </rPr>
      <t>Heavy Duty Truck emissions based on ARB's EMFAC2002 (model years 1965-2003) state-wide annual simple averages</t>
    </r>
  </si>
  <si>
    <t>Exhaust Emissions</t>
  </si>
  <si>
    <t>Emissions</t>
  </si>
  <si>
    <t>VOC means Reactive Organic Gas (ROG)</t>
  </si>
  <si>
    <t>SOx
(lb/day)</t>
  </si>
  <si>
    <t>Conservative assessment based on trucks driving around site continuously for 6 hours/day at 5 mph (30 miles/day)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</si>
</sst>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%"/>
    <numFmt numFmtId="167" formatCode="0.0000%"/>
    <numFmt numFmtId="168" formatCode="0.0"/>
    <numFmt numFmtId="169" formatCode=";;;"/>
    <numFmt numFmtId="170" formatCode="0.00E+00_)"/>
    <numFmt numFmtId="171" formatCode="0.0000E+00_)"/>
    <numFmt numFmtId="172" formatCode="0.00_)"/>
    <numFmt numFmtId="173" formatCode="0.0000_)"/>
    <numFmt numFmtId="174" formatCode="0.000000"/>
    <numFmt numFmtId="175" formatCode="0.00000"/>
    <numFmt numFmtId="176" formatCode="0.0000"/>
    <numFmt numFmtId="177" formatCode="0.00000000"/>
    <numFmt numFmtId="178" formatCode="0.0000000"/>
    <numFmt numFmtId="179" formatCode="_(* #,##0.000_);_(* \(#,##0.000\);_(* &quot;-&quot;??_);_(@_)"/>
    <numFmt numFmtId="180" formatCode="_(* #,##0.0_);_(* \(#,##0.0\);_(* &quot;-&quot;??_);_(@_)"/>
    <numFmt numFmtId="181" formatCode="_(* #,##0.0000_);_(* \(#,##0.0000\);_(* &quot;-&quot;??_);_(@_)"/>
    <numFmt numFmtId="182" formatCode="_(* #,##0.000_);_(* \(#,##0.000\);_(* &quot;-&quot;???_);_(@_)"/>
    <numFmt numFmtId="183" formatCode="General_)"/>
    <numFmt numFmtId="184" formatCode="0.0000E+00;\?"/>
    <numFmt numFmtId="185" formatCode="0.000E+00;\?"/>
    <numFmt numFmtId="186" formatCode="0.00E+00;\?"/>
    <numFmt numFmtId="187" formatCode="0.0E+00;\?"/>
    <numFmt numFmtId="188" formatCode="0E+00;\?"/>
    <numFmt numFmtId="189" formatCode="0.0000000000"/>
    <numFmt numFmtId="190" formatCode="0.00000000000"/>
    <numFmt numFmtId="191" formatCode="0.000000000"/>
    <numFmt numFmtId="192" formatCode="dd\-mmm\-yy"/>
    <numFmt numFmtId="193" formatCode="mmmm\-yy"/>
    <numFmt numFmtId="194" formatCode="mmmm\ d\,\ yyyy"/>
    <numFmt numFmtId="195" formatCode="d\-mmm\-yyyy"/>
    <numFmt numFmtId="196" formatCode="m/d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d/mmm/yyyy"/>
    <numFmt numFmtId="202" formatCode="mm/dd/yy"/>
    <numFmt numFmtId="203" formatCode="0.0000E+00"/>
    <numFmt numFmtId="204" formatCode="0.000E+00"/>
    <numFmt numFmtId="205" formatCode="\&lt;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mmm/yyyy"/>
    <numFmt numFmtId="214" formatCode="0.0%"/>
    <numFmt numFmtId="215" formatCode="#,##0.0"/>
    <numFmt numFmtId="216" formatCode="0.0000000000000000000"/>
    <numFmt numFmtId="217" formatCode="0.00000000000000000000"/>
    <numFmt numFmtId="218" formatCode="0.000000000000000000000"/>
    <numFmt numFmtId="219" formatCode="0.0000000000000000000000"/>
    <numFmt numFmtId="220" formatCode="0.00000000000000000000000"/>
    <numFmt numFmtId="221" formatCode="0.00000%"/>
  </numFmts>
  <fonts count="20">
    <font>
      <sz val="10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Helv"/>
      <family val="0"/>
    </font>
    <font>
      <u val="single"/>
      <sz val="10.8"/>
      <color indexed="36"/>
      <name val="Helv"/>
      <family val="0"/>
    </font>
    <font>
      <u val="single"/>
      <sz val="9"/>
      <color indexed="12"/>
      <name val="Helv"/>
      <family val="0"/>
    </font>
    <font>
      <b/>
      <sz val="14"/>
      <name val="Helv"/>
      <family val="0"/>
    </font>
    <font>
      <sz val="24"/>
      <color indexed="13"/>
      <name val="Helv"/>
      <family val="0"/>
    </font>
    <font>
      <b/>
      <sz val="12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1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1">
      <alignment/>
      <protection/>
    </xf>
    <xf numFmtId="0" fontId="8" fillId="3" borderId="0">
      <alignment/>
      <protection/>
    </xf>
    <xf numFmtId="0" fontId="7" fillId="0" borderId="2">
      <alignment/>
      <protection/>
    </xf>
    <xf numFmtId="0" fontId="7" fillId="0" borderId="1">
      <alignment/>
      <protection/>
    </xf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/>
    </xf>
    <xf numFmtId="164" fontId="12" fillId="0" borderId="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14" xfId="25" applyFont="1" applyBorder="1" applyAlignment="1">
      <alignment horizontal="center"/>
      <protection/>
    </xf>
    <xf numFmtId="0" fontId="1" fillId="0" borderId="11" xfId="25" applyFont="1" applyBorder="1" applyAlignment="1">
      <alignment wrapText="1"/>
      <protection/>
    </xf>
    <xf numFmtId="0" fontId="1" fillId="0" borderId="0" xfId="25" applyFont="1" applyBorder="1" applyAlignment="1">
      <alignment wrapText="1"/>
      <protection/>
    </xf>
    <xf numFmtId="0" fontId="1" fillId="0" borderId="0" xfId="25" applyFont="1" applyBorder="1" applyAlignment="1">
      <alignment horizontal="center"/>
      <protection/>
    </xf>
    <xf numFmtId="0" fontId="1" fillId="0" borderId="16" xfId="25" applyFont="1" applyBorder="1" applyAlignment="1">
      <alignment/>
      <protection/>
    </xf>
    <xf numFmtId="0" fontId="1" fillId="0" borderId="17" xfId="25" applyFont="1" applyBorder="1">
      <alignment/>
      <protection/>
    </xf>
    <xf numFmtId="0" fontId="1" fillId="0" borderId="18" xfId="25" applyFont="1" applyBorder="1">
      <alignment/>
      <protection/>
    </xf>
    <xf numFmtId="0" fontId="1" fillId="0" borderId="19" xfId="25" applyFont="1" applyBorder="1" applyAlignment="1">
      <alignment horizontal="center"/>
      <protection/>
    </xf>
    <xf numFmtId="2" fontId="1" fillId="0" borderId="0" xfId="25" applyNumberFormat="1" applyFont="1" applyBorder="1" applyAlignment="1">
      <alignment horizontal="center"/>
      <protection/>
    </xf>
    <xf numFmtId="2" fontId="1" fillId="0" borderId="20" xfId="25" applyNumberFormat="1" applyFont="1" applyBorder="1" applyAlignment="1">
      <alignment horizontal="center"/>
      <protection/>
    </xf>
    <xf numFmtId="2" fontId="16" fillId="0" borderId="21" xfId="26" applyNumberFormat="1" applyFont="1" applyBorder="1" applyAlignment="1">
      <alignment horizontal="center" wrapText="1"/>
      <protection/>
    </xf>
    <xf numFmtId="0" fontId="3" fillId="0" borderId="0" xfId="25" applyFont="1">
      <alignment/>
      <protection/>
    </xf>
    <xf numFmtId="0" fontId="9" fillId="0" borderId="0" xfId="26" applyFont="1" applyBorder="1">
      <alignment/>
      <protection/>
    </xf>
    <xf numFmtId="0" fontId="1" fillId="0" borderId="0" xfId="26" applyFont="1" applyBorder="1">
      <alignment/>
      <protection/>
    </xf>
    <xf numFmtId="0" fontId="1" fillId="0" borderId="0" xfId="26" applyFont="1">
      <alignment/>
      <protection/>
    </xf>
    <xf numFmtId="0" fontId="1" fillId="0" borderId="14" xfId="26" applyFont="1" applyBorder="1" applyAlignment="1">
      <alignment horizontal="center"/>
      <protection/>
    </xf>
    <xf numFmtId="0" fontId="17" fillId="0" borderId="21" xfId="26" applyFont="1" applyBorder="1" applyAlignment="1">
      <alignment horizontal="center" wrapText="1"/>
      <protection/>
    </xf>
    <xf numFmtId="0" fontId="1" fillId="0" borderId="11" xfId="26" applyFont="1" applyBorder="1" applyAlignment="1">
      <alignment wrapText="1"/>
      <protection/>
    </xf>
    <xf numFmtId="0" fontId="1" fillId="0" borderId="19" xfId="26" applyFont="1" applyBorder="1" applyAlignment="1">
      <alignment horizontal="center"/>
      <protection/>
    </xf>
    <xf numFmtId="0" fontId="1" fillId="0" borderId="0" xfId="26" applyFont="1" applyBorder="1" applyAlignment="1">
      <alignment wrapText="1"/>
      <protection/>
    </xf>
    <xf numFmtId="0" fontId="1" fillId="0" borderId="0" xfId="26" applyFont="1" applyBorder="1" applyAlignment="1">
      <alignment horizontal="center"/>
      <protection/>
    </xf>
    <xf numFmtId="0" fontId="1" fillId="0" borderId="16" xfId="26" applyFont="1" applyBorder="1" applyAlignment="1">
      <alignment/>
      <protection/>
    </xf>
    <xf numFmtId="0" fontId="1" fillId="0" borderId="17" xfId="26" applyFont="1" applyBorder="1">
      <alignment/>
      <protection/>
    </xf>
    <xf numFmtId="0" fontId="1" fillId="0" borderId="18" xfId="26" applyFont="1" applyBorder="1">
      <alignment/>
      <protection/>
    </xf>
    <xf numFmtId="2" fontId="1" fillId="0" borderId="0" xfId="26" applyNumberFormat="1" applyFont="1" applyBorder="1" applyAlignment="1">
      <alignment horizontal="center"/>
      <protection/>
    </xf>
    <xf numFmtId="2" fontId="1" fillId="0" borderId="20" xfId="26" applyNumberFormat="1" applyFont="1" applyBorder="1" applyAlignment="1">
      <alignment horizontal="center"/>
      <protection/>
    </xf>
    <xf numFmtId="0" fontId="18" fillId="0" borderId="0" xfId="24" applyFont="1" applyAlignment="1">
      <alignment horizontal="center" vertical="center"/>
      <protection/>
    </xf>
    <xf numFmtId="0" fontId="1" fillId="0" borderId="0" xfId="24" applyFont="1">
      <alignment/>
      <protection/>
    </xf>
    <xf numFmtId="0" fontId="2" fillId="4" borderId="16" xfId="24" applyFont="1" applyFill="1" applyBorder="1" applyAlignment="1">
      <alignment horizontal="center"/>
      <protection/>
    </xf>
    <xf numFmtId="0" fontId="2" fillId="4" borderId="14" xfId="24" applyFont="1" applyFill="1" applyBorder="1" applyAlignment="1">
      <alignment horizontal="center"/>
      <protection/>
    </xf>
    <xf numFmtId="0" fontId="1" fillId="4" borderId="22" xfId="24" applyFont="1" applyFill="1" applyBorder="1">
      <alignment/>
      <protection/>
    </xf>
    <xf numFmtId="0" fontId="2" fillId="4" borderId="23" xfId="24" applyFont="1" applyFill="1" applyBorder="1">
      <alignment/>
      <protection/>
    </xf>
    <xf numFmtId="0" fontId="1" fillId="0" borderId="23" xfId="24" applyFont="1" applyBorder="1">
      <alignment/>
      <protection/>
    </xf>
    <xf numFmtId="0" fontId="1" fillId="0" borderId="24" xfId="24" applyFont="1" applyBorder="1">
      <alignment/>
      <protection/>
    </xf>
    <xf numFmtId="0" fontId="1" fillId="0" borderId="22" xfId="24" applyFont="1" applyBorder="1">
      <alignment/>
      <protection/>
    </xf>
    <xf numFmtId="0" fontId="1" fillId="4" borderId="23" xfId="24" applyFont="1" applyFill="1" applyBorder="1">
      <alignment/>
      <protection/>
    </xf>
    <xf numFmtId="0" fontId="2" fillId="0" borderId="19" xfId="24" applyFont="1" applyFill="1" applyBorder="1" applyAlignment="1">
      <alignment horizontal="center"/>
      <protection/>
    </xf>
    <xf numFmtId="0" fontId="1" fillId="0" borderId="25" xfId="24" applyFont="1" applyBorder="1" applyAlignment="1">
      <alignment horizontal="center"/>
      <protection/>
    </xf>
    <xf numFmtId="0" fontId="2" fillId="4" borderId="19" xfId="24" applyFont="1" applyFill="1" applyBorder="1" applyAlignment="1">
      <alignment horizontal="center"/>
      <protection/>
    </xf>
    <xf numFmtId="0" fontId="2" fillId="4" borderId="26" xfId="24" applyFont="1" applyFill="1" applyBorder="1" applyAlignment="1">
      <alignment horizontal="center"/>
      <protection/>
    </xf>
    <xf numFmtId="0" fontId="2" fillId="4" borderId="27" xfId="24" applyFont="1" applyFill="1" applyBorder="1" applyAlignment="1">
      <alignment horizontal="center"/>
      <protection/>
    </xf>
    <xf numFmtId="0" fontId="2" fillId="4" borderId="28" xfId="24" applyFont="1" applyFill="1" applyBorder="1" applyAlignment="1">
      <alignment horizontal="center"/>
      <protection/>
    </xf>
    <xf numFmtId="0" fontId="2" fillId="4" borderId="24" xfId="24" applyFont="1" applyFill="1" applyBorder="1" applyAlignment="1">
      <alignment horizontal="center"/>
      <protection/>
    </xf>
    <xf numFmtId="0" fontId="1" fillId="0" borderId="29" xfId="24" applyFont="1" applyBorder="1">
      <alignment/>
      <protection/>
    </xf>
    <xf numFmtId="0" fontId="1" fillId="0" borderId="30" xfId="24" applyFont="1" applyBorder="1">
      <alignment/>
      <protection/>
    </xf>
    <xf numFmtId="0" fontId="1" fillId="0" borderId="6" xfId="24" applyFont="1" applyBorder="1" applyAlignment="1">
      <alignment horizontal="center"/>
      <protection/>
    </xf>
    <xf numFmtId="2" fontId="1" fillId="0" borderId="31" xfId="24" applyNumberFormat="1" applyFont="1" applyBorder="1">
      <alignment/>
      <protection/>
    </xf>
    <xf numFmtId="2" fontId="1" fillId="0" borderId="32" xfId="24" applyNumberFormat="1" applyFont="1" applyBorder="1">
      <alignment/>
      <protection/>
    </xf>
    <xf numFmtId="2" fontId="1" fillId="0" borderId="33" xfId="24" applyNumberFormat="1" applyFont="1" applyBorder="1">
      <alignment/>
      <protection/>
    </xf>
    <xf numFmtId="2" fontId="1" fillId="0" borderId="34" xfId="24" applyNumberFormat="1" applyFont="1" applyBorder="1">
      <alignment/>
      <protection/>
    </xf>
    <xf numFmtId="0" fontId="1" fillId="0" borderId="8" xfId="24" applyFont="1" applyBorder="1">
      <alignment/>
      <protection/>
    </xf>
    <xf numFmtId="0" fontId="1" fillId="0" borderId="35" xfId="24" applyFont="1" applyBorder="1">
      <alignment/>
      <protection/>
    </xf>
    <xf numFmtId="2" fontId="1" fillId="0" borderId="36" xfId="24" applyNumberFormat="1" applyFont="1" applyBorder="1">
      <alignment/>
      <protection/>
    </xf>
    <xf numFmtId="2" fontId="1" fillId="0" borderId="37" xfId="24" applyNumberFormat="1" applyFont="1" applyBorder="1">
      <alignment/>
      <protection/>
    </xf>
    <xf numFmtId="2" fontId="1" fillId="0" borderId="38" xfId="24" applyNumberFormat="1" applyFont="1" applyBorder="1">
      <alignment/>
      <protection/>
    </xf>
    <xf numFmtId="2" fontId="1" fillId="0" borderId="39" xfId="24" applyNumberFormat="1" applyFont="1" applyBorder="1">
      <alignment/>
      <protection/>
    </xf>
    <xf numFmtId="2" fontId="1" fillId="0" borderId="40" xfId="24" applyNumberFormat="1" applyFont="1" applyBorder="1">
      <alignment/>
      <protection/>
    </xf>
    <xf numFmtId="2" fontId="1" fillId="0" borderId="15" xfId="24" applyNumberFormat="1" applyFont="1" applyBorder="1">
      <alignment/>
      <protection/>
    </xf>
    <xf numFmtId="0" fontId="1" fillId="0" borderId="9" xfId="24" applyFont="1" applyBorder="1" applyAlignment="1">
      <alignment horizontal="center"/>
      <protection/>
    </xf>
    <xf numFmtId="2" fontId="1" fillId="0" borderId="10" xfId="24" applyNumberFormat="1" applyFont="1" applyBorder="1">
      <alignment/>
      <protection/>
    </xf>
    <xf numFmtId="0" fontId="1" fillId="0" borderId="17" xfId="24" applyFont="1" applyBorder="1">
      <alignment/>
      <protection/>
    </xf>
    <xf numFmtId="0" fontId="1" fillId="0" borderId="41" xfId="24" applyFont="1" applyBorder="1">
      <alignment/>
      <protection/>
    </xf>
    <xf numFmtId="0" fontId="1" fillId="0" borderId="0" xfId="24" applyFont="1" applyBorder="1" applyAlignment="1">
      <alignment horizontal="center"/>
      <protection/>
    </xf>
    <xf numFmtId="2" fontId="1" fillId="0" borderId="42" xfId="24" applyNumberFormat="1" applyFont="1" applyBorder="1">
      <alignment/>
      <protection/>
    </xf>
    <xf numFmtId="2" fontId="1" fillId="0" borderId="43" xfId="24" applyNumberFormat="1" applyFont="1" applyBorder="1">
      <alignment/>
      <protection/>
    </xf>
    <xf numFmtId="2" fontId="1" fillId="0" borderId="44" xfId="24" applyNumberFormat="1" applyFont="1" applyBorder="1">
      <alignment/>
      <protection/>
    </xf>
    <xf numFmtId="2" fontId="1" fillId="0" borderId="45" xfId="24" applyNumberFormat="1" applyFont="1" applyBorder="1">
      <alignment/>
      <protection/>
    </xf>
    <xf numFmtId="2" fontId="1" fillId="0" borderId="46" xfId="24" applyNumberFormat="1" applyFont="1" applyBorder="1">
      <alignment/>
      <protection/>
    </xf>
    <xf numFmtId="2" fontId="1" fillId="0" borderId="25" xfId="24" applyNumberFormat="1" applyFont="1" applyBorder="1">
      <alignment/>
      <protection/>
    </xf>
    <xf numFmtId="2" fontId="1" fillId="0" borderId="47" xfId="24" applyNumberFormat="1" applyFont="1" applyBorder="1">
      <alignment/>
      <protection/>
    </xf>
    <xf numFmtId="14" fontId="1" fillId="0" borderId="0" xfId="24" applyNumberFormat="1" applyFo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1" xfId="25" applyFont="1" applyBorder="1" applyAlignment="1">
      <alignment horizontal="center" wrapText="1"/>
      <protection/>
    </xf>
    <xf numFmtId="0" fontId="1" fillId="0" borderId="24" xfId="25" applyFont="1" applyBorder="1" applyAlignment="1">
      <alignment horizontal="center" wrapText="1"/>
      <protection/>
    </xf>
    <xf numFmtId="0" fontId="1" fillId="0" borderId="48" xfId="25" applyFont="1" applyBorder="1" applyAlignment="1">
      <alignment horizontal="center" wrapText="1"/>
      <protection/>
    </xf>
    <xf numFmtId="0" fontId="17" fillId="0" borderId="14" xfId="26" applyFont="1" applyBorder="1" applyAlignment="1">
      <alignment horizontal="center" wrapText="1"/>
      <protection/>
    </xf>
    <xf numFmtId="0" fontId="17" fillId="0" borderId="24" xfId="26" applyFont="1" applyBorder="1" applyAlignment="1">
      <alignment horizontal="center" wrapText="1"/>
      <protection/>
    </xf>
    <xf numFmtId="0" fontId="17" fillId="0" borderId="48" xfId="26" applyFont="1" applyBorder="1" applyAlignment="1">
      <alignment horizontal="center" wrapText="1"/>
      <protection/>
    </xf>
    <xf numFmtId="0" fontId="11" fillId="0" borderId="0" xfId="24" applyFont="1">
      <alignment/>
      <protection/>
    </xf>
    <xf numFmtId="0" fontId="9" fillId="0" borderId="0" xfId="24" applyFont="1" applyAlignment="1">
      <alignment horizontal="left" vertical="center"/>
      <protection/>
    </xf>
    <xf numFmtId="0" fontId="1" fillId="0" borderId="24" xfId="26" applyFont="1" applyBorder="1" applyAlignment="1">
      <alignment horizontal="center"/>
      <protection/>
    </xf>
    <xf numFmtId="0" fontId="17" fillId="0" borderId="16" xfId="26" applyFont="1" applyBorder="1" applyAlignment="1">
      <alignment horizontal="center" wrapText="1"/>
      <protection/>
    </xf>
    <xf numFmtId="0" fontId="1" fillId="0" borderId="21" xfId="26" applyFont="1" applyBorder="1" applyAlignment="1">
      <alignment horizontal="center"/>
      <protection/>
    </xf>
    <xf numFmtId="2" fontId="1" fillId="0" borderId="26" xfId="24" applyNumberFormat="1" applyFont="1" applyBorder="1">
      <alignment/>
      <protection/>
    </xf>
    <xf numFmtId="2" fontId="1" fillId="0" borderId="24" xfId="24" applyNumberFormat="1" applyFont="1" applyBorder="1">
      <alignment/>
      <protection/>
    </xf>
    <xf numFmtId="164" fontId="1" fillId="0" borderId="21" xfId="26" applyNumberFormat="1" applyFont="1" applyBorder="1" applyAlignment="1">
      <alignment horizontal="center"/>
      <protection/>
    </xf>
    <xf numFmtId="0" fontId="1" fillId="0" borderId="41" xfId="25" applyFont="1" applyBorder="1" applyAlignment="1">
      <alignment/>
      <protection/>
    </xf>
    <xf numFmtId="2" fontId="1" fillId="0" borderId="16" xfId="26" applyNumberFormat="1" applyFont="1" applyBorder="1" applyAlignment="1">
      <alignment horizontal="center"/>
      <protection/>
    </xf>
    <xf numFmtId="0" fontId="1" fillId="0" borderId="23" xfId="25" applyFont="1" applyBorder="1" applyAlignment="1">
      <alignment horizontal="center"/>
      <protection/>
    </xf>
    <xf numFmtId="0" fontId="1" fillId="0" borderId="16" xfId="25" applyFont="1" applyBorder="1" applyAlignment="1">
      <alignment horizontal="center" wrapText="1"/>
      <protection/>
    </xf>
    <xf numFmtId="0" fontId="1" fillId="0" borderId="24" xfId="25" applyFont="1" applyBorder="1" applyAlignment="1">
      <alignment horizontal="center"/>
      <protection/>
    </xf>
    <xf numFmtId="2" fontId="1" fillId="0" borderId="16" xfId="25" applyNumberFormat="1" applyFont="1" applyBorder="1" applyAlignment="1">
      <alignment horizontal="center"/>
      <protection/>
    </xf>
    <xf numFmtId="2" fontId="1" fillId="0" borderId="19" xfId="25" applyNumberFormat="1" applyFont="1" applyBorder="1" applyAlignment="1">
      <alignment horizontal="center"/>
      <protection/>
    </xf>
    <xf numFmtId="0" fontId="1" fillId="0" borderId="22" xfId="25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4" xfId="25" applyNumberFormat="1" applyFont="1" applyBorder="1" applyAlignment="1">
      <alignment horizontal="center"/>
      <protection/>
    </xf>
    <xf numFmtId="2" fontId="1" fillId="0" borderId="25" xfId="25" applyNumberFormat="1" applyFont="1" applyBorder="1" applyAlignment="1">
      <alignment horizontal="center"/>
      <protection/>
    </xf>
    <xf numFmtId="0" fontId="1" fillId="0" borderId="18" xfId="25" applyFont="1" applyBorder="1" applyAlignment="1">
      <alignment horizontal="center"/>
      <protection/>
    </xf>
    <xf numFmtId="0" fontId="1" fillId="0" borderId="20" xfId="25" applyFont="1" applyBorder="1" applyAlignment="1">
      <alignment horizontal="center"/>
      <protection/>
    </xf>
    <xf numFmtId="0" fontId="1" fillId="0" borderId="25" xfId="25" applyFont="1" applyBorder="1" applyAlignment="1">
      <alignment horizontal="center"/>
      <protection/>
    </xf>
    <xf numFmtId="0" fontId="1" fillId="0" borderId="3" xfId="25" applyFont="1" applyBorder="1" applyAlignment="1">
      <alignment horizontal="center" wrapText="1"/>
      <protection/>
    </xf>
    <xf numFmtId="0" fontId="1" fillId="0" borderId="4" xfId="25" applyFont="1" applyBorder="1" applyAlignment="1">
      <alignment horizontal="center" wrapText="1"/>
      <protection/>
    </xf>
    <xf numFmtId="0" fontId="1" fillId="0" borderId="14" xfId="25" applyFont="1" applyBorder="1" applyAlignment="1">
      <alignment horizontal="center" wrapText="1"/>
      <protection/>
    </xf>
    <xf numFmtId="0" fontId="1" fillId="0" borderId="18" xfId="25" applyFont="1" applyBorder="1" applyAlignment="1">
      <alignment horizontal="center" wrapText="1"/>
      <protection/>
    </xf>
    <xf numFmtId="0" fontId="1" fillId="0" borderId="20" xfId="25" applyFont="1" applyBorder="1" applyAlignment="1">
      <alignment horizontal="center" wrapText="1"/>
      <protection/>
    </xf>
    <xf numFmtId="0" fontId="1" fillId="0" borderId="25" xfId="25" applyFont="1" applyBorder="1" applyAlignment="1">
      <alignment horizontal="center" wrapText="1"/>
      <protection/>
    </xf>
    <xf numFmtId="2" fontId="1" fillId="0" borderId="3" xfId="25" applyNumberFormat="1" applyFont="1" applyBorder="1" applyAlignment="1">
      <alignment horizontal="center"/>
      <protection/>
    </xf>
    <xf numFmtId="2" fontId="1" fillId="0" borderId="18" xfId="25" applyNumberFormat="1" applyFont="1" applyBorder="1" applyAlignment="1">
      <alignment horizontal="center"/>
      <protection/>
    </xf>
    <xf numFmtId="2" fontId="1" fillId="0" borderId="4" xfId="25" applyNumberFormat="1" applyFont="1" applyBorder="1" applyAlignment="1">
      <alignment horizontal="center"/>
      <protection/>
    </xf>
    <xf numFmtId="2" fontId="1" fillId="0" borderId="20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horizontal="center"/>
      <protection/>
    </xf>
    <xf numFmtId="2" fontId="2" fillId="0" borderId="22" xfId="26" applyNumberFormat="1" applyFont="1" applyBorder="1" applyAlignment="1">
      <alignment horizontal="center" wrapText="1"/>
      <protection/>
    </xf>
    <xf numFmtId="2" fontId="2" fillId="0" borderId="24" xfId="26" applyNumberFormat="1" applyFont="1" applyBorder="1" applyAlignment="1">
      <alignment horizontal="center"/>
      <protection/>
    </xf>
    <xf numFmtId="2" fontId="2" fillId="0" borderId="23" xfId="26" applyNumberFormat="1" applyFont="1" applyBorder="1" applyAlignment="1">
      <alignment horizontal="center"/>
      <protection/>
    </xf>
    <xf numFmtId="0" fontId="1" fillId="0" borderId="16" xfId="25" applyFont="1" applyBorder="1" applyAlignment="1">
      <alignment wrapText="1"/>
      <protection/>
    </xf>
    <xf numFmtId="0" fontId="1" fillId="0" borderId="19" xfId="25" applyFont="1" applyBorder="1" applyAlignment="1">
      <alignment wrapText="1"/>
      <protection/>
    </xf>
    <xf numFmtId="0" fontId="1" fillId="0" borderId="16" xfId="25" applyFont="1" applyBorder="1" applyAlignment="1">
      <alignment horizontal="center"/>
      <protection/>
    </xf>
    <xf numFmtId="0" fontId="1" fillId="0" borderId="19" xfId="25" applyFont="1" applyBorder="1" applyAlignment="1">
      <alignment horizontal="center"/>
      <protection/>
    </xf>
    <xf numFmtId="2" fontId="1" fillId="0" borderId="19" xfId="26" applyNumberFormat="1" applyFont="1" applyBorder="1" applyAlignment="1">
      <alignment horizontal="center"/>
      <protection/>
    </xf>
    <xf numFmtId="0" fontId="1" fillId="0" borderId="3" xfId="26" applyFont="1" applyBorder="1" applyAlignment="1">
      <alignment horizontal="center" wrapText="1"/>
      <protection/>
    </xf>
    <xf numFmtId="0" fontId="1" fillId="0" borderId="4" xfId="26" applyFont="1" applyBorder="1" applyAlignment="1">
      <alignment horizontal="center" wrapText="1"/>
      <protection/>
    </xf>
    <xf numFmtId="0" fontId="1" fillId="0" borderId="14" xfId="26" applyFont="1" applyBorder="1" applyAlignment="1">
      <alignment horizontal="center" wrapText="1"/>
      <protection/>
    </xf>
    <xf numFmtId="0" fontId="1" fillId="0" borderId="18" xfId="26" applyFont="1" applyBorder="1" applyAlignment="1">
      <alignment horizontal="center" wrapText="1"/>
      <protection/>
    </xf>
    <xf numFmtId="0" fontId="1" fillId="0" borderId="20" xfId="26" applyFont="1" applyBorder="1" applyAlignment="1">
      <alignment horizontal="center" wrapText="1"/>
      <protection/>
    </xf>
    <xf numFmtId="0" fontId="1" fillId="0" borderId="25" xfId="26" applyFont="1" applyBorder="1" applyAlignment="1">
      <alignment horizontal="center" wrapText="1"/>
      <protection/>
    </xf>
    <xf numFmtId="2" fontId="1" fillId="0" borderId="3" xfId="26" applyNumberFormat="1" applyFont="1" applyBorder="1" applyAlignment="1">
      <alignment horizontal="center"/>
      <protection/>
    </xf>
    <xf numFmtId="2" fontId="1" fillId="0" borderId="14" xfId="26" applyNumberFormat="1" applyFont="1" applyBorder="1" applyAlignment="1">
      <alignment horizontal="center"/>
      <protection/>
    </xf>
    <xf numFmtId="2" fontId="1" fillId="0" borderId="18" xfId="26" applyNumberFormat="1" applyFont="1" applyBorder="1" applyAlignment="1">
      <alignment horizontal="center"/>
      <protection/>
    </xf>
    <xf numFmtId="2" fontId="1" fillId="0" borderId="25" xfId="26" applyNumberFormat="1" applyFont="1" applyBorder="1" applyAlignment="1">
      <alignment horizontal="center"/>
      <protection/>
    </xf>
    <xf numFmtId="2" fontId="1" fillId="0" borderId="4" xfId="26" applyNumberFormat="1" applyFont="1" applyBorder="1" applyAlignment="1">
      <alignment horizontal="center"/>
      <protection/>
    </xf>
    <xf numFmtId="2" fontId="1" fillId="0" borderId="20" xfId="26" applyNumberFormat="1" applyFont="1" applyBorder="1" applyAlignment="1">
      <alignment horizontal="center"/>
      <protection/>
    </xf>
    <xf numFmtId="0" fontId="1" fillId="0" borderId="0" xfId="26" applyFont="1" applyBorder="1" applyAlignment="1">
      <alignment horizontal="center"/>
      <protection/>
    </xf>
    <xf numFmtId="0" fontId="1" fillId="0" borderId="16" xfId="26" applyFont="1" applyBorder="1" applyAlignment="1">
      <alignment wrapText="1"/>
      <protection/>
    </xf>
    <xf numFmtId="0" fontId="1" fillId="0" borderId="19" xfId="26" applyFont="1" applyBorder="1" applyAlignment="1">
      <alignment wrapText="1"/>
      <protection/>
    </xf>
    <xf numFmtId="0" fontId="1" fillId="0" borderId="41" xfId="26" applyFont="1" applyBorder="1" applyAlignment="1">
      <alignment horizontal="center"/>
      <protection/>
    </xf>
    <xf numFmtId="0" fontId="1" fillId="0" borderId="19" xfId="26" applyFont="1" applyBorder="1" applyAlignment="1">
      <alignment horizontal="center"/>
      <protection/>
    </xf>
    <xf numFmtId="0" fontId="17" fillId="0" borderId="30" xfId="26" applyFont="1" applyBorder="1" applyAlignment="1">
      <alignment horizontal="center" wrapText="1"/>
      <protection/>
    </xf>
    <xf numFmtId="0" fontId="17" fillId="0" borderId="49" xfId="26" applyFont="1" applyBorder="1" applyAlignment="1">
      <alignment horizontal="center"/>
      <protection/>
    </xf>
    <xf numFmtId="0" fontId="1" fillId="0" borderId="20" xfId="26" applyFont="1" applyBorder="1" applyAlignment="1">
      <alignment horizontal="center"/>
      <protection/>
    </xf>
    <xf numFmtId="0" fontId="1" fillId="0" borderId="25" xfId="26" applyFont="1" applyBorder="1" applyAlignment="1">
      <alignment horizontal="center"/>
      <protection/>
    </xf>
    <xf numFmtId="0" fontId="1" fillId="0" borderId="18" xfId="26" applyFont="1" applyBorder="1" applyAlignment="1">
      <alignment horizontal="center"/>
      <protection/>
    </xf>
    <xf numFmtId="0" fontId="1" fillId="0" borderId="22" xfId="26" applyFont="1" applyBorder="1" applyAlignment="1">
      <alignment horizontal="center"/>
      <protection/>
    </xf>
    <xf numFmtId="0" fontId="1" fillId="0" borderId="41" xfId="26" applyFont="1" applyBorder="1" applyAlignment="1">
      <alignment/>
      <protection/>
    </xf>
    <xf numFmtId="0" fontId="1" fillId="0" borderId="24" xfId="26" applyFont="1" applyBorder="1" applyAlignment="1">
      <alignment horizontal="center"/>
      <protection/>
    </xf>
    <xf numFmtId="0" fontId="1" fillId="0" borderId="23" xfId="26" applyFont="1" applyBorder="1" applyAlignment="1">
      <alignment horizontal="center"/>
      <protection/>
    </xf>
    <xf numFmtId="0" fontId="1" fillId="0" borderId="3" xfId="26" applyFont="1" applyBorder="1" applyAlignment="1">
      <alignment horizontal="center"/>
      <protection/>
    </xf>
    <xf numFmtId="0" fontId="1" fillId="0" borderId="4" xfId="26" applyFont="1" applyBorder="1" applyAlignment="1">
      <alignment horizontal="center"/>
      <protection/>
    </xf>
    <xf numFmtId="0" fontId="16" fillId="0" borderId="22" xfId="24" applyFont="1" applyFill="1" applyBorder="1" applyAlignment="1">
      <alignment horizontal="center"/>
      <protection/>
    </xf>
    <xf numFmtId="0" fontId="16" fillId="0" borderId="23" xfId="24" applyFont="1" applyFill="1" applyBorder="1" applyAlignment="1">
      <alignment horizontal="center"/>
      <protection/>
    </xf>
    <xf numFmtId="0" fontId="16" fillId="0" borderId="24" xfId="24" applyFont="1" applyFill="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Data   - Style2" xfId="20"/>
    <cellStyle name="Followed Hyperlink" xfId="21"/>
    <cellStyle name="Hyperlink" xfId="22"/>
    <cellStyle name="Labels - Style3" xfId="23"/>
    <cellStyle name="Normal_LaTconstructionemissions" xfId="24"/>
    <cellStyle name="Normal_LATconstructionworkertrips" xfId="25"/>
    <cellStyle name="Normal_LATemployeetrip" xfId="26"/>
    <cellStyle name="Percent" xfId="27"/>
    <cellStyle name="Reset  - Style7" xfId="28"/>
    <cellStyle name="Table  - Style6" xfId="29"/>
    <cellStyle name="Title  - Style1" xfId="30"/>
    <cellStyle name="TotCol - Style5" xfId="31"/>
    <cellStyle name="TotRow - Style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titude\ECS\LAX\LAX%20Construction%20Emissions\ECS%20LAX%20Ques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Discrepancy"/>
      <sheetName val="Ques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5"/>
  <sheetViews>
    <sheetView showGridLines="0" tabSelected="1" workbookViewId="0" topLeftCell="A1">
      <selection activeCell="E28" sqref="E28"/>
    </sheetView>
  </sheetViews>
  <sheetFormatPr defaultColWidth="9.33203125" defaultRowHeight="12.75"/>
  <cols>
    <col min="1" max="1" width="11.33203125" style="2" customWidth="1"/>
    <col min="2" max="9" width="11.33203125" style="1" customWidth="1"/>
    <col min="10" max="10" width="15.5" style="1" customWidth="1"/>
    <col min="11" max="15" width="11.33203125" style="1" customWidth="1"/>
    <col min="16" max="16384" width="9.33203125" style="1" customWidth="1"/>
  </cols>
  <sheetData>
    <row r="1" ht="15.75">
      <c r="A1" s="6" t="s">
        <v>91</v>
      </c>
    </row>
    <row r="2" ht="3.75" customHeight="1">
      <c r="A2" s="6"/>
    </row>
    <row r="3" spans="1:9" ht="13.5" thickBot="1">
      <c r="A3" s="116"/>
      <c r="B3" s="115"/>
      <c r="C3" s="115"/>
      <c r="D3" s="117"/>
      <c r="E3" s="117"/>
      <c r="F3" s="117"/>
      <c r="G3" s="117"/>
      <c r="H3" s="117"/>
      <c r="I3" s="115"/>
    </row>
    <row r="4" spans="1:8" ht="15.75">
      <c r="A4" s="14"/>
      <c r="B4" s="15"/>
      <c r="C4" s="15"/>
      <c r="D4" s="34" t="s">
        <v>0</v>
      </c>
      <c r="E4" s="34" t="s">
        <v>1</v>
      </c>
      <c r="F4" s="34" t="s">
        <v>2</v>
      </c>
      <c r="G4" s="34" t="s">
        <v>5</v>
      </c>
      <c r="H4" s="35" t="s">
        <v>4</v>
      </c>
    </row>
    <row r="5" spans="1:8" ht="18.75">
      <c r="A5" s="17" t="s">
        <v>6</v>
      </c>
      <c r="B5" s="18"/>
      <c r="C5" s="18"/>
      <c r="D5" s="19" t="s">
        <v>51</v>
      </c>
      <c r="E5" s="19" t="s">
        <v>27</v>
      </c>
      <c r="F5" s="19" t="s">
        <v>27</v>
      </c>
      <c r="G5" s="19" t="s">
        <v>27</v>
      </c>
      <c r="H5" s="20" t="s">
        <v>27</v>
      </c>
    </row>
    <row r="6" spans="1:8" ht="18.75">
      <c r="A6" s="21" t="s">
        <v>52</v>
      </c>
      <c r="B6" s="22"/>
      <c r="C6" s="22"/>
      <c r="D6" s="23">
        <f>D12*$C$25/454/($D$44/$D$42)*$C$27</f>
        <v>0.06667460411953804</v>
      </c>
      <c r="E6" s="23">
        <f>E12*$C$25/454/($D$44/$D$42)*$C$27</f>
        <v>0.025002976544826763</v>
      </c>
      <c r="F6" s="23">
        <v>0.68</v>
      </c>
      <c r="G6" s="23">
        <f>G12*$C$25/454/($D$44/$D$42)*$C$27</f>
        <v>0.008742290748898679</v>
      </c>
      <c r="H6" s="24">
        <f>H12*$C$25/454/($D$44/$D$42)*$C$27</f>
        <v>0.01666865102988451</v>
      </c>
    </row>
    <row r="7" spans="1:8" ht="16.5" thickBot="1">
      <c r="A7" s="25" t="s">
        <v>45</v>
      </c>
      <c r="B7" s="26"/>
      <c r="C7" s="26"/>
      <c r="D7" s="27">
        <f>D12*$C$21*$C$25/454</f>
        <v>2.1145374449339207</v>
      </c>
      <c r="E7" s="27">
        <f>E12*$C$21*$C$25/454</f>
        <v>0.7929515418502202</v>
      </c>
      <c r="F7" s="27">
        <f>F12*$C$21*$C$25/454</f>
        <v>21.475770925110133</v>
      </c>
      <c r="G7" s="27">
        <f>G12*$C$21*$C$25/454</f>
        <v>0.2772555066079296</v>
      </c>
      <c r="H7" s="28">
        <f>H12*$C$21*$C$25/454</f>
        <v>0.5286343612334802</v>
      </c>
    </row>
    <row r="8" spans="1:8" ht="15.75">
      <c r="A8" s="29"/>
      <c r="B8" s="30"/>
      <c r="C8" s="30"/>
      <c r="D8" s="31"/>
      <c r="E8" s="31"/>
      <c r="F8" s="31"/>
      <c r="G8" s="31"/>
      <c r="H8" s="31"/>
    </row>
    <row r="9" spans="1:8" ht="19.5" thickBot="1">
      <c r="A9" s="6" t="s">
        <v>53</v>
      </c>
      <c r="B9" s="30"/>
      <c r="C9" s="30"/>
      <c r="D9" s="30"/>
      <c r="E9" s="30"/>
      <c r="F9" s="30"/>
      <c r="G9" s="30"/>
      <c r="H9" s="30"/>
    </row>
    <row r="10" spans="1:8" ht="15.75">
      <c r="A10" s="32"/>
      <c r="B10" s="33"/>
      <c r="C10" s="33"/>
      <c r="D10" s="34" t="s">
        <v>0</v>
      </c>
      <c r="E10" s="34" t="s">
        <v>1</v>
      </c>
      <c r="F10" s="34" t="s">
        <v>2</v>
      </c>
      <c r="G10" s="34" t="s">
        <v>3</v>
      </c>
      <c r="H10" s="35" t="s">
        <v>4</v>
      </c>
    </row>
    <row r="11" spans="1:8" ht="15.75">
      <c r="A11" s="17" t="s">
        <v>6</v>
      </c>
      <c r="B11" s="18"/>
      <c r="C11" s="18"/>
      <c r="D11" s="36" t="s">
        <v>21</v>
      </c>
      <c r="E11" s="36" t="s">
        <v>21</v>
      </c>
      <c r="F11" s="36" t="s">
        <v>21</v>
      </c>
      <c r="G11" s="36" t="s">
        <v>21</v>
      </c>
      <c r="H11" s="37" t="s">
        <v>21</v>
      </c>
    </row>
    <row r="12" spans="1:8" ht="16.5" thickBot="1">
      <c r="A12" s="25" t="s">
        <v>39</v>
      </c>
      <c r="B12" s="26"/>
      <c r="C12" s="26"/>
      <c r="D12" s="38">
        <v>1.28</v>
      </c>
      <c r="E12" s="38">
        <v>0.48</v>
      </c>
      <c r="F12" s="39">
        <v>13</v>
      </c>
      <c r="G12" s="27">
        <f>$D$50</f>
        <v>0.16783200000000004</v>
      </c>
      <c r="H12" s="40">
        <v>0.32</v>
      </c>
    </row>
    <row r="13" ht="13.5">
      <c r="A13" s="4"/>
    </row>
    <row r="14" ht="12.75">
      <c r="A14" s="3" t="s">
        <v>7</v>
      </c>
    </row>
    <row r="15" ht="12.75">
      <c r="A15" s="2" t="s">
        <v>36</v>
      </c>
    </row>
    <row r="17" ht="15">
      <c r="A17" s="16" t="s">
        <v>48</v>
      </c>
    </row>
    <row r="18" ht="15">
      <c r="A18" s="16" t="s">
        <v>46</v>
      </c>
    </row>
    <row r="19" ht="12.75">
      <c r="A19" s="2" t="s">
        <v>49</v>
      </c>
    </row>
    <row r="21" spans="1:4" ht="12.75">
      <c r="A21" s="2" t="s">
        <v>32</v>
      </c>
      <c r="C21" s="1">
        <v>3000</v>
      </c>
      <c r="D21" s="1" t="s">
        <v>50</v>
      </c>
    </row>
    <row r="22" ht="12.75">
      <c r="D22" s="1" t="s">
        <v>40</v>
      </c>
    </row>
    <row r="23" ht="12.75">
      <c r="D23" s="1" t="s">
        <v>42</v>
      </c>
    </row>
    <row r="24" ht="12.75">
      <c r="D24" s="1" t="s">
        <v>41</v>
      </c>
    </row>
    <row r="25" spans="1:4" ht="12.75">
      <c r="A25" s="2" t="s">
        <v>22</v>
      </c>
      <c r="C25" s="1">
        <v>0.25</v>
      </c>
      <c r="D25" s="1" t="s">
        <v>28</v>
      </c>
    </row>
    <row r="26" spans="1:3" ht="12.75">
      <c r="A26" s="2" t="s">
        <v>34</v>
      </c>
      <c r="C26" s="8" t="s">
        <v>33</v>
      </c>
    </row>
    <row r="27" spans="1:4" ht="12.75">
      <c r="A27" s="2" t="s">
        <v>31</v>
      </c>
      <c r="C27" s="1">
        <v>5</v>
      </c>
      <c r="D27" s="1" t="s">
        <v>35</v>
      </c>
    </row>
    <row r="28" ht="12.75">
      <c r="D28" s="2" t="s">
        <v>37</v>
      </c>
    </row>
    <row r="29" ht="12.75">
      <c r="D29" s="2" t="s">
        <v>38</v>
      </c>
    </row>
    <row r="30" ht="12.75">
      <c r="D30" s="2"/>
    </row>
    <row r="31" spans="1:3" ht="15">
      <c r="A31" s="16" t="s">
        <v>47</v>
      </c>
      <c r="B31" s="7"/>
      <c r="C31" s="7"/>
    </row>
    <row r="32" spans="1:3" ht="12.75">
      <c r="A32" s="12" t="s">
        <v>26</v>
      </c>
      <c r="B32" s="7"/>
      <c r="C32" s="7"/>
    </row>
    <row r="33" spans="1:3" ht="12.75">
      <c r="A33" s="2" t="s">
        <v>44</v>
      </c>
      <c r="B33" s="7"/>
      <c r="C33" s="7"/>
    </row>
    <row r="34" spans="1:3" ht="12.75">
      <c r="A34" s="2" t="s">
        <v>43</v>
      </c>
      <c r="B34" s="7"/>
      <c r="C34" s="7"/>
    </row>
    <row r="36" ht="12.75">
      <c r="A36" s="2" t="s">
        <v>25</v>
      </c>
    </row>
    <row r="37" ht="12.75">
      <c r="A37" s="1" t="s">
        <v>8</v>
      </c>
    </row>
    <row r="38" ht="12.75">
      <c r="A38" s="1" t="s">
        <v>9</v>
      </c>
    </row>
    <row r="39" ht="12.75">
      <c r="A39" s="1" t="s">
        <v>10</v>
      </c>
    </row>
    <row r="40" ht="12.75">
      <c r="A40" s="1"/>
    </row>
    <row r="41" spans="1:5" ht="12.75">
      <c r="A41" s="1"/>
      <c r="C41" s="8" t="s">
        <v>11</v>
      </c>
      <c r="D41" s="1">
        <v>500</v>
      </c>
      <c r="E41" s="1" t="s">
        <v>12</v>
      </c>
    </row>
    <row r="42" spans="1:5" ht="12.75">
      <c r="A42" s="1"/>
      <c r="C42" s="8" t="s">
        <v>13</v>
      </c>
      <c r="D42" s="1">
        <v>7</v>
      </c>
      <c r="E42" s="1" t="s">
        <v>14</v>
      </c>
    </row>
    <row r="43" spans="1:5" ht="12.75">
      <c r="A43" s="1"/>
      <c r="C43" s="8" t="s">
        <v>15</v>
      </c>
      <c r="D43" s="1">
        <v>138000</v>
      </c>
      <c r="E43" s="1" t="s">
        <v>16</v>
      </c>
    </row>
    <row r="44" spans="1:5" ht="12.75">
      <c r="A44" s="1"/>
      <c r="C44" s="8" t="s">
        <v>17</v>
      </c>
      <c r="D44" s="1">
        <v>0.37</v>
      </c>
      <c r="E44" s="1" t="s">
        <v>30</v>
      </c>
    </row>
    <row r="45" spans="1:5" ht="12.75">
      <c r="A45" s="1"/>
      <c r="C45" s="8"/>
      <c r="D45" s="13">
        <f>D44/D42*D43</f>
        <v>7294.285714285715</v>
      </c>
      <c r="E45" s="1" t="s">
        <v>29</v>
      </c>
    </row>
    <row r="46" spans="1:4" ht="12.75">
      <c r="A46" s="1"/>
      <c r="D46" s="9"/>
    </row>
    <row r="47" spans="1:3" ht="12.75">
      <c r="A47" s="1"/>
      <c r="C47" s="1" t="s">
        <v>23</v>
      </c>
    </row>
    <row r="48" spans="1:5" ht="12.75">
      <c r="A48" s="1"/>
      <c r="E48" s="1" t="s">
        <v>24</v>
      </c>
    </row>
    <row r="49" spans="1:5" ht="12.75">
      <c r="A49" s="1"/>
      <c r="C49" s="8" t="s">
        <v>18</v>
      </c>
      <c r="D49" s="10">
        <f>D41/1000000*D42/D43/32*64*D45</f>
        <v>0.00037000000000000005</v>
      </c>
      <c r="E49" s="1" t="s">
        <v>19</v>
      </c>
    </row>
    <row r="50" spans="1:5" ht="12.75">
      <c r="A50" s="1"/>
      <c r="D50" s="11">
        <f>D49*453.6</f>
        <v>0.16783200000000004</v>
      </c>
      <c r="E50" s="1" t="s">
        <v>20</v>
      </c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  <row r="820" ht="12.75">
      <c r="D820" s="5"/>
    </row>
    <row r="821" ht="12.75">
      <c r="D821" s="5"/>
    </row>
    <row r="822" ht="12.75">
      <c r="D822" s="5"/>
    </row>
    <row r="823" ht="12.75">
      <c r="D823" s="5"/>
    </row>
    <row r="824" ht="12.75">
      <c r="D824" s="5"/>
    </row>
    <row r="825" ht="12.75">
      <c r="D825" s="5"/>
    </row>
    <row r="826" ht="12.75">
      <c r="D826" s="5"/>
    </row>
    <row r="827" ht="12.75">
      <c r="D827" s="5"/>
    </row>
    <row r="828" ht="12.75">
      <c r="D828" s="5"/>
    </row>
    <row r="829" ht="12.75">
      <c r="D829" s="5"/>
    </row>
    <row r="830" ht="12.75">
      <c r="D830" s="5"/>
    </row>
    <row r="831" ht="12.75">
      <c r="D831" s="5"/>
    </row>
    <row r="832" ht="12.75">
      <c r="D832" s="5"/>
    </row>
    <row r="833" ht="12.75">
      <c r="D833" s="5"/>
    </row>
    <row r="834" ht="12.75">
      <c r="D834" s="5"/>
    </row>
    <row r="835" ht="12.75">
      <c r="D835" s="5"/>
    </row>
    <row r="836" ht="12.75">
      <c r="D836" s="5"/>
    </row>
    <row r="837" ht="12.75">
      <c r="D837" s="5"/>
    </row>
    <row r="838" ht="12.75">
      <c r="D838" s="5"/>
    </row>
    <row r="839" ht="12.75">
      <c r="D839" s="5"/>
    </row>
    <row r="840" ht="12.75">
      <c r="D840" s="5"/>
    </row>
    <row r="841" ht="12.75">
      <c r="D841" s="5"/>
    </row>
    <row r="842" ht="12.75">
      <c r="D842" s="5"/>
    </row>
    <row r="843" ht="12.75">
      <c r="D843" s="5"/>
    </row>
    <row r="844" ht="12.75">
      <c r="D844" s="5"/>
    </row>
    <row r="845" ht="12.75">
      <c r="D845" s="5"/>
    </row>
    <row r="846" ht="12.75">
      <c r="D846" s="5"/>
    </row>
    <row r="847" ht="12.75">
      <c r="D847" s="5"/>
    </row>
    <row r="848" ht="12.75">
      <c r="D848" s="5"/>
    </row>
    <row r="849" ht="12.75">
      <c r="D849" s="5"/>
    </row>
    <row r="850" ht="12.75">
      <c r="D850" s="5"/>
    </row>
    <row r="851" ht="12.75">
      <c r="D851" s="5"/>
    </row>
    <row r="852" ht="12.75">
      <c r="D852" s="5"/>
    </row>
    <row r="853" ht="12.75">
      <c r="D853" s="5"/>
    </row>
    <row r="854" ht="12.75">
      <c r="D854" s="5"/>
    </row>
    <row r="855" ht="12.75">
      <c r="D855" s="5"/>
    </row>
    <row r="856" ht="12.75">
      <c r="D856" s="5"/>
    </row>
    <row r="857" ht="12.75">
      <c r="D857" s="5"/>
    </row>
    <row r="858" ht="12.75">
      <c r="D858" s="5"/>
    </row>
    <row r="859" ht="12.75">
      <c r="D859" s="5"/>
    </row>
    <row r="860" ht="12.75">
      <c r="D860" s="5"/>
    </row>
    <row r="861" ht="12.75">
      <c r="D861" s="5"/>
    </row>
    <row r="862" ht="12.75">
      <c r="D862" s="5"/>
    </row>
    <row r="863" ht="12.75">
      <c r="D863" s="5"/>
    </row>
    <row r="864" ht="12.75">
      <c r="D864" s="5"/>
    </row>
    <row r="865" ht="12.75">
      <c r="D865" s="5"/>
    </row>
    <row r="866" ht="12.75">
      <c r="D866" s="5"/>
    </row>
    <row r="867" ht="12.75">
      <c r="D867" s="5"/>
    </row>
    <row r="868" ht="12.75">
      <c r="D868" s="5"/>
    </row>
    <row r="869" ht="12.75">
      <c r="D869" s="5"/>
    </row>
    <row r="870" ht="12.75">
      <c r="D870" s="5"/>
    </row>
    <row r="871" ht="12.75">
      <c r="D871" s="5"/>
    </row>
    <row r="872" ht="12.75">
      <c r="D872" s="5"/>
    </row>
    <row r="873" ht="12.75">
      <c r="D873" s="5"/>
    </row>
    <row r="874" ht="12.75">
      <c r="D874" s="5"/>
    </row>
    <row r="875" ht="12.75">
      <c r="D875" s="5"/>
    </row>
    <row r="876" ht="12.75">
      <c r="D876" s="5"/>
    </row>
    <row r="877" ht="12.75">
      <c r="D877" s="5"/>
    </row>
    <row r="878" ht="12.75">
      <c r="D878" s="5"/>
    </row>
    <row r="879" ht="12.75">
      <c r="D879" s="5"/>
    </row>
    <row r="880" ht="12.75">
      <c r="D880" s="5"/>
    </row>
    <row r="881" ht="12.75">
      <c r="D881" s="5"/>
    </row>
    <row r="882" ht="12.75">
      <c r="D882" s="5"/>
    </row>
    <row r="883" ht="12.75">
      <c r="D883" s="5"/>
    </row>
    <row r="884" ht="12.75">
      <c r="D884" s="5"/>
    </row>
    <row r="885" ht="12.75">
      <c r="D885" s="5"/>
    </row>
    <row r="886" ht="12.75">
      <c r="D886" s="5"/>
    </row>
    <row r="887" ht="12.75">
      <c r="D887" s="5"/>
    </row>
    <row r="888" ht="12.75">
      <c r="D888" s="5"/>
    </row>
    <row r="889" ht="12.75">
      <c r="D889" s="5"/>
    </row>
    <row r="890" ht="12.75">
      <c r="D890" s="5"/>
    </row>
    <row r="891" ht="12.75">
      <c r="D891" s="5"/>
    </row>
    <row r="892" ht="12.75">
      <c r="D892" s="5"/>
    </row>
    <row r="893" ht="12.75">
      <c r="D893" s="5"/>
    </row>
    <row r="894" ht="12.75">
      <c r="D894" s="5"/>
    </row>
    <row r="895" ht="12.75">
      <c r="D895" s="5"/>
    </row>
    <row r="896" ht="12.75">
      <c r="D896" s="5"/>
    </row>
    <row r="897" ht="12.75">
      <c r="D897" s="5"/>
    </row>
    <row r="898" ht="12.75">
      <c r="D898" s="5"/>
    </row>
    <row r="899" ht="12.75">
      <c r="D899" s="5"/>
    </row>
    <row r="900" ht="12.75">
      <c r="D900" s="5"/>
    </row>
    <row r="901" ht="12.75">
      <c r="D901" s="5"/>
    </row>
    <row r="902" ht="12.75">
      <c r="D902" s="5"/>
    </row>
    <row r="903" ht="12.75">
      <c r="D903" s="5"/>
    </row>
    <row r="904" ht="12.75">
      <c r="D904" s="5"/>
    </row>
    <row r="905" ht="12.75">
      <c r="D905" s="5"/>
    </row>
    <row r="906" ht="12.75">
      <c r="D906" s="5"/>
    </row>
    <row r="907" ht="12.75">
      <c r="D907" s="5"/>
    </row>
    <row r="908" ht="12.75">
      <c r="D908" s="5"/>
    </row>
    <row r="909" ht="12.75">
      <c r="D909" s="5"/>
    </row>
    <row r="910" ht="12.75">
      <c r="D910" s="5"/>
    </row>
    <row r="911" ht="12.75">
      <c r="D911" s="5"/>
    </row>
    <row r="912" ht="12.75">
      <c r="D912" s="5"/>
    </row>
    <row r="913" ht="12.75">
      <c r="D913" s="5"/>
    </row>
    <row r="914" ht="12.75">
      <c r="D914" s="5"/>
    </row>
    <row r="915" ht="12.75">
      <c r="D915" s="5"/>
    </row>
  </sheetData>
  <printOptions/>
  <pageMargins left="0.5" right="0.5" top="0.5" bottom="0.5" header="0.5" footer="0.5"/>
  <pageSetup horizontalDpi="300" verticalDpi="300" orientation="portrait" scale="75" r:id="rId1"/>
  <headerFooter alignWithMargins="0">
    <oddFooter>&amp;L&amp;"Arial,Regular"&amp;9ECS Tosco Ethanol Unloading Rack Calculations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3.66015625" style="42" customWidth="1"/>
    <col min="2" max="2" width="10.66015625" style="42" customWidth="1"/>
    <col min="3" max="3" width="12.33203125" style="42" customWidth="1"/>
    <col min="4" max="4" width="10.66015625" style="42" customWidth="1"/>
    <col min="5" max="5" width="12.16015625" style="42" customWidth="1"/>
    <col min="6" max="6" width="12.83203125" style="42" customWidth="1"/>
    <col min="7" max="7" width="10.66015625" style="42" customWidth="1"/>
    <col min="8" max="8" width="12" style="42" customWidth="1"/>
    <col min="9" max="9" width="11.66015625" style="42" customWidth="1"/>
    <col min="10" max="10" width="12.66015625" style="42" customWidth="1"/>
    <col min="11" max="11" width="12" style="42" customWidth="1"/>
    <col min="12" max="16384" width="10.66015625" style="42" customWidth="1"/>
  </cols>
  <sheetData>
    <row r="1" ht="15.75">
      <c r="A1" s="41" t="s">
        <v>92</v>
      </c>
    </row>
    <row r="2" spans="1:11" ht="13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3.5" thickBot="1">
      <c r="A3" s="161" t="s">
        <v>54</v>
      </c>
      <c r="B3" s="139" t="s">
        <v>55</v>
      </c>
      <c r="C3" s="136"/>
      <c r="D3" s="139" t="s">
        <v>56</v>
      </c>
      <c r="E3" s="134"/>
      <c r="F3" s="134"/>
      <c r="G3" s="134"/>
      <c r="H3" s="134"/>
      <c r="I3" s="139" t="s">
        <v>57</v>
      </c>
      <c r="J3" s="136"/>
      <c r="K3" s="44" t="s">
        <v>58</v>
      </c>
      <c r="L3" s="44" t="s">
        <v>5</v>
      </c>
    </row>
    <row r="4" spans="1:12" ht="51.75" thickBot="1">
      <c r="A4" s="132"/>
      <c r="B4" s="118" t="s">
        <v>59</v>
      </c>
      <c r="C4" s="118" t="s">
        <v>60</v>
      </c>
      <c r="D4" s="118" t="s">
        <v>61</v>
      </c>
      <c r="E4" s="118" t="s">
        <v>60</v>
      </c>
      <c r="F4" s="118" t="s">
        <v>103</v>
      </c>
      <c r="G4" s="118" t="s">
        <v>62</v>
      </c>
      <c r="H4" s="118" t="s">
        <v>63</v>
      </c>
      <c r="I4" s="118" t="s">
        <v>59</v>
      </c>
      <c r="J4" s="118" t="s">
        <v>60</v>
      </c>
      <c r="K4" s="118" t="s">
        <v>64</v>
      </c>
      <c r="L4" s="118" t="s">
        <v>64</v>
      </c>
    </row>
    <row r="5" spans="1:12" ht="39" thickBot="1">
      <c r="A5" s="45" t="s">
        <v>65</v>
      </c>
      <c r="B5" s="128">
        <v>7.469</v>
      </c>
      <c r="C5" s="128">
        <v>13.285</v>
      </c>
      <c r="D5" s="131">
        <v>0.3</v>
      </c>
      <c r="E5" s="128">
        <v>1.161</v>
      </c>
      <c r="F5" s="128">
        <v>0.235</v>
      </c>
      <c r="G5" s="131">
        <f>0.1174+0.0495</f>
        <v>0.1669</v>
      </c>
      <c r="H5" s="128">
        <v>0.264</v>
      </c>
      <c r="I5" s="128">
        <v>0.905</v>
      </c>
      <c r="J5" s="128">
        <v>0.833</v>
      </c>
      <c r="K5" s="126">
        <v>0.038</v>
      </c>
      <c r="L5" s="128">
        <v>0.005</v>
      </c>
    </row>
    <row r="6" spans="1:11" ht="12.7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ht="13.5" thickBot="1"/>
    <row r="8" spans="1:13" ht="13.5" thickBot="1">
      <c r="A8" s="48"/>
      <c r="B8" s="139" t="s">
        <v>66</v>
      </c>
      <c r="C8" s="134"/>
      <c r="D8" s="134"/>
      <c r="E8" s="139" t="s">
        <v>67</v>
      </c>
      <c r="F8" s="140"/>
      <c r="G8" s="140"/>
      <c r="H8" s="140"/>
      <c r="I8" s="140"/>
      <c r="J8" s="140"/>
      <c r="K8" s="140"/>
      <c r="L8" s="140"/>
      <c r="M8" s="141"/>
    </row>
    <row r="9" spans="1:13" ht="13.5" thickBot="1">
      <c r="A9" s="49"/>
      <c r="B9" s="135" t="s">
        <v>68</v>
      </c>
      <c r="C9" s="135" t="s">
        <v>69</v>
      </c>
      <c r="D9" s="135" t="s">
        <v>70</v>
      </c>
      <c r="E9" s="144" t="s">
        <v>55</v>
      </c>
      <c r="F9" s="146"/>
      <c r="G9" s="144" t="s">
        <v>56</v>
      </c>
      <c r="H9" s="145"/>
      <c r="I9" s="146"/>
      <c r="J9" s="144" t="s">
        <v>57</v>
      </c>
      <c r="K9" s="146"/>
      <c r="L9" s="51" t="s">
        <v>58</v>
      </c>
      <c r="M9" s="51" t="s">
        <v>5</v>
      </c>
    </row>
    <row r="10" spans="1:13" ht="39" thickBot="1">
      <c r="A10" s="50" t="s">
        <v>71</v>
      </c>
      <c r="B10" s="164"/>
      <c r="C10" s="164"/>
      <c r="D10" s="164"/>
      <c r="E10" s="118" t="s">
        <v>72</v>
      </c>
      <c r="F10" s="119" t="s">
        <v>73</v>
      </c>
      <c r="G10" s="118" t="s">
        <v>74</v>
      </c>
      <c r="H10" s="118" t="s">
        <v>75</v>
      </c>
      <c r="I10" s="118" t="s">
        <v>76</v>
      </c>
      <c r="J10" s="120" t="s">
        <v>77</v>
      </c>
      <c r="K10" s="118" t="s">
        <v>73</v>
      </c>
      <c r="L10" s="118" t="s">
        <v>119</v>
      </c>
      <c r="M10" s="118" t="s">
        <v>119</v>
      </c>
    </row>
    <row r="11" spans="1:13" ht="12.75">
      <c r="A11" s="161" t="s">
        <v>78</v>
      </c>
      <c r="B11" s="163">
        <v>13</v>
      </c>
      <c r="C11" s="163">
        <f>B11*2</f>
        <v>26</v>
      </c>
      <c r="D11" s="163">
        <v>11.5</v>
      </c>
      <c r="E11" s="137">
        <f>C11*D11*B$5/453.6</f>
        <v>4.923348765432099</v>
      </c>
      <c r="F11" s="137">
        <f>C11*C$5/453.6</f>
        <v>0.7614858906525573</v>
      </c>
      <c r="G11" s="137">
        <f>C11*D11*(D$5+H$5)/453.6</f>
        <v>0.3717724867724868</v>
      </c>
      <c r="H11" s="137">
        <f>C11*(E$5+F$5)/453.6</f>
        <v>0.08001763668430334</v>
      </c>
      <c r="I11" s="137">
        <f>B11*8*G$5/453.6</f>
        <v>0.03826631393298059</v>
      </c>
      <c r="J11" s="137">
        <f>C11*D11*I$5/453.6</f>
        <v>0.596549823633157</v>
      </c>
      <c r="K11" s="142">
        <f>C11*J$5/453.6</f>
        <v>0.04774691358024691</v>
      </c>
      <c r="L11" s="137">
        <f>C11*D11*K$5/453.6</f>
        <v>0.025048500881834215</v>
      </c>
      <c r="M11" s="137">
        <f>C11*D11*L$5/453.6</f>
        <v>0.0032958553791887124</v>
      </c>
    </row>
    <row r="12" spans="1:13" ht="13.5" thickBot="1">
      <c r="A12" s="162"/>
      <c r="B12" s="164"/>
      <c r="C12" s="164"/>
      <c r="D12" s="164"/>
      <c r="E12" s="138"/>
      <c r="F12" s="138"/>
      <c r="G12" s="138"/>
      <c r="H12" s="138"/>
      <c r="I12" s="138"/>
      <c r="J12" s="138"/>
      <c r="K12" s="143"/>
      <c r="L12" s="138"/>
      <c r="M12" s="138"/>
    </row>
    <row r="13" spans="1:12" ht="12.75">
      <c r="A13" s="46"/>
      <c r="B13" s="47"/>
      <c r="C13" s="47"/>
      <c r="D13" s="47"/>
      <c r="E13" s="52"/>
      <c r="F13" s="52"/>
      <c r="G13" s="52"/>
      <c r="H13" s="52"/>
      <c r="I13" s="52"/>
      <c r="J13" s="52"/>
      <c r="K13" s="52"/>
      <c r="L13" s="52"/>
    </row>
    <row r="14" spans="1:12" ht="13.5" thickBot="1">
      <c r="A14" s="43"/>
      <c r="B14" s="47"/>
      <c r="C14" s="47"/>
      <c r="D14" s="47"/>
      <c r="E14" s="53"/>
      <c r="F14" s="53"/>
      <c r="G14" s="53"/>
      <c r="H14" s="53"/>
      <c r="I14" s="53"/>
      <c r="J14" s="53"/>
      <c r="K14" s="53"/>
      <c r="L14" s="53"/>
    </row>
    <row r="15" spans="1:13" ht="27.75" customHeight="1" thickBot="1">
      <c r="A15" s="43"/>
      <c r="B15" s="157"/>
      <c r="C15" s="157"/>
      <c r="D15" s="157"/>
      <c r="E15" s="158" t="s">
        <v>95</v>
      </c>
      <c r="F15" s="159"/>
      <c r="G15" s="158" t="s">
        <v>98</v>
      </c>
      <c r="H15" s="160"/>
      <c r="I15" s="159"/>
      <c r="J15" s="158" t="s">
        <v>97</v>
      </c>
      <c r="K15" s="159"/>
      <c r="L15" s="54" t="s">
        <v>96</v>
      </c>
      <c r="M15" s="54" t="s">
        <v>121</v>
      </c>
    </row>
    <row r="16" spans="1:13" ht="12.75" customHeight="1">
      <c r="A16" s="147" t="s">
        <v>79</v>
      </c>
      <c r="B16" s="148"/>
      <c r="C16" s="148"/>
      <c r="D16" s="149"/>
      <c r="E16" s="153">
        <f>E11+F11</f>
        <v>5.684834656084656</v>
      </c>
      <c r="F16" s="142"/>
      <c r="G16" s="153">
        <f>G11+H11+I11</f>
        <v>0.4900564373897707</v>
      </c>
      <c r="H16" s="155"/>
      <c r="I16" s="142"/>
      <c r="J16" s="153">
        <f>J11+K11</f>
        <v>0.6442967372134039</v>
      </c>
      <c r="K16" s="142"/>
      <c r="L16" s="137">
        <f>L11</f>
        <v>0.025048500881834215</v>
      </c>
      <c r="M16" s="137">
        <f>M11</f>
        <v>0.0032958553791887124</v>
      </c>
    </row>
    <row r="17" spans="1:13" ht="13.5" thickBot="1">
      <c r="A17" s="150"/>
      <c r="B17" s="151"/>
      <c r="C17" s="151"/>
      <c r="D17" s="152"/>
      <c r="E17" s="154"/>
      <c r="F17" s="143"/>
      <c r="G17" s="154"/>
      <c r="H17" s="156"/>
      <c r="I17" s="143"/>
      <c r="J17" s="154"/>
      <c r="K17" s="143"/>
      <c r="L17" s="138"/>
      <c r="M17" s="138"/>
    </row>
    <row r="19" ht="12.75">
      <c r="A19" s="42" t="s">
        <v>111</v>
      </c>
    </row>
    <row r="20" ht="12.75">
      <c r="A20" s="42" t="s">
        <v>114</v>
      </c>
    </row>
    <row r="21" ht="12.75">
      <c r="A21" s="42" t="s">
        <v>112</v>
      </c>
    </row>
    <row r="23" ht="12.75">
      <c r="A23" s="42" t="s">
        <v>109</v>
      </c>
    </row>
    <row r="25" ht="13.5">
      <c r="A25" s="55"/>
    </row>
  </sheetData>
  <mergeCells count="35">
    <mergeCell ref="I3:J3"/>
    <mergeCell ref="A3:A4"/>
    <mergeCell ref="B3:C3"/>
    <mergeCell ref="D3:H3"/>
    <mergeCell ref="B8:D8"/>
    <mergeCell ref="B9:B10"/>
    <mergeCell ref="C9:C10"/>
    <mergeCell ref="D9:D10"/>
    <mergeCell ref="E9:F9"/>
    <mergeCell ref="E11:E12"/>
    <mergeCell ref="F11:F12"/>
    <mergeCell ref="G11:G12"/>
    <mergeCell ref="H11:H12"/>
    <mergeCell ref="A11:A12"/>
    <mergeCell ref="B11:B12"/>
    <mergeCell ref="C11:C12"/>
    <mergeCell ref="D11:D12"/>
    <mergeCell ref="B15:D15"/>
    <mergeCell ref="E15:F15"/>
    <mergeCell ref="G15:I15"/>
    <mergeCell ref="J15:K15"/>
    <mergeCell ref="A16:D17"/>
    <mergeCell ref="E16:F17"/>
    <mergeCell ref="G16:I17"/>
    <mergeCell ref="J16:K17"/>
    <mergeCell ref="M11:M12"/>
    <mergeCell ref="M16:M17"/>
    <mergeCell ref="E8:M8"/>
    <mergeCell ref="L16:L17"/>
    <mergeCell ref="I11:I12"/>
    <mergeCell ref="J11:J12"/>
    <mergeCell ref="K11:K12"/>
    <mergeCell ref="L11:L12"/>
    <mergeCell ref="G9:I9"/>
    <mergeCell ref="J9:K9"/>
  </mergeCells>
  <printOptions/>
  <pageMargins left="0.5" right="0.5" top="0.75" bottom="0.75" header="0.5" footer="0.5"/>
  <pageSetup horizontalDpi="300" verticalDpi="300" orientation="landscape" scale="75" r:id="rId1"/>
  <headerFooter alignWithMargins="0">
    <oddFooter>&amp;LECS Tosco Ethanol Unloading Rack Calculations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2">
      <selection activeCell="I19" sqref="I19"/>
    </sheetView>
  </sheetViews>
  <sheetFormatPr defaultColWidth="9.33203125" defaultRowHeight="12.75"/>
  <cols>
    <col min="1" max="1" width="13.66015625" style="58" customWidth="1"/>
    <col min="2" max="2" width="10.66015625" style="58" customWidth="1"/>
    <col min="3" max="3" width="12.33203125" style="58" customWidth="1"/>
    <col min="4" max="4" width="10.66015625" style="58" customWidth="1"/>
    <col min="5" max="12" width="11.5" style="58" customWidth="1"/>
    <col min="13" max="16384" width="10.66015625" style="58" customWidth="1"/>
  </cols>
  <sheetData>
    <row r="1" spans="1:11" ht="15.7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3.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3.5" thickBot="1">
      <c r="A3" s="179" t="s">
        <v>54</v>
      </c>
      <c r="B3" s="188" t="s">
        <v>55</v>
      </c>
      <c r="C3" s="190"/>
      <c r="D3" s="188" t="s">
        <v>56</v>
      </c>
      <c r="E3" s="191"/>
      <c r="F3" s="191"/>
      <c r="G3" s="191"/>
      <c r="H3" s="191"/>
      <c r="I3" s="188" t="s">
        <v>57</v>
      </c>
      <c r="J3" s="190"/>
      <c r="K3" s="59" t="s">
        <v>58</v>
      </c>
      <c r="L3" s="59" t="s">
        <v>5</v>
      </c>
    </row>
    <row r="4" spans="1:12" ht="54.75" thickBot="1">
      <c r="A4" s="189"/>
      <c r="B4" s="127" t="s">
        <v>59</v>
      </c>
      <c r="C4" s="127" t="s">
        <v>102</v>
      </c>
      <c r="D4" s="127" t="s">
        <v>61</v>
      </c>
      <c r="E4" s="127" t="s">
        <v>102</v>
      </c>
      <c r="F4" s="127" t="s">
        <v>103</v>
      </c>
      <c r="G4" s="127" t="s">
        <v>62</v>
      </c>
      <c r="H4" s="121" t="s">
        <v>104</v>
      </c>
      <c r="I4" s="127" t="s">
        <v>105</v>
      </c>
      <c r="J4" s="127" t="s">
        <v>102</v>
      </c>
      <c r="K4" s="121" t="s">
        <v>106</v>
      </c>
      <c r="L4" s="121" t="s">
        <v>106</v>
      </c>
    </row>
    <row r="5" spans="1:12" ht="26.25" thickBot="1">
      <c r="A5" s="61" t="s">
        <v>80</v>
      </c>
      <c r="B5" s="128">
        <v>7.469</v>
      </c>
      <c r="C5" s="128">
        <v>13.285</v>
      </c>
      <c r="D5" s="131">
        <v>0.3</v>
      </c>
      <c r="E5" s="128">
        <v>1.161</v>
      </c>
      <c r="F5" s="128">
        <v>0.235</v>
      </c>
      <c r="G5" s="131">
        <f>0.1174+0.0495</f>
        <v>0.1669</v>
      </c>
      <c r="H5" s="128">
        <v>0.264</v>
      </c>
      <c r="I5" s="128">
        <v>0.905</v>
      </c>
      <c r="J5" s="128">
        <v>0.833</v>
      </c>
      <c r="K5" s="126">
        <v>0.038</v>
      </c>
      <c r="L5" s="128">
        <v>0.005</v>
      </c>
    </row>
    <row r="6" spans="1:11" ht="12.7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ht="13.5" thickBot="1"/>
    <row r="8" spans="1:13" ht="13.5" thickBot="1">
      <c r="A8" s="65"/>
      <c r="B8" s="192" t="s">
        <v>66</v>
      </c>
      <c r="C8" s="193"/>
      <c r="D8" s="193"/>
      <c r="E8" s="188" t="s">
        <v>94</v>
      </c>
      <c r="F8" s="140"/>
      <c r="G8" s="140"/>
      <c r="H8" s="140"/>
      <c r="I8" s="140"/>
      <c r="J8" s="140"/>
      <c r="K8" s="140"/>
      <c r="L8" s="140"/>
      <c r="M8" s="141"/>
    </row>
    <row r="9" spans="1:13" ht="13.5" thickBot="1">
      <c r="A9" s="66"/>
      <c r="B9" s="183" t="s">
        <v>68</v>
      </c>
      <c r="C9" s="183" t="s">
        <v>69</v>
      </c>
      <c r="D9" s="183" t="s">
        <v>70</v>
      </c>
      <c r="E9" s="185" t="s">
        <v>55</v>
      </c>
      <c r="F9" s="186"/>
      <c r="G9" s="187" t="s">
        <v>56</v>
      </c>
      <c r="H9" s="185"/>
      <c r="I9" s="186"/>
      <c r="J9" s="187" t="s">
        <v>57</v>
      </c>
      <c r="K9" s="186"/>
      <c r="L9" s="62" t="s">
        <v>58</v>
      </c>
      <c r="M9" s="62" t="s">
        <v>5</v>
      </c>
    </row>
    <row r="10" spans="1:13" ht="41.25" thickBot="1">
      <c r="A10" s="67" t="s">
        <v>71</v>
      </c>
      <c r="B10" s="184"/>
      <c r="C10" s="184"/>
      <c r="D10" s="184"/>
      <c r="E10" s="122" t="s">
        <v>72</v>
      </c>
      <c r="F10" s="122" t="s">
        <v>73</v>
      </c>
      <c r="G10" s="60" t="s">
        <v>74</v>
      </c>
      <c r="H10" s="60" t="s">
        <v>75</v>
      </c>
      <c r="I10" s="60" t="s">
        <v>76</v>
      </c>
      <c r="J10" s="123" t="s">
        <v>118</v>
      </c>
      <c r="K10" s="60" t="s">
        <v>73</v>
      </c>
      <c r="L10" s="60" t="s">
        <v>119</v>
      </c>
      <c r="M10" s="60" t="s">
        <v>119</v>
      </c>
    </row>
    <row r="11" spans="1:13" ht="12.75">
      <c r="A11" s="179" t="s">
        <v>81</v>
      </c>
      <c r="B11" s="181">
        <v>1</v>
      </c>
      <c r="C11" s="181">
        <f>B11*2</f>
        <v>2</v>
      </c>
      <c r="D11" s="181">
        <v>11.5</v>
      </c>
      <c r="E11" s="133">
        <f>C11*D11*B$5/453.6</f>
        <v>0.37871913580246913</v>
      </c>
      <c r="F11" s="133">
        <f>C11*C$5/453.6</f>
        <v>0.058575837742504404</v>
      </c>
      <c r="G11" s="133">
        <f>C11*D11*(D$5+H$5)/453.6</f>
        <v>0.028597883597883598</v>
      </c>
      <c r="H11" s="133">
        <f>C11*(E$5+F$5)/453.6</f>
        <v>0.006155202821869488</v>
      </c>
      <c r="I11" s="133">
        <f>B11*8*G$5/453.6</f>
        <v>0.0029435626102292767</v>
      </c>
      <c r="J11" s="133">
        <f>C11*D11*I$5/453.6</f>
        <v>0.04588844797178131</v>
      </c>
      <c r="K11" s="173">
        <f>C11*J$5/453.6</f>
        <v>0.003672839506172839</v>
      </c>
      <c r="L11" s="133">
        <f>C11*D11*K$5/453.6</f>
        <v>0.0019268077601410933</v>
      </c>
      <c r="M11" s="133">
        <f>C11*D11*L$5/453.6</f>
        <v>0.0002535273368606702</v>
      </c>
    </row>
    <row r="12" spans="1:13" ht="13.5" thickBot="1">
      <c r="A12" s="180"/>
      <c r="B12" s="182"/>
      <c r="C12" s="182"/>
      <c r="D12" s="182"/>
      <c r="E12" s="165"/>
      <c r="F12" s="165"/>
      <c r="G12" s="165"/>
      <c r="H12" s="165"/>
      <c r="I12" s="165"/>
      <c r="J12" s="165"/>
      <c r="K12" s="175"/>
      <c r="L12" s="165"/>
      <c r="M12" s="165"/>
    </row>
    <row r="13" spans="1:12" ht="12.75">
      <c r="A13" s="63"/>
      <c r="B13" s="64"/>
      <c r="C13" s="64"/>
      <c r="D13" s="64"/>
      <c r="E13" s="68"/>
      <c r="F13" s="68"/>
      <c r="G13" s="68"/>
      <c r="H13" s="68"/>
      <c r="I13" s="68"/>
      <c r="J13" s="68"/>
      <c r="K13" s="68"/>
      <c r="L13" s="68"/>
    </row>
    <row r="14" spans="1:12" ht="13.5" thickBot="1">
      <c r="A14" s="57"/>
      <c r="B14" s="64"/>
      <c r="C14" s="64"/>
      <c r="D14" s="64"/>
      <c r="E14" s="69"/>
      <c r="F14" s="69"/>
      <c r="G14" s="69"/>
      <c r="H14" s="69"/>
      <c r="I14" s="69"/>
      <c r="J14" s="69"/>
      <c r="K14" s="69"/>
      <c r="L14" s="69"/>
    </row>
    <row r="15" spans="1:13" ht="27.75" customHeight="1" thickBot="1">
      <c r="A15" s="57"/>
      <c r="B15" s="178"/>
      <c r="C15" s="178"/>
      <c r="D15" s="178"/>
      <c r="E15" s="158" t="s">
        <v>95</v>
      </c>
      <c r="F15" s="159"/>
      <c r="G15" s="158" t="s">
        <v>98</v>
      </c>
      <c r="H15" s="160"/>
      <c r="I15" s="159"/>
      <c r="J15" s="158" t="s">
        <v>97</v>
      </c>
      <c r="K15" s="159"/>
      <c r="L15" s="54" t="s">
        <v>96</v>
      </c>
      <c r="M15" s="54" t="s">
        <v>113</v>
      </c>
    </row>
    <row r="16" spans="1:13" ht="12.75" customHeight="1">
      <c r="A16" s="166" t="s">
        <v>99</v>
      </c>
      <c r="B16" s="167"/>
      <c r="C16" s="167"/>
      <c r="D16" s="168"/>
      <c r="E16" s="172">
        <f>E11+F11</f>
        <v>0.43729497354497354</v>
      </c>
      <c r="F16" s="173"/>
      <c r="G16" s="172">
        <f>G11+H11+I11</f>
        <v>0.037696649029982356</v>
      </c>
      <c r="H16" s="176"/>
      <c r="I16" s="173"/>
      <c r="J16" s="172">
        <f>J11+K11</f>
        <v>0.049561287477954144</v>
      </c>
      <c r="K16" s="173"/>
      <c r="L16" s="133">
        <f>L11</f>
        <v>0.0019268077601410933</v>
      </c>
      <c r="M16" s="133">
        <f>M11</f>
        <v>0.0002535273368606702</v>
      </c>
    </row>
    <row r="17" spans="1:13" ht="39" customHeight="1" thickBot="1">
      <c r="A17" s="169"/>
      <c r="B17" s="170"/>
      <c r="C17" s="170"/>
      <c r="D17" s="171"/>
      <c r="E17" s="174"/>
      <c r="F17" s="175"/>
      <c r="G17" s="174"/>
      <c r="H17" s="177"/>
      <c r="I17" s="175"/>
      <c r="J17" s="174"/>
      <c r="K17" s="175"/>
      <c r="L17" s="165"/>
      <c r="M17" s="165"/>
    </row>
    <row r="19" s="42" customFormat="1" ht="12.75">
      <c r="A19" s="42" t="s">
        <v>111</v>
      </c>
    </row>
    <row r="20" s="42" customFormat="1" ht="12.75">
      <c r="A20" s="42" t="s">
        <v>114</v>
      </c>
    </row>
    <row r="21" s="42" customFormat="1" ht="12.75">
      <c r="A21" s="42" t="s">
        <v>120</v>
      </c>
    </row>
    <row r="22" ht="12.75">
      <c r="A22" s="42"/>
    </row>
    <row r="23" s="42" customFormat="1" ht="12.75">
      <c r="A23" s="42" t="s">
        <v>116</v>
      </c>
    </row>
  </sheetData>
  <mergeCells count="35">
    <mergeCell ref="M16:M17"/>
    <mergeCell ref="M11:M12"/>
    <mergeCell ref="E8:M8"/>
    <mergeCell ref="A3:A4"/>
    <mergeCell ref="B3:C3"/>
    <mergeCell ref="D3:H3"/>
    <mergeCell ref="B8:D8"/>
    <mergeCell ref="I3:J3"/>
    <mergeCell ref="B9:B10"/>
    <mergeCell ref="C9:C10"/>
    <mergeCell ref="D9:D10"/>
    <mergeCell ref="E9:F9"/>
    <mergeCell ref="G9:I9"/>
    <mergeCell ref="J9:K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5:D15"/>
    <mergeCell ref="E15:F15"/>
    <mergeCell ref="G15:I15"/>
    <mergeCell ref="J15:K15"/>
    <mergeCell ref="L16:L17"/>
    <mergeCell ref="A16:D17"/>
    <mergeCell ref="E16:F17"/>
    <mergeCell ref="G16:I17"/>
    <mergeCell ref="J16:K17"/>
  </mergeCells>
  <printOptions/>
  <pageMargins left="0.5" right="0.5" top="0.75" bottom="0.75" header="0.5" footer="0.5"/>
  <pageSetup horizontalDpi="300" verticalDpi="300" orientation="landscape" scale="75" r:id="rId1"/>
  <headerFooter alignWithMargins="0">
    <oddFooter>&amp;LECS Tosco Ethanol Unloading Rack Calculations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I21" sqref="I21"/>
    </sheetView>
  </sheetViews>
  <sheetFormatPr defaultColWidth="9.33203125" defaultRowHeight="12.75"/>
  <cols>
    <col min="1" max="1" width="20.33203125" style="71" customWidth="1"/>
    <col min="2" max="2" width="5.66015625" style="71" customWidth="1"/>
    <col min="3" max="3" width="9.33203125" style="71" customWidth="1"/>
    <col min="4" max="13" width="10" style="71" customWidth="1"/>
    <col min="14" max="16384" width="10.66015625" style="71" customWidth="1"/>
  </cols>
  <sheetData>
    <row r="1" spans="1:13" ht="18">
      <c r="A1" s="125" t="s">
        <v>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3.5" thickBot="1"/>
    <row r="3" spans="1:13" ht="15.75" thickBot="1">
      <c r="A3" s="72" t="s">
        <v>83</v>
      </c>
      <c r="B3" s="73"/>
      <c r="C3" s="72" t="s">
        <v>84</v>
      </c>
      <c r="D3" s="74"/>
      <c r="E3" s="75" t="s">
        <v>107</v>
      </c>
      <c r="F3" s="75"/>
      <c r="G3" s="76"/>
      <c r="H3" s="77"/>
      <c r="I3" s="78"/>
      <c r="J3" s="75" t="s">
        <v>100</v>
      </c>
      <c r="K3" s="79"/>
      <c r="L3" s="79"/>
      <c r="M3" s="77"/>
    </row>
    <row r="4" spans="1:13" ht="13.5" thickBot="1">
      <c r="A4" s="80" t="s">
        <v>85</v>
      </c>
      <c r="B4" s="81" t="s">
        <v>86</v>
      </c>
      <c r="C4" s="82" t="s">
        <v>87</v>
      </c>
      <c r="D4" s="83" t="s">
        <v>55</v>
      </c>
      <c r="E4" s="84" t="s">
        <v>56</v>
      </c>
      <c r="F4" s="84" t="s">
        <v>57</v>
      </c>
      <c r="G4" s="84" t="s">
        <v>5</v>
      </c>
      <c r="H4" s="85" t="s">
        <v>58</v>
      </c>
      <c r="I4" s="83" t="s">
        <v>55</v>
      </c>
      <c r="J4" s="84" t="s">
        <v>56</v>
      </c>
      <c r="K4" s="84" t="s">
        <v>57</v>
      </c>
      <c r="L4" s="84" t="s">
        <v>5</v>
      </c>
      <c r="M4" s="86" t="s">
        <v>58</v>
      </c>
    </row>
    <row r="5" spans="1:13" ht="12.75">
      <c r="A5" s="87" t="s">
        <v>88</v>
      </c>
      <c r="B5" s="88">
        <v>1</v>
      </c>
      <c r="C5" s="89">
        <v>6</v>
      </c>
      <c r="D5" s="90">
        <f>0.015*79*0.465</f>
        <v>0.5510250000000001</v>
      </c>
      <c r="E5" s="91">
        <f>0.003*79*0.465</f>
        <v>0.11020500000000001</v>
      </c>
      <c r="F5" s="91">
        <f>0.022*79*0.465</f>
        <v>0.80817</v>
      </c>
      <c r="G5" s="91">
        <f>0.002*79*0.465</f>
        <v>0.07347000000000001</v>
      </c>
      <c r="H5" s="92">
        <f>0.001*79*0.465</f>
        <v>0.036735000000000004</v>
      </c>
      <c r="I5" s="90">
        <f>B5*C5*D5</f>
        <v>3.3061500000000006</v>
      </c>
      <c r="J5" s="91">
        <f>B5*C5*E5</f>
        <v>0.6612300000000001</v>
      </c>
      <c r="K5" s="91">
        <f>B5*C5*F5</f>
        <v>4.84902</v>
      </c>
      <c r="L5" s="91">
        <f>B5*C5*G5</f>
        <v>0.44082000000000005</v>
      </c>
      <c r="M5" s="93">
        <f>B5*C5*H5</f>
        <v>0.22041000000000002</v>
      </c>
    </row>
    <row r="6" spans="1:13" ht="12.75">
      <c r="A6" s="94" t="s">
        <v>89</v>
      </c>
      <c r="B6" s="95">
        <v>1</v>
      </c>
      <c r="C6" s="89">
        <v>6</v>
      </c>
      <c r="D6" s="96">
        <f>0.009*194*0.43</f>
        <v>0.7507799999999999</v>
      </c>
      <c r="E6" s="97">
        <f>0.003*194*0.43</f>
        <v>0.25026</v>
      </c>
      <c r="F6" s="97">
        <f>0.023*194*0.43</f>
        <v>1.9186599999999998</v>
      </c>
      <c r="G6" s="97">
        <f>0.002*194*0.43</f>
        <v>0.16684000000000002</v>
      </c>
      <c r="H6" s="98">
        <f>0.0015*194*0.43</f>
        <v>0.12513</v>
      </c>
      <c r="I6" s="99">
        <f>B6*C6*D6</f>
        <v>4.50468</v>
      </c>
      <c r="J6" s="100">
        <f>B6*C6*E6</f>
        <v>1.50156</v>
      </c>
      <c r="K6" s="100">
        <f>B6*C6*F6</f>
        <v>11.511959999999998</v>
      </c>
      <c r="L6" s="100">
        <f>B6*C6*G6</f>
        <v>1.0010400000000002</v>
      </c>
      <c r="M6" s="101">
        <f>B6*C6*H6</f>
        <v>0.75078</v>
      </c>
    </row>
    <row r="7" spans="1:13" ht="12.75">
      <c r="A7" s="94" t="s">
        <v>90</v>
      </c>
      <c r="B7" s="95">
        <v>2</v>
      </c>
      <c r="C7" s="89">
        <v>6</v>
      </c>
      <c r="D7" s="96">
        <f>0.011*35*0.45</f>
        <v>0.17325</v>
      </c>
      <c r="E7" s="97">
        <f>0.002*35*0.45</f>
        <v>0.03150000000000001</v>
      </c>
      <c r="F7" s="97">
        <f>0.018*35*0.45</f>
        <v>0.28350000000000003</v>
      </c>
      <c r="G7" s="97">
        <f>0.002*35*0.45</f>
        <v>0.03150000000000001</v>
      </c>
      <c r="H7" s="98">
        <f>0.001*35*0.45</f>
        <v>0.015750000000000004</v>
      </c>
      <c r="I7" s="99">
        <f>B7*C7*D7</f>
        <v>2.0789999999999997</v>
      </c>
      <c r="J7" s="100">
        <f>B7*C7*E7</f>
        <v>0.3780000000000001</v>
      </c>
      <c r="K7" s="100">
        <f>B7*C7*F7</f>
        <v>3.402</v>
      </c>
      <c r="L7" s="100">
        <f>B7*C7*G7</f>
        <v>0.3780000000000001</v>
      </c>
      <c r="M7" s="101">
        <f>B7*C7*H7</f>
        <v>0.18900000000000006</v>
      </c>
    </row>
    <row r="8" spans="1:13" ht="15">
      <c r="A8" s="94" t="s">
        <v>108</v>
      </c>
      <c r="B8" s="95">
        <v>2</v>
      </c>
      <c r="C8" s="102">
        <v>6</v>
      </c>
      <c r="D8" s="96"/>
      <c r="E8" s="97"/>
      <c r="F8" s="97"/>
      <c r="G8" s="97"/>
      <c r="H8" s="98"/>
      <c r="I8" s="96">
        <f>(10.423*30+25.863)/453.6*$B7</f>
        <v>1.492738095238095</v>
      </c>
      <c r="J8" s="97">
        <f>((0.843+0.262)*30+2.138+0.014+0.088+0.004)/453.6*$B7</f>
        <v>0.15605820105820103</v>
      </c>
      <c r="K8" s="97">
        <f>(14.377*30+1.884)/453.6*$B7</f>
        <v>1.910026455026455</v>
      </c>
      <c r="L8" s="97">
        <f>(0.142*30)/453.6*$B7</f>
        <v>0.01878306878306878</v>
      </c>
      <c r="M8" s="103">
        <f>(1.744*30)/453.6*$B7</f>
        <v>0.23068783068783066</v>
      </c>
    </row>
    <row r="9" spans="1:13" ht="12.75">
      <c r="A9" s="94"/>
      <c r="B9" s="95"/>
      <c r="C9" s="102"/>
      <c r="D9" s="96"/>
      <c r="E9" s="97"/>
      <c r="F9" s="97"/>
      <c r="G9" s="97"/>
      <c r="H9" s="98"/>
      <c r="I9" s="96"/>
      <c r="J9" s="97"/>
      <c r="K9" s="97"/>
      <c r="L9" s="97"/>
      <c r="M9" s="103"/>
    </row>
    <row r="10" spans="1:13" ht="13.5" thickBot="1">
      <c r="A10" s="104"/>
      <c r="B10" s="105"/>
      <c r="C10" s="106"/>
      <c r="D10" s="107"/>
      <c r="E10" s="108"/>
      <c r="F10" s="108"/>
      <c r="G10" s="108"/>
      <c r="H10" s="109"/>
      <c r="I10" s="110"/>
      <c r="J10" s="111"/>
      <c r="K10" s="111"/>
      <c r="L10" s="111"/>
      <c r="M10" s="112"/>
    </row>
    <row r="11" spans="1:13" ht="14.25" thickBot="1">
      <c r="A11" s="194" t="s">
        <v>101</v>
      </c>
      <c r="B11" s="195"/>
      <c r="C11" s="195"/>
      <c r="D11" s="195"/>
      <c r="E11" s="195"/>
      <c r="F11" s="195"/>
      <c r="G11" s="195"/>
      <c r="H11" s="196"/>
      <c r="I11" s="129">
        <f>SUM(I5:I10)</f>
        <v>11.382568095238096</v>
      </c>
      <c r="J11" s="113">
        <f>SUM(J5:J10)</f>
        <v>2.6968482010582013</v>
      </c>
      <c r="K11" s="113">
        <f>SUM(K5:K10)</f>
        <v>21.673006455026453</v>
      </c>
      <c r="L11" s="113">
        <f>SUM(L5:L10)</f>
        <v>1.838643068783069</v>
      </c>
      <c r="M11" s="130">
        <f>SUM(M5:M10)</f>
        <v>1.3908778306878307</v>
      </c>
    </row>
    <row r="13" ht="15">
      <c r="A13" s="124" t="s">
        <v>110</v>
      </c>
    </row>
    <row r="14" ht="12.75">
      <c r="A14" s="71" t="s">
        <v>115</v>
      </c>
    </row>
    <row r="15" ht="12.75">
      <c r="M15" s="114"/>
    </row>
    <row r="16" ht="15">
      <c r="A16" s="124" t="s">
        <v>117</v>
      </c>
    </row>
    <row r="17" ht="12.75">
      <c r="A17" s="71" t="s">
        <v>122</v>
      </c>
    </row>
  </sheetData>
  <mergeCells count="1">
    <mergeCell ref="A11:H11"/>
  </mergeCells>
  <printOptions/>
  <pageMargins left="0.5" right="0.5" top="0.75" bottom="0.75" header="0.5" footer="0.5"/>
  <pageSetup horizontalDpi="300" verticalDpi="300" orientation="landscape" scale="75" r:id="rId1"/>
  <headerFooter alignWithMargins="0">
    <oddFooter>&amp;LECS Tosco Ethanol Unloading Rack Calculations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</dc:creator>
  <cp:keywords/>
  <dc:description/>
  <cp:lastModifiedBy>MKrause</cp:lastModifiedBy>
  <cp:lastPrinted>2002-12-27T19:05:15Z</cp:lastPrinted>
  <dcterms:created xsi:type="dcterms:W3CDTF">2000-09-12T17:24:23Z</dcterms:created>
  <dcterms:modified xsi:type="dcterms:W3CDTF">2003-04-15T17:42:29Z</dcterms:modified>
  <cp:category/>
  <cp:version/>
  <cp:contentType/>
  <cp:contentStatus/>
</cp:coreProperties>
</file>