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16" tabRatio="859" activeTab="1"/>
  </bookViews>
  <sheets>
    <sheet name="Average Boiler Size" sheetId="1" r:id="rId1"/>
    <sheet name="CBE Total REDUX added" sheetId="2" r:id="rId2"/>
    <sheet name="Replace Boiler" sheetId="3" r:id="rId3"/>
    <sheet name="Optimize Boiler" sheetId="4" r:id="rId4"/>
    <sheet name="Feedwater Economizer" sheetId="5" r:id="rId5"/>
    <sheet name="Air Preheater" sheetId="6" r:id="rId6"/>
    <sheet name="Blowdown Practices" sheetId="7" r:id="rId7"/>
    <sheet name="Blowdown Heat Recovery" sheetId="8" r:id="rId8"/>
    <sheet name="Optimize Steam Quality" sheetId="9" r:id="rId9"/>
    <sheet name="Optimize Condensate Recovery" sheetId="10" r:id="rId10"/>
    <sheet name="Minimize Vented Steam" sheetId="11" r:id="rId11"/>
    <sheet name="Insulation Maintenance" sheetId="12" r:id="rId12"/>
    <sheet name="Steam Trap Maintenance" sheetId="13" r:id="rId13"/>
    <sheet name="Steam Leak Maintenance" sheetId="14" r:id="rId14"/>
  </sheets>
  <definedNames/>
  <calcPr fullCalcOnLoad="1"/>
</workbook>
</file>

<file path=xl/sharedStrings.xml><?xml version="1.0" encoding="utf-8"?>
<sst xmlns="http://schemas.openxmlformats.org/spreadsheetml/2006/main" count="1077" uniqueCount="212">
  <si>
    <t>Replace Low Efficiency Boilers (Category 1)</t>
  </si>
  <si>
    <t>Replace Medium Efficiency Boilers (Category 2)</t>
  </si>
  <si>
    <t>Price per Unit</t>
  </si>
  <si>
    <t>Total Numbers of Boilers</t>
  </si>
  <si>
    <t>Fuel to CHP for Steam
(MMBTU)</t>
  </si>
  <si>
    <t>Fuel to Process Heating
(MMBTU)</t>
  </si>
  <si>
    <r>
      <t>Total Capital Cost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</si>
  <si>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For Category 2, staff assumed a 50 percent greater cost than Category 1</t>
    </r>
  </si>
  <si>
    <r>
      <t>Price Per Unit</t>
    </r>
    <r>
      <rPr>
        <vertAlign val="superscript"/>
        <sz val="10"/>
        <rFont val="Arial"/>
        <family val="2"/>
      </rPr>
      <t>1</t>
    </r>
  </si>
  <si>
    <t>Total Number of Boilers</t>
  </si>
  <si>
    <t>Total Annual Capital Cost</t>
  </si>
  <si>
    <t xml:space="preserve">Total Annual Savings </t>
  </si>
  <si>
    <t>NAICS Code</t>
  </si>
  <si>
    <t>Manufacturing</t>
  </si>
  <si>
    <t>31-33</t>
  </si>
  <si>
    <t>Aluminum</t>
  </si>
  <si>
    <t>Cement</t>
  </si>
  <si>
    <t>Computers and Electronics</t>
  </si>
  <si>
    <t>334, 335</t>
  </si>
  <si>
    <t>Fabrication and Metals</t>
  </si>
  <si>
    <t>311, 312</t>
  </si>
  <si>
    <t>321, 322</t>
  </si>
  <si>
    <t>Foundries</t>
  </si>
  <si>
    <t>Glass</t>
  </si>
  <si>
    <t>3272, 327993</t>
  </si>
  <si>
    <t>Machinery</t>
  </si>
  <si>
    <t>3311, 3312</t>
  </si>
  <si>
    <t>Textiles</t>
  </si>
  <si>
    <t>313, 316</t>
  </si>
  <si>
    <t>Transportation Equipment</t>
  </si>
  <si>
    <t>Iron and Steel</t>
  </si>
  <si>
    <t>Food and Beverage</t>
  </si>
  <si>
    <t>Hours per Year</t>
  </si>
  <si>
    <t>Hours in Year</t>
  </si>
  <si>
    <t>Years</t>
  </si>
  <si>
    <t>Interest Rate</t>
  </si>
  <si>
    <t>Unit Cost for Size</t>
  </si>
  <si>
    <t>References</t>
  </si>
  <si>
    <t>Sub-Sector</t>
  </si>
  <si>
    <t>Number of Total Boilers</t>
  </si>
  <si>
    <t>Petroleum</t>
  </si>
  <si>
    <t>Food</t>
  </si>
  <si>
    <t>82-83</t>
  </si>
  <si>
    <t>Wood Products</t>
  </si>
  <si>
    <t>Chemicals</t>
  </si>
  <si>
    <t>80-83</t>
  </si>
  <si>
    <t>Oil and Gas</t>
  </si>
  <si>
    <t>77-82</t>
  </si>
  <si>
    <t>Number of Units</t>
  </si>
  <si>
    <t>Price Per Unit</t>
  </si>
  <si>
    <t>Total</t>
  </si>
  <si>
    <t>Annuity Factor</t>
  </si>
  <si>
    <t>Reduce Excess Air of Boilers (Category 1)</t>
  </si>
  <si>
    <t>Reduce Excess Air of Boilers (Category 2)</t>
  </si>
  <si>
    <t>Retrofit Boilers with Feedwater Economizer (Category 1)</t>
  </si>
  <si>
    <t>Retrofit Boilers with Feedwater Economizer (Category 2)</t>
  </si>
  <si>
    <t>Retrofit Boilers with Air Preheaters (Category 1)</t>
  </si>
  <si>
    <t>Retrofit Boilers with Air Preheaters (Category 2)</t>
  </si>
  <si>
    <t>Blowdown Reduction With Controls (Category 1)</t>
  </si>
  <si>
    <t>Blowdown Reduction with Feedwater Cleanup (Category 2)</t>
  </si>
  <si>
    <t>Blowdown Heat Recovery (Category 1)</t>
  </si>
  <si>
    <t>Blowdown Heat Recovery (Category 2)</t>
  </si>
  <si>
    <t>Optimize Steam Quality (Category 1)</t>
  </si>
  <si>
    <t>Optimize Steam Quality (Category 2)</t>
  </si>
  <si>
    <t>Optimize Condensate Recovery (Category 1)</t>
  </si>
  <si>
    <t>Optimize Condensate Recovery (Category 2)</t>
  </si>
  <si>
    <t>Steam Leak Maintenance (Category 1)</t>
  </si>
  <si>
    <t>Steam Leak Maintenance (Category 2)</t>
  </si>
  <si>
    <t>Steam Trap Maintenance (Category 1)</t>
  </si>
  <si>
    <t>Steam Trap Maintenance (Category 2)</t>
  </si>
  <si>
    <t>Insulation Maintenance (Category 1)</t>
  </si>
  <si>
    <t>Insulation Maintenance (Category 2)</t>
  </si>
  <si>
    <t>Minimize Vented Steam (Category 1)</t>
  </si>
  <si>
    <t>Minimize Vented Steam (Category 2)</t>
  </si>
  <si>
    <t>Total Capital Cost</t>
  </si>
  <si>
    <t>&gt;60</t>
  </si>
  <si>
    <t>10-100</t>
  </si>
  <si>
    <t>&gt;50</t>
  </si>
  <si>
    <t>50-100</t>
  </si>
  <si>
    <t>Assumptions</t>
  </si>
  <si>
    <t>Calculations</t>
  </si>
  <si>
    <t>Boiler Size Category 
(MMBTU/hr)</t>
  </si>
  <si>
    <t>Unit Size 
(MMTBTU/hr)</t>
  </si>
  <si>
    <t>Efficiency 
(percent)</t>
  </si>
  <si>
    <t>Capacity Factor 
(staff estimate) 
(percent)</t>
  </si>
  <si>
    <t>Fuel Use Per Unit 
(MMBTU)</t>
  </si>
  <si>
    <r>
      <t>2008 Emissions 
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e)</t>
    </r>
  </si>
  <si>
    <t>Amount of Natural Gas to Produce Steam 
(MMBTU)</t>
  </si>
  <si>
    <r>
      <t>Carbon Intensity of Natural Gas 
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e/MMBTU)</t>
    </r>
  </si>
  <si>
    <t>Total Fuel 
(MMBTU)</t>
  </si>
  <si>
    <t>Fuel to Boilers  for Steam 
(MMBTU)</t>
  </si>
  <si>
    <t>Fuel Used for Steam 
(percent)</t>
  </si>
  <si>
    <t>Fuel Used for Process Heating 
(percent)</t>
  </si>
  <si>
    <t>Unit Size 
(MMBTU/hr)</t>
  </si>
  <si>
    <t>Efficiency
(percent)</t>
  </si>
  <si>
    <t>Fuel Use Per Unit 
(MMBTU/unit)</t>
  </si>
  <si>
    <t>Feasibility 
(percent)</t>
  </si>
  <si>
    <t>Efficiency of Old Unit 
(percent)</t>
  </si>
  <si>
    <t>Efficiency of New Unit 
(percent)</t>
  </si>
  <si>
    <t>Efficiency Increase From Low Efficiency Unit 
(percent)</t>
  </si>
  <si>
    <t>Total Fuel Reduction 
(MMBTU)</t>
  </si>
  <si>
    <r>
      <t>GHG Reduction 
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e)</t>
    </r>
  </si>
  <si>
    <t>Efficiency of Old Unit  
(percent)</t>
  </si>
  <si>
    <t>Efficiency Increase From Med Efficiency Unit 
(percent)</t>
  </si>
  <si>
    <r>
      <t>Carbon Intensity Natural Gas 
(MTCO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e/MMBTU)</t>
    </r>
  </si>
  <si>
    <r>
      <t>Abatement Cost 
($/MTCO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e)</t>
    </r>
  </si>
  <si>
    <t>Capacity Factor (staff estimate) (percent)</t>
  </si>
  <si>
    <t>Fuel Use per Unit 
(MMBTU)</t>
  </si>
  <si>
    <t xml:space="preserve"> Efficiency Increase 
(percent)</t>
  </si>
  <si>
    <t>Efficiency Increase 
(percent)</t>
  </si>
  <si>
    <r>
      <t>Carbon Emissions of Natural Gas 
(MMTCO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e/MMBTU)</t>
    </r>
  </si>
  <si>
    <t>Boiler Size Range 
(MMBTU/hr)</t>
  </si>
  <si>
    <t>Boiler Size 
(MMBTU/hr)</t>
  </si>
  <si>
    <t xml:space="preserve">Feasibility 
(percent) </t>
  </si>
  <si>
    <t>Amount of Natural Gas to Produce Steam
(MMBTU)</t>
  </si>
  <si>
    <t xml:space="preserve">Einstein et al. (2001): Steam Systems in Industry: Energy Use and Energy Efficiency Improvement Potentials. Lawrence Berkeley National Laboratory. </t>
  </si>
  <si>
    <t>2020 Price of Fuel 
($/MMBTU)</t>
  </si>
  <si>
    <t>Percent of Fuel Use By Steam</t>
  </si>
  <si>
    <t>Feasibility
(percent)</t>
  </si>
  <si>
    <t xml:space="preserve">Price Per Unit </t>
  </si>
  <si>
    <t xml:space="preserve">Percent of Fuel Use By Steam </t>
  </si>
  <si>
    <t>Einstein et al., 2001</t>
  </si>
  <si>
    <t>U.S. Department of Energy (DOE) (2002): Steam System Opportunity Assessment for the Pulp and Paper, Chemical Manufacturing, and Petroleum Refining Industry.</t>
  </si>
  <si>
    <t>U.S. Department of Energy (DOE) (2010): IAC Case Study Database. http://iac.rutgers.edu/database/</t>
  </si>
  <si>
    <t>California Air Resources Board (ARB) (2009): Oil and Natural Gas Production, Processing, and Storage.</t>
  </si>
  <si>
    <t>DOE 2010</t>
  </si>
  <si>
    <t>DOE 2002</t>
  </si>
  <si>
    <t>ARB 2009</t>
  </si>
  <si>
    <t>Further references for this spreadsheet (i.e., beyond what is listed below) can be found in the Cap-and-Trade Regulation Staff Report References and/or Appendix F.</t>
  </si>
  <si>
    <t>Proposed Regulation to Implement the California Cap-and-Trade Program: Supplemental Materials for the Compliance Pathways Analysis (Staff Report Chapter V and Appendix F)</t>
  </si>
  <si>
    <t>Available for download at http://www.arb.ca.gov/regact/2010/capandtrade10/capandtrade10.htm</t>
  </si>
  <si>
    <t>Convert to lb/btu assuming natural gas about 1020 btu/scf</t>
  </si>
  <si>
    <t>AP42:</t>
  </si>
  <si>
    <t>Large Wall-Fired Boilers (&gt;100)</t>
  </si>
  <si>
    <t>Nox, (lb/ million scf)</t>
  </si>
  <si>
    <t>CO, (lb/ million scf)</t>
  </si>
  <si>
    <t>CO2 lbs/million scf</t>
  </si>
  <si>
    <t>Nox, (lb/ MMBTU)</t>
  </si>
  <si>
    <t>CO, (lb/ MMBTU</t>
  </si>
  <si>
    <t>TCO2 /MMBTU</t>
  </si>
  <si>
    <t>1.4 Natural Gas Combustion</t>
  </si>
  <si>
    <t>Uncontrolled (Pre-NSPS)c</t>
  </si>
  <si>
    <t>Uncontrolled (Post-NSPS)c</t>
  </si>
  <si>
    <t>Controlled - Low NOx burners</t>
  </si>
  <si>
    <t>Controlled - Flue gas recirculation</t>
  </si>
  <si>
    <t>Natural gas:</t>
  </si>
  <si>
    <t>(lbs/MM scf) /(1020 MM btu/MM scf)  = lbs/MMBTU</t>
  </si>
  <si>
    <t>JM ADDED:</t>
  </si>
  <si>
    <t>For comparison SCAQMD refinery inventory:</t>
  </si>
  <si>
    <t>Sub Sector</t>
  </si>
  <si>
    <t>`</t>
  </si>
  <si>
    <t>1. REPLACE BOILERS</t>
  </si>
  <si>
    <t>2. OPTIMIZE BOILERS</t>
  </si>
  <si>
    <t>3. FEEDWATER ECONOMIZR</t>
  </si>
  <si>
    <t>4. AIR PREHEATER</t>
  </si>
  <si>
    <t>5. BLOWDOWN PRCTCS</t>
  </si>
  <si>
    <t>6. BLOWDOWN HEAT RECOV</t>
  </si>
  <si>
    <t>7. OPTIMIZE STEAM QUAL.</t>
  </si>
  <si>
    <t>8. OPTIMIZE CONDENS RECOV</t>
  </si>
  <si>
    <t>9. MINIMIZE VENTED STEAM</t>
  </si>
  <si>
    <t>TOTAL 4-6</t>
  </si>
  <si>
    <t>TOTAL 1-3</t>
  </si>
  <si>
    <t>TOTAL 7-9</t>
  </si>
  <si>
    <t>TOTAL 10-12</t>
  </si>
  <si>
    <t>10 INSULATION MAINT.</t>
  </si>
  <si>
    <t>GRAND TOTAL</t>
  </si>
  <si>
    <t>11 STEAM TRAP MAINT.</t>
  </si>
  <si>
    <t>AP42 - 1.4 Natural Gas Combustion Emission Factors:</t>
  </si>
  <si>
    <t>To calculate NOx &amp; CO CoPollutants, using AP42 Emission Factors:</t>
  </si>
  <si>
    <t>Converting AP42  to lb/MMBTU assuming natural gas,</t>
  </si>
  <si>
    <t>at 1020 MMbtu/MMscf:</t>
  </si>
  <si>
    <t>AP42 Factors:</t>
  </si>
  <si>
    <t>Natural gas - (lbs/MM scf) /(1020 MM btu/MM scf)  = lbs/MMBTU</t>
  </si>
  <si>
    <t>Total from Petroleum, Chemicals, Oil &amp; Gas (Excluding Food &amp; Wood Products)</t>
  </si>
  <si>
    <t>Million BTUs</t>
  </si>
  <si>
    <t>** using uncontrolled post NSPS emisssion factor</t>
  </si>
  <si>
    <t>*  using uncontrolled pre NSPS emission factor</t>
  </si>
  <si>
    <t>NOX CO-POLLUTANT REDUCTIONS USING AP42 EMISSION FACTORS</t>
  </si>
  <si>
    <t>Tons per day</t>
  </si>
  <si>
    <t>12 STEAM LEAK MAINT.</t>
  </si>
  <si>
    <t>(Annual)</t>
  </si>
  <si>
    <t>Retrofit Boilers with Air Preheaters (Cat. 2) *</t>
  </si>
  <si>
    <t>Blowdown Reduction With Controls (Cat. 1) *</t>
  </si>
  <si>
    <t>Reduce Excess Air of Boilers (Cat. 1) *</t>
  </si>
  <si>
    <t>Retrofit Boilers with Feedwater Economizer (Cat. 1) *</t>
  </si>
  <si>
    <t>Retrofit Boilers with Feedwater Economizer (Cat. 2) **</t>
  </si>
  <si>
    <t>Replace Low Efficiency Boilers       (Cat. 1) *</t>
  </si>
  <si>
    <t>Replace Medium Efficiency Boilers        (Cat. 2) **</t>
  </si>
  <si>
    <t>Reduce Excess Air of Boilers        (Cat. 2) **</t>
  </si>
  <si>
    <t>Retrofit Boilers with Air Pre-heaters       (Cat. 1) *</t>
  </si>
  <si>
    <t>Blowdown Reduction w/Feedwater Cleanup        (Cat. 2) **</t>
  </si>
  <si>
    <t>Blowdown Heat Recovery (Cat. 1) *</t>
  </si>
  <si>
    <t>Blowdown Heat Recovery       (Cat. 2) **</t>
  </si>
  <si>
    <t>Optimize Steam Quality       (Cat. 1)*</t>
  </si>
  <si>
    <t>Optimize Steam Quality (Cat. 2)**</t>
  </si>
  <si>
    <t>Optimize Condensate Recovery (Cat. 1)*</t>
  </si>
  <si>
    <t>Optimize Condensate Recovery (Cat. 2)**</t>
  </si>
  <si>
    <t>Minimize Vented Steam    (Cat. 1)*</t>
  </si>
  <si>
    <t>Minimize Vented Steam (Cat. 2)**</t>
  </si>
  <si>
    <t>Insulation Maint.       (Cat. 1)*</t>
  </si>
  <si>
    <t>Insulation Maint.        (Cat. 2)**</t>
  </si>
  <si>
    <t>Steam Trap Maint.      (Cat. 1)*</t>
  </si>
  <si>
    <t>Steam Trap Maint.        (Cat. 2)**</t>
  </si>
  <si>
    <t>Steam Leak Maint.     (Cat. 1)*</t>
  </si>
  <si>
    <t>Steam Leak Maint.         (Cat. 2)**</t>
  </si>
  <si>
    <t>8. OPTIMIZE COND RECOV</t>
  </si>
  <si>
    <t>9. MINIMIZE VENTD STEAM</t>
  </si>
  <si>
    <t>CO CO-POLLUTANT REDUCTIONS USING AP42 EMISSION FACTORS</t>
  </si>
  <si>
    <t>CBE Summary of CARB data Industrial Boiler Fuel Reduction (MMBTU) Statewide 2008 data</t>
  </si>
  <si>
    <t>tons/day</t>
  </si>
  <si>
    <t>Estimations assume Category 1 similar to Pre-NSPS Emission Factors</t>
  </si>
  <si>
    <t>and Category 2 similar to Category 2 Post-NSPS Emission Factors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</si>
</sst>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#,##0.000"/>
    <numFmt numFmtId="175" formatCode="&quot;$&quot;#,##0"/>
    <numFmt numFmtId="176" formatCode="&quot;$&quot;#,##0.0"/>
    <numFmt numFmtId="177" formatCode="&quot;$&quot;#,##0.00"/>
    <numFmt numFmtId="178" formatCode="0.0%"/>
    <numFmt numFmtId="179" formatCode="0.0000000"/>
    <numFmt numFmtId="180" formatCode="0.000000"/>
    <numFmt numFmtId="181" formatCode="&quot;$&quot;#,##0.000000"/>
    <numFmt numFmtId="182" formatCode="_(* #,##0.000_);_(* \(#,##0.000\);_(* &quot;-&quot;??_);_(@_)"/>
    <numFmt numFmtId="183" formatCode="_(* #,##0.0_);_(* \(#,##0.0\);_(* &quot;-&quot;??_);_(@_)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0.00000000"/>
    <numFmt numFmtId="187" formatCode="0.000000000"/>
    <numFmt numFmtId="188" formatCode="_(* #,##0.0_);_(* \(#,##0.0\);_(* &quot;-&quot;?_);_(@_)"/>
    <numFmt numFmtId="189" formatCode="_(* #,##0.000_);_(* \(#,##0.000\);_(* &quot;-&quot;???_);_(@_)"/>
    <numFmt numFmtId="190" formatCode="_(* #,##0.0000_);_(* \(#,##0.00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9" fontId="0" fillId="0" borderId="10" xfId="59" applyFont="1" applyBorder="1" applyAlignment="1">
      <alignment/>
    </xf>
    <xf numFmtId="44" fontId="0" fillId="0" borderId="0" xfId="44" applyFont="1" applyAlignment="1">
      <alignment/>
    </xf>
    <xf numFmtId="9" fontId="0" fillId="0" borderId="0" xfId="59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168" fontId="0" fillId="0" borderId="10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9" fontId="0" fillId="0" borderId="10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0" borderId="23" xfId="0" applyNumberFormat="1" applyBorder="1" applyAlignment="1">
      <alignment/>
    </xf>
    <xf numFmtId="0" fontId="0" fillId="0" borderId="0" xfId="0" applyAlignment="1">
      <alignment wrapText="1"/>
    </xf>
    <xf numFmtId="0" fontId="0" fillId="0" borderId="17" xfId="0" applyFont="1" applyBorder="1" applyAlignment="1">
      <alignment wrapText="1"/>
    </xf>
    <xf numFmtId="168" fontId="0" fillId="0" borderId="12" xfId="42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9" fontId="0" fillId="0" borderId="14" xfId="59" applyFont="1" applyBorder="1" applyAlignment="1">
      <alignment/>
    </xf>
    <xf numFmtId="9" fontId="0" fillId="0" borderId="12" xfId="59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3" xfId="0" applyNumberFormat="1" applyBorder="1" applyAlignment="1">
      <alignment/>
    </xf>
    <xf numFmtId="9" fontId="0" fillId="0" borderId="22" xfId="0" applyNumberFormat="1" applyBorder="1" applyAlignment="1">
      <alignment/>
    </xf>
    <xf numFmtId="1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9" fontId="0" fillId="0" borderId="27" xfId="0" applyNumberFormat="1" applyBorder="1" applyAlignment="1">
      <alignment/>
    </xf>
    <xf numFmtId="9" fontId="0" fillId="0" borderId="26" xfId="59" applyFont="1" applyBorder="1" applyAlignment="1">
      <alignment/>
    </xf>
    <xf numFmtId="9" fontId="0" fillId="0" borderId="24" xfId="59" applyFont="1" applyBorder="1" applyAlignment="1">
      <alignment/>
    </xf>
    <xf numFmtId="9" fontId="0" fillId="0" borderId="28" xfId="59" applyFont="1" applyBorder="1" applyAlignment="1">
      <alignment/>
    </xf>
    <xf numFmtId="1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9" fontId="0" fillId="0" borderId="15" xfId="59" applyFont="1" applyBorder="1" applyAlignment="1">
      <alignment/>
    </xf>
    <xf numFmtId="9" fontId="0" fillId="0" borderId="25" xfId="59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33" xfId="0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34" xfId="0" applyBorder="1" applyAlignment="1">
      <alignment horizontal="right"/>
    </xf>
    <xf numFmtId="1" fontId="0" fillId="0" borderId="24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2" fontId="0" fillId="0" borderId="24" xfId="0" applyNumberFormat="1" applyBorder="1" applyAlignment="1">
      <alignment/>
    </xf>
    <xf numFmtId="168" fontId="0" fillId="0" borderId="24" xfId="42" applyNumberFormat="1" applyFont="1" applyBorder="1" applyAlignment="1">
      <alignment/>
    </xf>
    <xf numFmtId="0" fontId="0" fillId="0" borderId="35" xfId="0" applyFont="1" applyBorder="1" applyAlignment="1">
      <alignment wrapText="1"/>
    </xf>
    <xf numFmtId="9" fontId="0" fillId="0" borderId="30" xfId="0" applyNumberFormat="1" applyBorder="1" applyAlignment="1">
      <alignment/>
    </xf>
    <xf numFmtId="168" fontId="0" fillId="0" borderId="15" xfId="42" applyNumberFormat="1" applyFont="1" applyBorder="1" applyAlignment="1">
      <alignment/>
    </xf>
    <xf numFmtId="0" fontId="0" fillId="33" borderId="36" xfId="0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0" fillId="33" borderId="40" xfId="0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0" fillId="33" borderId="41" xfId="0" applyFill="1" applyBorder="1" applyAlignment="1">
      <alignment horizontal="center" wrapText="1"/>
    </xf>
    <xf numFmtId="0" fontId="0" fillId="33" borderId="42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0" fillId="0" borderId="35" xfId="0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 wrapText="1"/>
    </xf>
    <xf numFmtId="168" fontId="0" fillId="0" borderId="25" xfId="42" applyNumberFormat="1" applyFont="1" applyBorder="1" applyAlignment="1">
      <alignment/>
    </xf>
    <xf numFmtId="168" fontId="0" fillId="0" borderId="46" xfId="42" applyNumberFormat="1" applyFont="1" applyBorder="1" applyAlignment="1">
      <alignment/>
    </xf>
    <xf numFmtId="168" fontId="0" fillId="0" borderId="34" xfId="42" applyNumberFormat="1" applyFont="1" applyBorder="1" applyAlignment="1">
      <alignment/>
    </xf>
    <xf numFmtId="168" fontId="0" fillId="0" borderId="32" xfId="42" applyNumberFormat="1" applyFont="1" applyBorder="1" applyAlignment="1">
      <alignment/>
    </xf>
    <xf numFmtId="0" fontId="0" fillId="0" borderId="45" xfId="0" applyFont="1" applyFill="1" applyBorder="1" applyAlignment="1">
      <alignment wrapText="1"/>
    </xf>
    <xf numFmtId="0" fontId="0" fillId="33" borderId="3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26" xfId="0" applyBorder="1" applyAlignment="1">
      <alignment horizontal="right"/>
    </xf>
    <xf numFmtId="9" fontId="0" fillId="0" borderId="24" xfId="0" applyNumberFormat="1" applyBorder="1" applyAlignment="1">
      <alignment/>
    </xf>
    <xf numFmtId="0" fontId="0" fillId="33" borderId="47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8" xfId="0" applyFill="1" applyBorder="1" applyAlignment="1">
      <alignment/>
    </xf>
    <xf numFmtId="0" fontId="0" fillId="33" borderId="49" xfId="0" applyFill="1" applyBorder="1" applyAlignment="1">
      <alignment horizontal="center" wrapText="1"/>
    </xf>
    <xf numFmtId="0" fontId="0" fillId="33" borderId="46" xfId="0" applyFill="1" applyBorder="1" applyAlignment="1">
      <alignment horizontal="center" wrapText="1"/>
    </xf>
    <xf numFmtId="0" fontId="0" fillId="33" borderId="50" xfId="0" applyFill="1" applyBorder="1" applyAlignment="1">
      <alignment horizontal="center" wrapText="1"/>
    </xf>
    <xf numFmtId="9" fontId="0" fillId="0" borderId="51" xfId="59" applyFont="1" applyBorder="1" applyAlignment="1">
      <alignment/>
    </xf>
    <xf numFmtId="1" fontId="0" fillId="0" borderId="51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1" fontId="0" fillId="33" borderId="36" xfId="0" applyNumberFormat="1" applyFill="1" applyBorder="1" applyAlignment="1">
      <alignment horizontal="center" wrapText="1"/>
    </xf>
    <xf numFmtId="1" fontId="0" fillId="33" borderId="37" xfId="0" applyNumberFormat="1" applyFill="1" applyBorder="1" applyAlignment="1">
      <alignment horizontal="center" wrapText="1"/>
    </xf>
    <xf numFmtId="2" fontId="0" fillId="0" borderId="49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50" xfId="0" applyBorder="1" applyAlignment="1">
      <alignment/>
    </xf>
    <xf numFmtId="9" fontId="0" fillId="0" borderId="40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0" fillId="33" borderId="46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33" borderId="36" xfId="0" applyFill="1" applyBorder="1" applyAlignment="1">
      <alignment wrapText="1"/>
    </xf>
    <xf numFmtId="9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9" fontId="0" fillId="0" borderId="10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5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0" borderId="35" xfId="0" applyBorder="1" applyAlignment="1">
      <alignment wrapText="1"/>
    </xf>
    <xf numFmtId="178" fontId="0" fillId="0" borderId="26" xfId="59" applyNumberFormat="1" applyFont="1" applyBorder="1" applyAlignment="1">
      <alignment wrapText="1"/>
    </xf>
    <xf numFmtId="178" fontId="0" fillId="0" borderId="24" xfId="0" applyNumberFormat="1" applyBorder="1" applyAlignment="1">
      <alignment wrapText="1"/>
    </xf>
    <xf numFmtId="0" fontId="0" fillId="0" borderId="17" xfId="0" applyBorder="1" applyAlignment="1">
      <alignment wrapText="1"/>
    </xf>
    <xf numFmtId="178" fontId="0" fillId="0" borderId="14" xfId="59" applyNumberFormat="1" applyFont="1" applyBorder="1" applyAlignment="1">
      <alignment wrapText="1"/>
    </xf>
    <xf numFmtId="178" fontId="0" fillId="0" borderId="10" xfId="0" applyNumberFormat="1" applyBorder="1" applyAlignment="1">
      <alignment wrapText="1"/>
    </xf>
    <xf numFmtId="0" fontId="0" fillId="0" borderId="52" xfId="0" applyBorder="1" applyAlignment="1">
      <alignment wrapText="1"/>
    </xf>
    <xf numFmtId="178" fontId="0" fillId="0" borderId="53" xfId="59" applyNumberFormat="1" applyFont="1" applyBorder="1" applyAlignment="1">
      <alignment wrapText="1"/>
    </xf>
    <xf numFmtId="178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 wrapText="1"/>
    </xf>
    <xf numFmtId="3" fontId="0" fillId="0" borderId="29" xfId="0" applyNumberFormat="1" applyBorder="1" applyAlignment="1">
      <alignment wrapText="1"/>
    </xf>
    <xf numFmtId="0" fontId="0" fillId="0" borderId="47" xfId="0" applyFill="1" applyBorder="1" applyAlignment="1">
      <alignment wrapText="1"/>
    </xf>
    <xf numFmtId="3" fontId="0" fillId="0" borderId="37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3" fontId="0" fillId="0" borderId="0" xfId="0" applyNumberFormat="1" applyAlignment="1">
      <alignment wrapText="1"/>
    </xf>
    <xf numFmtId="2" fontId="0" fillId="0" borderId="49" xfId="0" applyNumberFormat="1" applyBorder="1" applyAlignment="1">
      <alignment wrapText="1"/>
    </xf>
    <xf numFmtId="1" fontId="0" fillId="0" borderId="46" xfId="0" applyNumberForma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50" xfId="0" applyBorder="1" applyAlignment="1">
      <alignment wrapText="1"/>
    </xf>
    <xf numFmtId="9" fontId="0" fillId="0" borderId="0" xfId="59" applyFont="1" applyAlignment="1">
      <alignment wrapText="1"/>
    </xf>
    <xf numFmtId="1" fontId="0" fillId="0" borderId="0" xfId="0" applyNumberFormat="1" applyAlignment="1">
      <alignment wrapText="1"/>
    </xf>
    <xf numFmtId="180" fontId="0" fillId="0" borderId="0" xfId="0" applyNumberFormat="1" applyAlignment="1">
      <alignment wrapText="1"/>
    </xf>
    <xf numFmtId="44" fontId="0" fillId="0" borderId="0" xfId="44" applyFont="1" applyAlignment="1">
      <alignment wrapText="1"/>
    </xf>
    <xf numFmtId="3" fontId="0" fillId="0" borderId="0" xfId="0" applyNumberFormat="1" applyBorder="1" applyAlignment="1">
      <alignment wrapText="1"/>
    </xf>
    <xf numFmtId="9" fontId="0" fillId="0" borderId="0" xfId="0" applyNumberFormat="1" applyAlignment="1">
      <alignment wrapText="1"/>
    </xf>
    <xf numFmtId="175" fontId="0" fillId="0" borderId="0" xfId="0" applyNumberFormat="1" applyBorder="1" applyAlignment="1">
      <alignment wrapText="1"/>
    </xf>
    <xf numFmtId="177" fontId="0" fillId="0" borderId="0" xfId="0" applyNumberFormat="1" applyAlignment="1">
      <alignment wrapText="1"/>
    </xf>
    <xf numFmtId="0" fontId="0" fillId="0" borderId="0" xfId="0" applyFont="1" applyBorder="1" applyAlignment="1">
      <alignment wrapText="1"/>
    </xf>
    <xf numFmtId="17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54" xfId="0" applyBorder="1" applyAlignment="1">
      <alignment wrapText="1"/>
    </xf>
    <xf numFmtId="9" fontId="0" fillId="0" borderId="18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5" xfId="0" applyNumberFormat="1" applyBorder="1" applyAlignment="1">
      <alignment wrapText="1"/>
    </xf>
    <xf numFmtId="1" fontId="0" fillId="0" borderId="14" xfId="0" applyNumberFormat="1" applyBorder="1" applyAlignment="1">
      <alignment wrapText="1"/>
    </xf>
    <xf numFmtId="0" fontId="0" fillId="0" borderId="45" xfId="0" applyBorder="1" applyAlignment="1">
      <alignment wrapText="1"/>
    </xf>
    <xf numFmtId="9" fontId="0" fillId="0" borderId="22" xfId="0" applyNumberFormat="1" applyBorder="1" applyAlignment="1">
      <alignment wrapText="1"/>
    </xf>
    <xf numFmtId="1" fontId="0" fillId="0" borderId="12" xfId="0" applyNumberFormat="1" applyBorder="1" applyAlignment="1">
      <alignment wrapText="1"/>
    </xf>
    <xf numFmtId="0" fontId="0" fillId="0" borderId="12" xfId="0" applyBorder="1" applyAlignment="1">
      <alignment wrapText="1"/>
    </xf>
    <xf numFmtId="2" fontId="0" fillId="0" borderId="13" xfId="0" applyNumberFormat="1" applyBorder="1" applyAlignment="1">
      <alignment wrapText="1"/>
    </xf>
    <xf numFmtId="1" fontId="0" fillId="0" borderId="11" xfId="0" applyNumberFormat="1" applyBorder="1" applyAlignment="1">
      <alignment wrapText="1"/>
    </xf>
    <xf numFmtId="0" fontId="0" fillId="0" borderId="16" xfId="0" applyBorder="1" applyAlignment="1">
      <alignment wrapText="1"/>
    </xf>
    <xf numFmtId="9" fontId="0" fillId="0" borderId="51" xfId="59" applyFont="1" applyBorder="1" applyAlignment="1">
      <alignment wrapText="1"/>
    </xf>
    <xf numFmtId="1" fontId="0" fillId="0" borderId="51" xfId="0" applyNumberFormat="1" applyBorder="1" applyAlignment="1">
      <alignment wrapText="1"/>
    </xf>
    <xf numFmtId="3" fontId="0" fillId="0" borderId="51" xfId="0" applyNumberFormat="1" applyBorder="1" applyAlignment="1">
      <alignment wrapText="1"/>
    </xf>
    <xf numFmtId="3" fontId="0" fillId="0" borderId="44" xfId="0" applyNumberFormat="1" applyBorder="1" applyAlignment="1">
      <alignment wrapText="1"/>
    </xf>
    <xf numFmtId="9" fontId="0" fillId="0" borderId="40" xfId="0" applyNumberFormat="1" applyBorder="1" applyAlignment="1">
      <alignment wrapText="1"/>
    </xf>
    <xf numFmtId="0" fontId="0" fillId="0" borderId="18" xfId="0" applyBorder="1" applyAlignment="1">
      <alignment wrapText="1"/>
    </xf>
    <xf numFmtId="9" fontId="0" fillId="0" borderId="10" xfId="59" applyFont="1" applyBorder="1" applyAlignment="1">
      <alignment wrapText="1"/>
    </xf>
    <xf numFmtId="9" fontId="0" fillId="0" borderId="14" xfId="0" applyNumberFormat="1" applyBorder="1" applyAlignment="1">
      <alignment wrapText="1"/>
    </xf>
    <xf numFmtId="0" fontId="0" fillId="0" borderId="22" xfId="0" applyBorder="1" applyAlignment="1">
      <alignment wrapText="1"/>
    </xf>
    <xf numFmtId="9" fontId="0" fillId="0" borderId="12" xfId="59" applyFont="1" applyBorder="1" applyAlignment="1">
      <alignment wrapText="1"/>
    </xf>
    <xf numFmtId="9" fontId="0" fillId="0" borderId="11" xfId="0" applyNumberFormat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37" xfId="0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1" xfId="0" applyBorder="1" applyAlignment="1">
      <alignment wrapText="1"/>
    </xf>
    <xf numFmtId="0" fontId="0" fillId="33" borderId="41" xfId="0" applyFill="1" applyBorder="1" applyAlignment="1">
      <alignment wrapText="1"/>
    </xf>
    <xf numFmtId="3" fontId="0" fillId="0" borderId="55" xfId="0" applyNumberFormat="1" applyBorder="1" applyAlignment="1">
      <alignment wrapText="1"/>
    </xf>
    <xf numFmtId="3" fontId="0" fillId="0" borderId="56" xfId="0" applyNumberFormat="1" applyBorder="1" applyAlignment="1">
      <alignment wrapText="1"/>
    </xf>
    <xf numFmtId="3" fontId="0" fillId="0" borderId="57" xfId="0" applyNumberFormat="1" applyBorder="1" applyAlignment="1">
      <alignment wrapText="1"/>
    </xf>
    <xf numFmtId="3" fontId="0" fillId="0" borderId="58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177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3" fontId="0" fillId="0" borderId="38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178" fontId="0" fillId="0" borderId="34" xfId="59" applyNumberFormat="1" applyFont="1" applyBorder="1" applyAlignment="1">
      <alignment wrapText="1"/>
    </xf>
    <xf numFmtId="178" fontId="0" fillId="0" borderId="32" xfId="59" applyNumberFormat="1" applyFont="1" applyBorder="1" applyAlignment="1">
      <alignment wrapText="1"/>
    </xf>
    <xf numFmtId="178" fontId="0" fillId="0" borderId="59" xfId="59" applyNumberFormat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33" borderId="58" xfId="0" applyFill="1" applyBorder="1" applyAlignment="1">
      <alignment horizontal="center" wrapText="1"/>
    </xf>
    <xf numFmtId="9" fontId="0" fillId="0" borderId="34" xfId="0" applyNumberFormat="1" applyBorder="1" applyAlignment="1">
      <alignment wrapText="1"/>
    </xf>
    <xf numFmtId="9" fontId="0" fillId="0" borderId="32" xfId="0" applyNumberFormat="1" applyBorder="1" applyAlignment="1">
      <alignment wrapText="1"/>
    </xf>
    <xf numFmtId="9" fontId="0" fillId="0" borderId="33" xfId="0" applyNumberFormat="1" applyBorder="1" applyAlignment="1">
      <alignment wrapText="1"/>
    </xf>
    <xf numFmtId="3" fontId="0" fillId="0" borderId="41" xfId="0" applyNumberFormat="1" applyFont="1" applyBorder="1" applyAlignment="1">
      <alignment/>
    </xf>
    <xf numFmtId="9" fontId="0" fillId="0" borderId="29" xfId="59" applyFont="1" applyBorder="1" applyAlignment="1">
      <alignment/>
    </xf>
    <xf numFmtId="0" fontId="0" fillId="0" borderId="60" xfId="0" applyBorder="1" applyAlignment="1">
      <alignment/>
    </xf>
    <xf numFmtId="9" fontId="0" fillId="0" borderId="53" xfId="59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9" fontId="0" fillId="0" borderId="27" xfId="0" applyNumberFormat="1" applyBorder="1" applyAlignment="1">
      <alignment wrapText="1"/>
    </xf>
    <xf numFmtId="0" fontId="0" fillId="0" borderId="14" xfId="0" applyBorder="1" applyAlignment="1">
      <alignment horizontal="right" wrapText="1"/>
    </xf>
    <xf numFmtId="1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" fontId="0" fillId="0" borderId="12" xfId="0" applyNumberForma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5" fillId="33" borderId="37" xfId="0" applyFont="1" applyFill="1" applyBorder="1" applyAlignment="1">
      <alignment wrapText="1"/>
    </xf>
    <xf numFmtId="3" fontId="5" fillId="33" borderId="37" xfId="0" applyNumberFormat="1" applyFont="1" applyFill="1" applyBorder="1" applyAlignment="1">
      <alignment wrapText="1"/>
    </xf>
    <xf numFmtId="185" fontId="0" fillId="0" borderId="26" xfId="44" applyNumberFormat="1" applyFont="1" applyBorder="1" applyAlignment="1">
      <alignment wrapText="1"/>
    </xf>
    <xf numFmtId="185" fontId="0" fillId="0" borderId="24" xfId="44" applyNumberFormat="1" applyFont="1" applyBorder="1" applyAlignment="1">
      <alignment wrapText="1"/>
    </xf>
    <xf numFmtId="185" fontId="0" fillId="0" borderId="25" xfId="44" applyNumberFormat="1" applyFont="1" applyBorder="1" applyAlignment="1">
      <alignment wrapText="1"/>
    </xf>
    <xf numFmtId="185" fontId="0" fillId="0" borderId="14" xfId="44" applyNumberFormat="1" applyFont="1" applyBorder="1" applyAlignment="1">
      <alignment wrapText="1"/>
    </xf>
    <xf numFmtId="185" fontId="0" fillId="0" borderId="10" xfId="44" applyNumberFormat="1" applyFont="1" applyBorder="1" applyAlignment="1">
      <alignment wrapText="1"/>
    </xf>
    <xf numFmtId="185" fontId="0" fillId="0" borderId="15" xfId="44" applyNumberFormat="1" applyFont="1" applyBorder="1" applyAlignment="1">
      <alignment wrapText="1"/>
    </xf>
    <xf numFmtId="185" fontId="0" fillId="0" borderId="53" xfId="44" applyNumberFormat="1" applyFont="1" applyBorder="1" applyAlignment="1">
      <alignment wrapText="1"/>
    </xf>
    <xf numFmtId="185" fontId="0" fillId="0" borderId="28" xfId="44" applyNumberFormat="1" applyFont="1" applyBorder="1" applyAlignment="1">
      <alignment wrapText="1"/>
    </xf>
    <xf numFmtId="185" fontId="0" fillId="0" borderId="29" xfId="44" applyNumberFormat="1" applyFont="1" applyBorder="1" applyAlignment="1">
      <alignment wrapText="1"/>
    </xf>
    <xf numFmtId="185" fontId="0" fillId="33" borderId="36" xfId="44" applyNumberFormat="1" applyFont="1" applyFill="1" applyBorder="1" applyAlignment="1">
      <alignment wrapText="1"/>
    </xf>
    <xf numFmtId="185" fontId="0" fillId="0" borderId="37" xfId="44" applyNumberFormat="1" applyFont="1" applyBorder="1" applyAlignment="1">
      <alignment wrapText="1"/>
    </xf>
    <xf numFmtId="185" fontId="0" fillId="33" borderId="38" xfId="44" applyNumberFormat="1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21" xfId="0" applyBorder="1" applyAlignment="1">
      <alignment wrapText="1"/>
    </xf>
    <xf numFmtId="0" fontId="5" fillId="33" borderId="49" xfId="0" applyFont="1" applyFill="1" applyBorder="1" applyAlignment="1">
      <alignment wrapText="1"/>
    </xf>
    <xf numFmtId="9" fontId="0" fillId="0" borderId="62" xfId="59" applyFont="1" applyBorder="1" applyAlignment="1">
      <alignment wrapText="1"/>
    </xf>
    <xf numFmtId="9" fontId="0" fillId="0" borderId="32" xfId="59" applyFont="1" applyBorder="1" applyAlignment="1">
      <alignment wrapText="1"/>
    </xf>
    <xf numFmtId="9" fontId="0" fillId="0" borderId="33" xfId="59" applyFont="1" applyBorder="1" applyAlignment="1">
      <alignment wrapText="1"/>
    </xf>
    <xf numFmtId="178" fontId="0" fillId="0" borderId="16" xfId="59" applyNumberFormat="1" applyFont="1" applyBorder="1" applyAlignment="1">
      <alignment wrapText="1"/>
    </xf>
    <xf numFmtId="178" fontId="0" fillId="0" borderId="18" xfId="59" applyNumberFormat="1" applyFont="1" applyBorder="1" applyAlignment="1">
      <alignment wrapText="1"/>
    </xf>
    <xf numFmtId="178" fontId="0" fillId="0" borderId="22" xfId="59" applyNumberFormat="1" applyFont="1" applyBorder="1" applyAlignment="1">
      <alignment wrapText="1"/>
    </xf>
    <xf numFmtId="2" fontId="0" fillId="0" borderId="15" xfId="0" applyNumberFormat="1" applyBorder="1" applyAlignment="1">
      <alignment horizontal="right" wrapText="1"/>
    </xf>
    <xf numFmtId="1" fontId="0" fillId="0" borderId="14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2" fontId="0" fillId="0" borderId="13" xfId="0" applyNumberFormat="1" applyBorder="1" applyAlignment="1">
      <alignment horizontal="right" wrapText="1"/>
    </xf>
    <xf numFmtId="1" fontId="0" fillId="0" borderId="11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1" fontId="0" fillId="0" borderId="24" xfId="0" applyNumberFormat="1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2" fontId="0" fillId="0" borderId="25" xfId="0" applyNumberFormat="1" applyBorder="1" applyAlignment="1">
      <alignment wrapText="1"/>
    </xf>
    <xf numFmtId="0" fontId="0" fillId="0" borderId="49" xfId="0" applyBorder="1" applyAlignment="1">
      <alignment/>
    </xf>
    <xf numFmtId="185" fontId="0" fillId="0" borderId="46" xfId="44" applyNumberFormat="1" applyFont="1" applyBorder="1" applyAlignment="1">
      <alignment/>
    </xf>
    <xf numFmtId="9" fontId="0" fillId="0" borderId="46" xfId="59" applyFont="1" applyBorder="1" applyAlignment="1">
      <alignment/>
    </xf>
    <xf numFmtId="44" fontId="0" fillId="0" borderId="46" xfId="44" applyFont="1" applyBorder="1" applyAlignment="1">
      <alignment/>
    </xf>
    <xf numFmtId="9" fontId="0" fillId="0" borderId="18" xfId="0" applyNumberFormat="1" applyBorder="1" applyAlignment="1">
      <alignment horizontal="right" wrapText="1"/>
    </xf>
    <xf numFmtId="9" fontId="0" fillId="0" borderId="22" xfId="0" applyNumberFormat="1" applyBorder="1" applyAlignment="1">
      <alignment horizontal="right" wrapText="1"/>
    </xf>
    <xf numFmtId="2" fontId="0" fillId="0" borderId="15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61" xfId="0" applyBorder="1" applyAlignment="1">
      <alignment/>
    </xf>
    <xf numFmtId="9" fontId="0" fillId="0" borderId="62" xfId="59" applyFont="1" applyBorder="1" applyAlignment="1">
      <alignment/>
    </xf>
    <xf numFmtId="9" fontId="0" fillId="0" borderId="32" xfId="59" applyFont="1" applyBorder="1" applyAlignment="1">
      <alignment/>
    </xf>
    <xf numFmtId="9" fontId="0" fillId="0" borderId="33" xfId="59" applyFont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185" fontId="0" fillId="0" borderId="26" xfId="44" applyNumberFormat="1" applyFont="1" applyBorder="1" applyAlignment="1">
      <alignment/>
    </xf>
    <xf numFmtId="185" fontId="0" fillId="0" borderId="24" xfId="44" applyNumberFormat="1" applyFont="1" applyBorder="1" applyAlignment="1">
      <alignment/>
    </xf>
    <xf numFmtId="185" fontId="0" fillId="0" borderId="25" xfId="44" applyNumberFormat="1" applyFont="1" applyBorder="1" applyAlignment="1">
      <alignment/>
    </xf>
    <xf numFmtId="185" fontId="0" fillId="0" borderId="14" xfId="44" applyNumberFormat="1" applyFont="1" applyBorder="1" applyAlignment="1">
      <alignment/>
    </xf>
    <xf numFmtId="185" fontId="0" fillId="0" borderId="10" xfId="44" applyNumberFormat="1" applyFont="1" applyBorder="1" applyAlignment="1">
      <alignment/>
    </xf>
    <xf numFmtId="185" fontId="0" fillId="0" borderId="15" xfId="44" applyNumberFormat="1" applyFont="1" applyBorder="1" applyAlignment="1">
      <alignment/>
    </xf>
    <xf numFmtId="185" fontId="0" fillId="0" borderId="53" xfId="44" applyNumberFormat="1" applyFont="1" applyBorder="1" applyAlignment="1">
      <alignment/>
    </xf>
    <xf numFmtId="185" fontId="0" fillId="0" borderId="28" xfId="44" applyNumberFormat="1" applyFont="1" applyBorder="1" applyAlignment="1">
      <alignment/>
    </xf>
    <xf numFmtId="185" fontId="0" fillId="0" borderId="29" xfId="44" applyNumberFormat="1" applyFont="1" applyBorder="1" applyAlignment="1">
      <alignment/>
    </xf>
    <xf numFmtId="185" fontId="0" fillId="33" borderId="36" xfId="44" applyNumberFormat="1" applyFont="1" applyFill="1" applyBorder="1" applyAlignment="1">
      <alignment/>
    </xf>
    <xf numFmtId="185" fontId="0" fillId="0" borderId="37" xfId="44" applyNumberFormat="1" applyFont="1" applyBorder="1" applyAlignment="1">
      <alignment/>
    </xf>
    <xf numFmtId="185" fontId="0" fillId="33" borderId="38" xfId="44" applyNumberFormat="1" applyFont="1" applyFill="1" applyBorder="1" applyAlignment="1">
      <alignment/>
    </xf>
    <xf numFmtId="3" fontId="0" fillId="0" borderId="34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3" fontId="0" fillId="0" borderId="33" xfId="0" applyNumberFormat="1" applyBorder="1" applyAlignment="1">
      <alignment wrapText="1"/>
    </xf>
    <xf numFmtId="9" fontId="0" fillId="0" borderId="16" xfId="0" applyNumberFormat="1" applyBorder="1" applyAlignment="1">
      <alignment wrapText="1"/>
    </xf>
    <xf numFmtId="185" fontId="0" fillId="0" borderId="40" xfId="44" applyNumberFormat="1" applyFont="1" applyBorder="1" applyAlignment="1">
      <alignment/>
    </xf>
    <xf numFmtId="185" fontId="0" fillId="0" borderId="51" xfId="44" applyNumberFormat="1" applyFont="1" applyBorder="1" applyAlignment="1">
      <alignment/>
    </xf>
    <xf numFmtId="185" fontId="0" fillId="0" borderId="44" xfId="44" applyNumberFormat="1" applyFont="1" applyBorder="1" applyAlignment="1">
      <alignment/>
    </xf>
    <xf numFmtId="185" fontId="0" fillId="0" borderId="11" xfId="44" applyNumberFormat="1" applyFont="1" applyBorder="1" applyAlignment="1">
      <alignment/>
    </xf>
    <xf numFmtId="185" fontId="0" fillId="0" borderId="12" xfId="44" applyNumberFormat="1" applyFont="1" applyBorder="1" applyAlignment="1">
      <alignment/>
    </xf>
    <xf numFmtId="185" fontId="0" fillId="0" borderId="13" xfId="44" applyNumberFormat="1" applyFont="1" applyBorder="1" applyAlignment="1">
      <alignment/>
    </xf>
    <xf numFmtId="185" fontId="0" fillId="33" borderId="41" xfId="44" applyNumberFormat="1" applyFont="1" applyFill="1" applyBorder="1" applyAlignment="1">
      <alignment/>
    </xf>
    <xf numFmtId="185" fontId="0" fillId="0" borderId="37" xfId="44" applyNumberFormat="1" applyFont="1" applyBorder="1" applyAlignment="1">
      <alignment/>
    </xf>
    <xf numFmtId="185" fontId="0" fillId="33" borderId="38" xfId="44" applyNumberFormat="1" applyFont="1" applyFill="1" applyBorder="1" applyAlignment="1">
      <alignment/>
    </xf>
    <xf numFmtId="1" fontId="0" fillId="0" borderId="26" xfId="0" applyNumberFormat="1" applyBorder="1" applyAlignment="1">
      <alignment wrapText="1"/>
    </xf>
    <xf numFmtId="0" fontId="0" fillId="0" borderId="24" xfId="0" applyBorder="1" applyAlignment="1">
      <alignment wrapText="1"/>
    </xf>
    <xf numFmtId="44" fontId="0" fillId="0" borderId="46" xfId="44" applyFont="1" applyBorder="1" applyAlignment="1">
      <alignment wrapText="1"/>
    </xf>
    <xf numFmtId="44" fontId="0" fillId="0" borderId="46" xfId="44" applyNumberFormat="1" applyFont="1" applyBorder="1" applyAlignment="1">
      <alignment wrapText="1"/>
    </xf>
    <xf numFmtId="2" fontId="0" fillId="0" borderId="25" xfId="0" applyNumberFormat="1" applyBorder="1" applyAlignment="1">
      <alignment horizontal="right" wrapText="1"/>
    </xf>
    <xf numFmtId="1" fontId="0" fillId="0" borderId="26" xfId="0" applyNumberFormat="1" applyBorder="1" applyAlignment="1">
      <alignment horizontal="right" wrapText="1"/>
    </xf>
    <xf numFmtId="3" fontId="0" fillId="0" borderId="24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9" fontId="0" fillId="0" borderId="16" xfId="59" applyNumberFormat="1" applyFont="1" applyBorder="1" applyAlignment="1">
      <alignment wrapText="1"/>
    </xf>
    <xf numFmtId="9" fontId="0" fillId="0" borderId="18" xfId="59" applyNumberFormat="1" applyFont="1" applyBorder="1" applyAlignment="1">
      <alignment wrapText="1"/>
    </xf>
    <xf numFmtId="9" fontId="0" fillId="0" borderId="22" xfId="59" applyNumberFormat="1" applyFont="1" applyBorder="1" applyAlignment="1">
      <alignment wrapText="1"/>
    </xf>
    <xf numFmtId="185" fontId="0" fillId="0" borderId="46" xfId="44" applyNumberFormat="1" applyFont="1" applyBorder="1" applyAlignment="1">
      <alignment wrapText="1"/>
    </xf>
    <xf numFmtId="9" fontId="0" fillId="0" borderId="46" xfId="59" applyFont="1" applyBorder="1" applyAlignment="1">
      <alignment wrapText="1"/>
    </xf>
    <xf numFmtId="9" fontId="0" fillId="0" borderId="30" xfId="0" applyNumberFormat="1" applyBorder="1" applyAlignment="1">
      <alignment wrapText="1"/>
    </xf>
    <xf numFmtId="9" fontId="0" fillId="0" borderId="19" xfId="0" applyNumberFormat="1" applyBorder="1" applyAlignment="1">
      <alignment wrapText="1"/>
    </xf>
    <xf numFmtId="9" fontId="0" fillId="0" borderId="23" xfId="0" applyNumberFormat="1" applyBorder="1" applyAlignment="1">
      <alignment wrapText="1"/>
    </xf>
    <xf numFmtId="1" fontId="0" fillId="0" borderId="49" xfId="0" applyNumberFormat="1" applyBorder="1" applyAlignment="1">
      <alignment wrapText="1"/>
    </xf>
    <xf numFmtId="9" fontId="0" fillId="0" borderId="30" xfId="0" applyNumberForma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23" xfId="0" applyNumberFormat="1" applyBorder="1" applyAlignment="1">
      <alignment horizontal="right"/>
    </xf>
    <xf numFmtId="168" fontId="0" fillId="0" borderId="10" xfId="42" applyNumberFormat="1" applyFont="1" applyBorder="1" applyAlignment="1">
      <alignment horizontal="right"/>
    </xf>
    <xf numFmtId="168" fontId="0" fillId="0" borderId="12" xfId="42" applyNumberFormat="1" applyFont="1" applyBorder="1" applyAlignment="1">
      <alignment horizontal="right"/>
    </xf>
    <xf numFmtId="9" fontId="0" fillId="0" borderId="16" xfId="59" applyNumberFormat="1" applyFont="1" applyBorder="1" applyAlignment="1">
      <alignment/>
    </xf>
    <xf numFmtId="9" fontId="0" fillId="0" borderId="18" xfId="59" applyNumberFormat="1" applyFont="1" applyBorder="1" applyAlignment="1">
      <alignment/>
    </xf>
    <xf numFmtId="9" fontId="0" fillId="0" borderId="22" xfId="59" applyNumberFormat="1" applyFont="1" applyBorder="1" applyAlignment="1">
      <alignment/>
    </xf>
    <xf numFmtId="2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68" fontId="0" fillId="0" borderId="24" xfId="42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33" borderId="36" xfId="0" applyFont="1" applyFill="1" applyBorder="1" applyAlignment="1">
      <alignment horizontal="center" wrapText="1"/>
    </xf>
    <xf numFmtId="9" fontId="0" fillId="0" borderId="19" xfId="0" applyNumberFormat="1" applyBorder="1" applyAlignment="1">
      <alignment horizontal="right" wrapText="1"/>
    </xf>
    <xf numFmtId="9" fontId="0" fillId="0" borderId="23" xfId="0" applyNumberFormat="1" applyBorder="1" applyAlignment="1">
      <alignment horizontal="right" wrapText="1"/>
    </xf>
    <xf numFmtId="9" fontId="0" fillId="0" borderId="30" xfId="0" applyNumberFormat="1" applyBorder="1" applyAlignment="1">
      <alignment horizontal="right" wrapText="1"/>
    </xf>
    <xf numFmtId="168" fontId="0" fillId="0" borderId="24" xfId="42" applyNumberFormat="1" applyFont="1" applyBorder="1" applyAlignment="1">
      <alignment horizontal="right" wrapText="1"/>
    </xf>
    <xf numFmtId="168" fontId="0" fillId="0" borderId="10" xfId="42" applyNumberFormat="1" applyFont="1" applyBorder="1" applyAlignment="1">
      <alignment horizontal="right" wrapText="1"/>
    </xf>
    <xf numFmtId="168" fontId="0" fillId="0" borderId="12" xfId="42" applyNumberFormat="1" applyFont="1" applyBorder="1" applyAlignment="1">
      <alignment horizontal="right" wrapText="1"/>
    </xf>
    <xf numFmtId="0" fontId="7" fillId="33" borderId="37" xfId="0" applyFont="1" applyFill="1" applyBorder="1" applyAlignment="1">
      <alignment wrapText="1"/>
    </xf>
    <xf numFmtId="178" fontId="0" fillId="0" borderId="26" xfId="0" applyNumberForma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0" borderId="53" xfId="0" applyNumberFormat="1" applyBorder="1" applyAlignment="1">
      <alignment wrapText="1"/>
    </xf>
    <xf numFmtId="9" fontId="0" fillId="0" borderId="26" xfId="0" applyNumberFormat="1" applyBorder="1" applyAlignment="1">
      <alignment wrapText="1"/>
    </xf>
    <xf numFmtId="9" fontId="0" fillId="0" borderId="53" xfId="0" applyNumberFormat="1" applyBorder="1" applyAlignment="1">
      <alignment wrapText="1"/>
    </xf>
    <xf numFmtId="9" fontId="0" fillId="0" borderId="28" xfId="0" applyNumberFormat="1" applyBorder="1" applyAlignment="1">
      <alignment wrapText="1"/>
    </xf>
    <xf numFmtId="9" fontId="0" fillId="0" borderId="34" xfId="59" applyNumberFormat="1" applyFont="1" applyBorder="1" applyAlignment="1">
      <alignment wrapText="1"/>
    </xf>
    <xf numFmtId="9" fontId="0" fillId="0" borderId="32" xfId="59" applyNumberFormat="1" applyFont="1" applyBorder="1" applyAlignment="1">
      <alignment wrapText="1"/>
    </xf>
    <xf numFmtId="9" fontId="0" fillId="0" borderId="59" xfId="59" applyNumberFormat="1" applyFont="1" applyBorder="1" applyAlignment="1">
      <alignment wrapText="1"/>
    </xf>
    <xf numFmtId="9" fontId="7" fillId="33" borderId="41" xfId="0" applyNumberFormat="1" applyFont="1" applyFill="1" applyBorder="1" applyAlignment="1">
      <alignment wrapText="1"/>
    </xf>
    <xf numFmtId="9" fontId="0" fillId="0" borderId="27" xfId="0" applyNumberFormat="1" applyBorder="1" applyAlignment="1">
      <alignment horizontal="right" wrapText="1"/>
    </xf>
    <xf numFmtId="1" fontId="0" fillId="0" borderId="0" xfId="0" applyNumberForma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wrapText="1"/>
    </xf>
    <xf numFmtId="187" fontId="0" fillId="0" borderId="46" xfId="0" applyNumberFormat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5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53" applyFont="1" applyBorder="1" applyAlignment="1" applyProtection="1">
      <alignment/>
      <protection/>
    </xf>
    <xf numFmtId="14" fontId="0" fillId="0" borderId="0" xfId="0" applyNumberFormat="1" applyAlignment="1">
      <alignment horizontal="left"/>
    </xf>
    <xf numFmtId="0" fontId="0" fillId="34" borderId="56" xfId="0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0" fillId="35" borderId="56" xfId="0" applyFill="1" applyBorder="1" applyAlignment="1">
      <alignment horizontal="center" wrapText="1"/>
    </xf>
    <xf numFmtId="0" fontId="0" fillId="35" borderId="40" xfId="0" applyFill="1" applyBorder="1" applyAlignment="1">
      <alignment horizontal="center" wrapText="1"/>
    </xf>
    <xf numFmtId="0" fontId="0" fillId="35" borderId="51" xfId="0" applyFill="1" applyBorder="1" applyAlignment="1">
      <alignment horizontal="center" wrapText="1"/>
    </xf>
    <xf numFmtId="0" fontId="0" fillId="35" borderId="44" xfId="0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0" fillId="35" borderId="1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68" fontId="0" fillId="35" borderId="15" xfId="42" applyNumberFormat="1" applyFont="1" applyFill="1" applyBorder="1" applyAlignment="1">
      <alignment horizontal="center"/>
    </xf>
    <xf numFmtId="182" fontId="0" fillId="35" borderId="14" xfId="42" applyNumberFormat="1" applyFont="1" applyFill="1" applyBorder="1" applyAlignment="1">
      <alignment horizontal="center"/>
    </xf>
    <xf numFmtId="182" fontId="0" fillId="35" borderId="10" xfId="42" applyNumberFormat="1" applyFont="1" applyFill="1" applyBorder="1" applyAlignment="1">
      <alignment horizontal="center"/>
    </xf>
    <xf numFmtId="182" fontId="0" fillId="35" borderId="15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168" fontId="0" fillId="35" borderId="13" xfId="42" applyNumberFormat="1" applyFont="1" applyFill="1" applyBorder="1" applyAlignment="1">
      <alignment horizontal="center"/>
    </xf>
    <xf numFmtId="0" fontId="0" fillId="35" borderId="0" xfId="0" applyFill="1" applyBorder="1" applyAlignment="1">
      <alignment wrapText="1"/>
    </xf>
    <xf numFmtId="0" fontId="0" fillId="0" borderId="0" xfId="0" applyFont="1" applyAlignment="1">
      <alignment/>
    </xf>
    <xf numFmtId="168" fontId="0" fillId="36" borderId="14" xfId="42" applyNumberFormat="1" applyFont="1" applyFill="1" applyBorder="1" applyAlignment="1">
      <alignment horizontal="center"/>
    </xf>
    <xf numFmtId="168" fontId="0" fillId="36" borderId="15" xfId="42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center" wrapText="1"/>
    </xf>
    <xf numFmtId="0" fontId="0" fillId="36" borderId="14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82" fontId="0" fillId="36" borderId="14" xfId="42" applyNumberFormat="1" applyFont="1" applyFill="1" applyBorder="1" applyAlignment="1">
      <alignment horizontal="center"/>
    </xf>
    <xf numFmtId="182" fontId="0" fillId="36" borderId="10" xfId="42" applyNumberFormat="1" applyFont="1" applyFill="1" applyBorder="1" applyAlignment="1">
      <alignment horizontal="center"/>
    </xf>
    <xf numFmtId="182" fontId="0" fillId="36" borderId="15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168" fontId="0" fillId="36" borderId="13" xfId="42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0" fillId="34" borderId="40" xfId="0" applyFill="1" applyBorder="1" applyAlignment="1">
      <alignment wrapText="1"/>
    </xf>
    <xf numFmtId="0" fontId="0" fillId="34" borderId="44" xfId="0" applyFill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34" borderId="16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4" borderId="63" xfId="0" applyFill="1" applyBorder="1" applyAlignment="1">
      <alignment wrapText="1"/>
    </xf>
    <xf numFmtId="3" fontId="0" fillId="0" borderId="56" xfId="0" applyNumberFormat="1" applyBorder="1" applyAlignment="1">
      <alignment/>
    </xf>
    <xf numFmtId="3" fontId="0" fillId="0" borderId="64" xfId="0" applyNumberFormat="1" applyBorder="1" applyAlignment="1">
      <alignment/>
    </xf>
    <xf numFmtId="0" fontId="4" fillId="0" borderId="47" xfId="0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55" xfId="0" applyNumberFormat="1" applyBorder="1" applyAlignment="1">
      <alignment/>
    </xf>
    <xf numFmtId="0" fontId="4" fillId="0" borderId="65" xfId="0" applyFont="1" applyBorder="1" applyAlignment="1">
      <alignment/>
    </xf>
    <xf numFmtId="0" fontId="4" fillId="0" borderId="66" xfId="0" applyFont="1" applyBorder="1" applyAlignment="1">
      <alignment/>
    </xf>
    <xf numFmtId="0" fontId="0" fillId="34" borderId="36" xfId="0" applyFill="1" applyBorder="1" applyAlignment="1">
      <alignment wrapText="1"/>
    </xf>
    <xf numFmtId="0" fontId="4" fillId="0" borderId="39" xfId="0" applyFont="1" applyBorder="1" applyAlignment="1">
      <alignment/>
    </xf>
    <xf numFmtId="0" fontId="0" fillId="34" borderId="27" xfId="0" applyFont="1" applyFill="1" applyBorder="1" applyAlignment="1">
      <alignment/>
    </xf>
    <xf numFmtId="0" fontId="0" fillId="0" borderId="48" xfId="0" applyBorder="1" applyAlignment="1">
      <alignment/>
    </xf>
    <xf numFmtId="0" fontId="0" fillId="34" borderId="58" xfId="0" applyFill="1" applyBorder="1" applyAlignment="1">
      <alignment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34" borderId="34" xfId="0" applyFill="1" applyBorder="1" applyAlignment="1">
      <alignment/>
    </xf>
    <xf numFmtId="0" fontId="4" fillId="0" borderId="68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4" fillId="0" borderId="18" xfId="0" applyNumberFormat="1" applyFont="1" applyBorder="1" applyAlignment="1">
      <alignment/>
    </xf>
    <xf numFmtId="0" fontId="0" fillId="34" borderId="58" xfId="0" applyFont="1" applyFill="1" applyBorder="1" applyAlignment="1">
      <alignment wrapText="1"/>
    </xf>
    <xf numFmtId="0" fontId="0" fillId="34" borderId="40" xfId="0" applyFont="1" applyFill="1" applyBorder="1" applyAlignment="1">
      <alignment wrapText="1"/>
    </xf>
    <xf numFmtId="0" fontId="0" fillId="34" borderId="44" xfId="0" applyFont="1" applyFill="1" applyBorder="1" applyAlignment="1">
      <alignment wrapText="1"/>
    </xf>
    <xf numFmtId="0" fontId="4" fillId="34" borderId="47" xfId="0" applyFont="1" applyFill="1" applyBorder="1" applyAlignment="1">
      <alignment/>
    </xf>
    <xf numFmtId="3" fontId="0" fillId="34" borderId="39" xfId="0" applyNumberFormat="1" applyFill="1" applyBorder="1" applyAlignment="1">
      <alignment/>
    </xf>
    <xf numFmtId="0" fontId="0" fillId="34" borderId="63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69" xfId="0" applyFill="1" applyBorder="1" applyAlignment="1">
      <alignment/>
    </xf>
    <xf numFmtId="0" fontId="4" fillId="34" borderId="47" xfId="0" applyFont="1" applyFill="1" applyBorder="1" applyAlignment="1">
      <alignment/>
    </xf>
    <xf numFmtId="0" fontId="0" fillId="34" borderId="57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57" xfId="0" applyFont="1" applyFill="1" applyBorder="1" applyAlignment="1">
      <alignment horizontal="left"/>
    </xf>
    <xf numFmtId="0" fontId="0" fillId="34" borderId="55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4" borderId="55" xfId="0" applyFont="1" applyFill="1" applyBorder="1" applyAlignment="1">
      <alignment horizontal="left"/>
    </xf>
    <xf numFmtId="0" fontId="0" fillId="34" borderId="34" xfId="0" applyFill="1" applyBorder="1" applyAlignment="1">
      <alignment horizontal="center"/>
    </xf>
    <xf numFmtId="0" fontId="0" fillId="34" borderId="55" xfId="0" applyFill="1" applyBorder="1" applyAlignment="1">
      <alignment horizontal="center" wrapText="1"/>
    </xf>
    <xf numFmtId="0" fontId="0" fillId="34" borderId="26" xfId="0" applyFill="1" applyBorder="1" applyAlignment="1">
      <alignment horizontal="center" wrapText="1"/>
    </xf>
    <xf numFmtId="0" fontId="0" fillId="34" borderId="24" xfId="0" applyFill="1" applyBorder="1" applyAlignment="1">
      <alignment horizontal="center" wrapText="1"/>
    </xf>
    <xf numFmtId="0" fontId="0" fillId="34" borderId="25" xfId="0" applyFill="1" applyBorder="1" applyAlignment="1">
      <alignment horizontal="center" wrapText="1"/>
    </xf>
    <xf numFmtId="0" fontId="0" fillId="34" borderId="71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3" fontId="4" fillId="34" borderId="39" xfId="0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3" fontId="4" fillId="0" borderId="22" xfId="0" applyNumberFormat="1" applyFont="1" applyBorder="1" applyAlignment="1">
      <alignment/>
    </xf>
    <xf numFmtId="0" fontId="10" fillId="34" borderId="69" xfId="0" applyFont="1" applyFill="1" applyBorder="1" applyAlignment="1">
      <alignment horizontal="right"/>
    </xf>
    <xf numFmtId="43" fontId="0" fillId="36" borderId="14" xfId="42" applyNumberFormat="1" applyFont="1" applyFill="1" applyBorder="1" applyAlignment="1">
      <alignment horizontal="center"/>
    </xf>
    <xf numFmtId="43" fontId="0" fillId="36" borderId="15" xfId="42" applyNumberFormat="1" applyFont="1" applyFill="1" applyBorder="1" applyAlignment="1">
      <alignment horizontal="center"/>
    </xf>
    <xf numFmtId="0" fontId="0" fillId="0" borderId="68" xfId="0" applyBorder="1" applyAlignment="1">
      <alignment/>
    </xf>
    <xf numFmtId="43" fontId="0" fillId="0" borderId="18" xfId="0" applyNumberFormat="1" applyBorder="1" applyAlignment="1">
      <alignment/>
    </xf>
    <xf numFmtId="0" fontId="0" fillId="34" borderId="22" xfId="0" applyFont="1" applyFill="1" applyBorder="1" applyAlignment="1">
      <alignment/>
    </xf>
    <xf numFmtId="43" fontId="4" fillId="34" borderId="11" xfId="0" applyNumberFormat="1" applyFont="1" applyFill="1" applyBorder="1" applyAlignment="1">
      <alignment/>
    </xf>
    <xf numFmtId="43" fontId="4" fillId="34" borderId="18" xfId="0" applyNumberFormat="1" applyFont="1" applyFill="1" applyBorder="1" applyAlignment="1">
      <alignment/>
    </xf>
    <xf numFmtId="43" fontId="4" fillId="34" borderId="13" xfId="42" applyNumberFormat="1" applyFont="1" applyFill="1" applyBorder="1" applyAlignment="1">
      <alignment horizontal="center"/>
    </xf>
    <xf numFmtId="4" fontId="4" fillId="34" borderId="39" xfId="0" applyNumberFormat="1" applyFont="1" applyFill="1" applyBorder="1" applyAlignment="1">
      <alignment/>
    </xf>
    <xf numFmtId="43" fontId="4" fillId="34" borderId="39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0" fillId="36" borderId="0" xfId="0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 horizontal="right"/>
    </xf>
    <xf numFmtId="0" fontId="0" fillId="34" borderId="36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68" xfId="0" applyFill="1" applyBorder="1" applyAlignment="1">
      <alignment horizontal="center" wrapText="1"/>
    </xf>
    <xf numFmtId="0" fontId="0" fillId="33" borderId="72" xfId="0" applyFill="1" applyBorder="1" applyAlignment="1">
      <alignment wrapText="1"/>
    </xf>
    <xf numFmtId="0" fontId="0" fillId="33" borderId="6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69" xfId="0" applyFont="1" applyFill="1" applyBorder="1" applyAlignment="1">
      <alignment horizontal="center"/>
    </xf>
    <xf numFmtId="0" fontId="0" fillId="33" borderId="65" xfId="0" applyFont="1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72" xfId="0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0" fillId="33" borderId="69" xfId="0" applyFill="1" applyBorder="1" applyAlignment="1">
      <alignment horizontal="center" wrapText="1"/>
    </xf>
    <xf numFmtId="0" fontId="0" fillId="33" borderId="39" xfId="0" applyFill="1" applyBorder="1" applyAlignment="1">
      <alignment horizontal="center" wrapText="1"/>
    </xf>
    <xf numFmtId="0" fontId="0" fillId="33" borderId="73" xfId="0" applyFill="1" applyBorder="1" applyAlignment="1">
      <alignment horizontal="center" wrapText="1"/>
    </xf>
    <xf numFmtId="0" fontId="0" fillId="33" borderId="47" xfId="0" applyFont="1" applyFill="1" applyBorder="1" applyAlignment="1">
      <alignment horizontal="center" wrapText="1"/>
    </xf>
    <xf numFmtId="0" fontId="0" fillId="33" borderId="74" xfId="0" applyFill="1" applyBorder="1" applyAlignment="1">
      <alignment horizontal="center" wrapText="1"/>
    </xf>
    <xf numFmtId="0" fontId="0" fillId="33" borderId="75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0" fillId="33" borderId="38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33" borderId="76" xfId="0" applyFont="1" applyFill="1" applyBorder="1" applyAlignment="1">
      <alignment horizontal="center" wrapText="1"/>
    </xf>
    <xf numFmtId="0" fontId="0" fillId="33" borderId="77" xfId="0" applyFill="1" applyBorder="1" applyAlignment="1">
      <alignment horizontal="center" wrapText="1"/>
    </xf>
    <xf numFmtId="0" fontId="0" fillId="33" borderId="78" xfId="0" applyFill="1" applyBorder="1" applyAlignment="1">
      <alignment horizontal="center" wrapText="1"/>
    </xf>
    <xf numFmtId="0" fontId="0" fillId="33" borderId="37" xfId="0" applyFill="1" applyBorder="1" applyAlignment="1">
      <alignment horizontal="center" wrapText="1"/>
    </xf>
    <xf numFmtId="0" fontId="0" fillId="33" borderId="79" xfId="0" applyFont="1" applyFill="1" applyBorder="1" applyAlignment="1">
      <alignment horizontal="center" wrapText="1"/>
    </xf>
    <xf numFmtId="0" fontId="0" fillId="33" borderId="80" xfId="0" applyFill="1" applyBorder="1" applyAlignment="1">
      <alignment horizontal="center" wrapText="1"/>
    </xf>
    <xf numFmtId="0" fontId="0" fillId="33" borderId="76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0" fillId="33" borderId="41" xfId="0" applyFill="1" applyBorder="1" applyAlignment="1">
      <alignment horizontal="center" wrapText="1"/>
    </xf>
    <xf numFmtId="0" fontId="0" fillId="33" borderId="79" xfId="0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58</xdr:row>
      <xdr:rowOff>0</xdr:rowOff>
    </xdr:from>
    <xdr:to>
      <xdr:col>7</xdr:col>
      <xdr:colOff>276225</xdr:colOff>
      <xdr:row>73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249275"/>
          <a:ext cx="54102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20">
      <selection activeCell="A36" sqref="A36"/>
    </sheetView>
  </sheetViews>
  <sheetFormatPr defaultColWidth="9.140625" defaultRowHeight="12.75"/>
  <cols>
    <col min="1" max="1" width="18.7109375" style="0" customWidth="1"/>
    <col min="2" max="2" width="13.7109375" style="0" bestFit="1" customWidth="1"/>
    <col min="3" max="3" width="18.140625" style="0" bestFit="1" customWidth="1"/>
    <col min="4" max="4" width="13.421875" style="0" customWidth="1"/>
    <col min="5" max="5" width="11.8515625" style="0" customWidth="1"/>
    <col min="6" max="6" width="16.421875" style="0" customWidth="1"/>
    <col min="7" max="7" width="17.421875" style="0" customWidth="1"/>
    <col min="8" max="8" width="14.8515625" style="0" customWidth="1"/>
    <col min="9" max="9" width="17.8515625" style="0" bestFit="1" customWidth="1"/>
    <col min="10" max="10" width="17.8515625" style="0" customWidth="1"/>
    <col min="11" max="11" width="21.7109375" style="0" customWidth="1"/>
  </cols>
  <sheetData>
    <row r="1" ht="12.75">
      <c r="A1" t="s">
        <v>129</v>
      </c>
    </row>
    <row r="2" ht="12.75">
      <c r="A2" t="s">
        <v>130</v>
      </c>
    </row>
    <row r="3" ht="12.75">
      <c r="A3" s="377">
        <v>40480</v>
      </c>
    </row>
    <row r="5" ht="13.5" thickBot="1">
      <c r="A5" t="s">
        <v>128</v>
      </c>
    </row>
    <row r="6" spans="1:10" ht="13.5" thickBot="1">
      <c r="A6" s="486" t="s">
        <v>38</v>
      </c>
      <c r="B6" s="486" t="s">
        <v>117</v>
      </c>
      <c r="C6" s="483" t="s">
        <v>79</v>
      </c>
      <c r="D6" s="484"/>
      <c r="E6" s="484"/>
      <c r="F6" s="485"/>
      <c r="G6" s="483" t="s">
        <v>80</v>
      </c>
      <c r="H6" s="484"/>
      <c r="I6" s="484"/>
      <c r="J6" s="485"/>
    </row>
    <row r="7" spans="1:10" s="46" customFormat="1" ht="54" thickBot="1">
      <c r="A7" s="487"/>
      <c r="B7" s="487"/>
      <c r="C7" s="89" t="s">
        <v>81</v>
      </c>
      <c r="D7" s="90" t="s">
        <v>82</v>
      </c>
      <c r="E7" s="90" t="s">
        <v>83</v>
      </c>
      <c r="F7" s="90" t="s">
        <v>84</v>
      </c>
      <c r="G7" s="89" t="s">
        <v>39</v>
      </c>
      <c r="H7" s="90" t="s">
        <v>85</v>
      </c>
      <c r="I7" s="90" t="s">
        <v>86</v>
      </c>
      <c r="J7" s="92" t="s">
        <v>87</v>
      </c>
    </row>
    <row r="8" spans="1:10" ht="12.75">
      <c r="A8" s="98" t="s">
        <v>40</v>
      </c>
      <c r="B8" s="64">
        <f>G32</f>
        <v>0.33708609271523177</v>
      </c>
      <c r="C8" s="81" t="s">
        <v>75</v>
      </c>
      <c r="D8" s="82">
        <v>100</v>
      </c>
      <c r="E8" s="83" t="s">
        <v>45</v>
      </c>
      <c r="F8" s="84">
        <v>0.9</v>
      </c>
      <c r="G8" s="61">
        <f>J8/H8</f>
        <v>282.3992992503243</v>
      </c>
      <c r="H8" s="85">
        <f>D8*$B$16*F8</f>
        <v>788400</v>
      </c>
      <c r="I8" s="62">
        <v>35006223.792814</v>
      </c>
      <c r="J8" s="63">
        <f>I8/$A$16*B8</f>
        <v>222643607.5289557</v>
      </c>
    </row>
    <row r="9" spans="1:10" ht="12.75">
      <c r="A9" s="35" t="s">
        <v>41</v>
      </c>
      <c r="B9" s="41">
        <f>G27</f>
        <v>0.6392467789890981</v>
      </c>
      <c r="C9" s="75" t="s">
        <v>76</v>
      </c>
      <c r="D9" s="76">
        <v>40</v>
      </c>
      <c r="E9" s="77" t="s">
        <v>42</v>
      </c>
      <c r="F9" s="23">
        <v>0.8</v>
      </c>
      <c r="G9" s="24">
        <f>J9/H9</f>
        <v>70.0097144664684</v>
      </c>
      <c r="H9" s="32">
        <f>D9*$B$16*F9</f>
        <v>280320</v>
      </c>
      <c r="I9" s="6">
        <v>1627120.48246</v>
      </c>
      <c r="J9" s="30">
        <f>I9/$A$16*B9</f>
        <v>19625123.15924042</v>
      </c>
    </row>
    <row r="10" spans="1:10" ht="12.75">
      <c r="A10" s="35" t="s">
        <v>43</v>
      </c>
      <c r="B10" s="41">
        <f>G28</f>
        <v>0.7413793103448276</v>
      </c>
      <c r="C10" s="75" t="s">
        <v>77</v>
      </c>
      <c r="D10" s="76">
        <v>60</v>
      </c>
      <c r="E10" s="77" t="s">
        <v>45</v>
      </c>
      <c r="F10" s="23">
        <v>0.8</v>
      </c>
      <c r="G10" s="24">
        <f>J10/H10</f>
        <v>39.71715940330052</v>
      </c>
      <c r="H10" s="32">
        <f>D10*$B$16*F10</f>
        <v>420480</v>
      </c>
      <c r="I10" s="6">
        <v>1193875.2005919998</v>
      </c>
      <c r="J10" s="30">
        <f>I10/$A$16*B10</f>
        <v>16700271.185899803</v>
      </c>
    </row>
    <row r="11" spans="1:10" ht="12.75">
      <c r="A11" s="35" t="s">
        <v>44</v>
      </c>
      <c r="B11" s="41">
        <f>G24</f>
        <v>0.6818369880016549</v>
      </c>
      <c r="C11" s="75" t="s">
        <v>77</v>
      </c>
      <c r="D11" s="76">
        <v>60</v>
      </c>
      <c r="E11" s="77" t="s">
        <v>45</v>
      </c>
      <c r="F11" s="23">
        <v>0.85</v>
      </c>
      <c r="G11" s="24">
        <f>J11/H11</f>
        <v>73.64072898884181</v>
      </c>
      <c r="H11" s="32">
        <f>D11*$B$16*F11</f>
        <v>446760</v>
      </c>
      <c r="I11" s="6">
        <v>2557335.3031380004</v>
      </c>
      <c r="J11" s="30">
        <f>I11/$A$16*B11</f>
        <v>32899732.08305497</v>
      </c>
    </row>
    <row r="12" spans="1:10" ht="13.5" thickBot="1">
      <c r="A12" s="43" t="s">
        <v>46</v>
      </c>
      <c r="B12" s="57">
        <f>K36</f>
        <v>0.7</v>
      </c>
      <c r="C12" s="78" t="s">
        <v>78</v>
      </c>
      <c r="D12" s="79">
        <v>65</v>
      </c>
      <c r="E12" s="80" t="s">
        <v>47</v>
      </c>
      <c r="F12" s="26">
        <v>0.85</v>
      </c>
      <c r="G12" s="25">
        <f>J12/H12</f>
        <v>292.6725345436382</v>
      </c>
      <c r="H12" s="48">
        <f>D12*$B$16*F12</f>
        <v>483990</v>
      </c>
      <c r="I12" s="27">
        <v>10724972.485242998</v>
      </c>
      <c r="J12" s="31">
        <f>I12/$A$16*B12</f>
        <v>141650579.99377546</v>
      </c>
    </row>
    <row r="14" ht="13.5" thickBot="1"/>
    <row r="15" spans="1:2" ht="42">
      <c r="A15" s="93" t="s">
        <v>88</v>
      </c>
      <c r="B15" s="99" t="s">
        <v>32</v>
      </c>
    </row>
    <row r="16" spans="1:2" ht="13.5" thickBot="1">
      <c r="A16" s="19">
        <f>5.3*10^(-2)</f>
        <v>0.053</v>
      </c>
      <c r="B16" s="22">
        <v>8760</v>
      </c>
    </row>
    <row r="18" ht="13.5" thickBot="1"/>
    <row r="19" spans="1:11" s="8" customFormat="1" ht="13.5" thickBot="1">
      <c r="A19" s="110" t="s">
        <v>37</v>
      </c>
      <c r="B19" s="481" t="s">
        <v>125</v>
      </c>
      <c r="C19" s="482"/>
      <c r="D19" s="482"/>
      <c r="E19" s="482"/>
      <c r="F19" s="482"/>
      <c r="G19" s="482"/>
      <c r="H19" s="482"/>
      <c r="I19" s="106" t="s">
        <v>121</v>
      </c>
      <c r="J19" s="106" t="s">
        <v>126</v>
      </c>
      <c r="K19" s="107" t="s">
        <v>127</v>
      </c>
    </row>
    <row r="20" spans="1:11" s="46" customFormat="1" ht="39.75" thickBot="1">
      <c r="A20" s="100" t="s">
        <v>38</v>
      </c>
      <c r="B20" s="89" t="s">
        <v>12</v>
      </c>
      <c r="C20" s="369" t="s">
        <v>89</v>
      </c>
      <c r="D20" s="369" t="s">
        <v>90</v>
      </c>
      <c r="E20" s="369" t="s">
        <v>4</v>
      </c>
      <c r="F20" s="369" t="s">
        <v>5</v>
      </c>
      <c r="G20" s="90" t="s">
        <v>91</v>
      </c>
      <c r="H20" s="90" t="s">
        <v>92</v>
      </c>
      <c r="I20" s="90" t="s">
        <v>91</v>
      </c>
      <c r="J20" s="90" t="s">
        <v>91</v>
      </c>
      <c r="K20" s="91" t="s">
        <v>91</v>
      </c>
    </row>
    <row r="21" spans="1:11" ht="12.75">
      <c r="A21" s="86" t="s">
        <v>13</v>
      </c>
      <c r="B21" s="108" t="s">
        <v>14</v>
      </c>
      <c r="C21" s="85">
        <v>12281</v>
      </c>
      <c r="D21" s="85">
        <v>2498</v>
      </c>
      <c r="E21" s="85">
        <v>3162</v>
      </c>
      <c r="F21" s="85">
        <v>5238</v>
      </c>
      <c r="G21" s="109">
        <f>(D21+E21)/(C21)</f>
        <v>0.4608745216187607</v>
      </c>
      <c r="H21" s="109">
        <f aca="true" t="shared" si="0" ref="H21:H35">(F21)/(C21)</f>
        <v>0.4265124989821676</v>
      </c>
      <c r="I21" s="103">
        <v>0</v>
      </c>
      <c r="J21" s="85">
        <v>0</v>
      </c>
      <c r="K21" s="101">
        <v>0</v>
      </c>
    </row>
    <row r="22" spans="1:11" ht="12.75">
      <c r="A22" s="47" t="s">
        <v>15</v>
      </c>
      <c r="B22" s="38">
        <v>3313</v>
      </c>
      <c r="C22" s="32">
        <v>120</v>
      </c>
      <c r="D22" s="32">
        <v>4</v>
      </c>
      <c r="E22" s="32">
        <v>15</v>
      </c>
      <c r="F22" s="32">
        <v>92</v>
      </c>
      <c r="G22" s="39">
        <f>(D22+E22)/(C22)</f>
        <v>0.15833333333333333</v>
      </c>
      <c r="H22" s="39">
        <f t="shared" si="0"/>
        <v>0.7666666666666667</v>
      </c>
      <c r="I22" s="104">
        <v>0</v>
      </c>
      <c r="J22" s="32">
        <v>0</v>
      </c>
      <c r="K22" s="88">
        <v>0</v>
      </c>
    </row>
    <row r="23" spans="1:11" ht="12.75">
      <c r="A23" s="47" t="s">
        <v>16</v>
      </c>
      <c r="B23" s="38">
        <v>327310</v>
      </c>
      <c r="C23" s="32">
        <v>341</v>
      </c>
      <c r="D23" s="32">
        <v>4</v>
      </c>
      <c r="E23" s="32">
        <v>10</v>
      </c>
      <c r="F23" s="32">
        <v>315</v>
      </c>
      <c r="G23" s="39">
        <f>(D23+E23)/(C23)</f>
        <v>0.04105571847507331</v>
      </c>
      <c r="H23" s="39">
        <f t="shared" si="0"/>
        <v>0.9237536656891495</v>
      </c>
      <c r="I23" s="104">
        <v>0</v>
      </c>
      <c r="J23" s="32">
        <v>0</v>
      </c>
      <c r="K23" s="88">
        <v>0</v>
      </c>
    </row>
    <row r="24" spans="1:11" ht="12.75">
      <c r="A24" s="47" t="s">
        <v>44</v>
      </c>
      <c r="B24" s="38">
        <v>325</v>
      </c>
      <c r="C24" s="32">
        <v>2417</v>
      </c>
      <c r="D24" s="32">
        <v>771</v>
      </c>
      <c r="E24" s="32">
        <v>877</v>
      </c>
      <c r="F24" s="32">
        <v>488</v>
      </c>
      <c r="G24" s="39">
        <f>(D24+E24)/(C24)</f>
        <v>0.6818369880016549</v>
      </c>
      <c r="H24" s="39">
        <f t="shared" si="0"/>
        <v>0.20190318576748034</v>
      </c>
      <c r="I24" s="40">
        <v>0.42</v>
      </c>
      <c r="J24" s="41">
        <v>0.47</v>
      </c>
      <c r="K24" s="88">
        <v>0</v>
      </c>
    </row>
    <row r="25" spans="1:11" ht="26.25">
      <c r="A25" s="47" t="s">
        <v>17</v>
      </c>
      <c r="B25" s="38" t="s">
        <v>18</v>
      </c>
      <c r="C25" s="32">
        <v>87</v>
      </c>
      <c r="D25" s="32">
        <v>27</v>
      </c>
      <c r="E25" s="32">
        <v>0</v>
      </c>
      <c r="F25" s="32">
        <v>27</v>
      </c>
      <c r="G25" s="39">
        <f>(D25+E25)/(C25)</f>
        <v>0.3103448275862069</v>
      </c>
      <c r="H25" s="39">
        <f t="shared" si="0"/>
        <v>0.3103448275862069</v>
      </c>
      <c r="I25" s="104">
        <v>0</v>
      </c>
      <c r="J25" s="32">
        <v>0</v>
      </c>
      <c r="K25" s="88">
        <v>0</v>
      </c>
    </row>
    <row r="26" spans="1:11" ht="26.25">
      <c r="A26" s="47" t="s">
        <v>19</v>
      </c>
      <c r="B26" s="38">
        <v>332</v>
      </c>
      <c r="C26" s="32">
        <v>252</v>
      </c>
      <c r="D26" s="32">
        <v>37</v>
      </c>
      <c r="E26" s="32">
        <v>2</v>
      </c>
      <c r="F26" s="32">
        <v>166</v>
      </c>
      <c r="G26" s="39">
        <f aca="true" t="shared" si="1" ref="G26:G35">(D26+E26)/(C26)</f>
        <v>0.15476190476190477</v>
      </c>
      <c r="H26" s="39">
        <f t="shared" si="0"/>
        <v>0.6587301587301587</v>
      </c>
      <c r="I26" s="104">
        <v>0</v>
      </c>
      <c r="J26" s="32">
        <v>0</v>
      </c>
      <c r="K26" s="88">
        <v>0</v>
      </c>
    </row>
    <row r="27" spans="1:11" ht="12.75">
      <c r="A27" s="47" t="s">
        <v>31</v>
      </c>
      <c r="B27" s="38" t="s">
        <v>20</v>
      </c>
      <c r="C27" s="32">
        <v>1009</v>
      </c>
      <c r="D27" s="32">
        <v>458</v>
      </c>
      <c r="E27" s="32">
        <v>187</v>
      </c>
      <c r="F27" s="32">
        <v>260</v>
      </c>
      <c r="G27" s="39">
        <f>(D27+E27)/(C27)</f>
        <v>0.6392467789890981</v>
      </c>
      <c r="H27" s="39">
        <f>(F27)/(C27)</f>
        <v>0.2576808721506442</v>
      </c>
      <c r="I27" s="40">
        <v>0.57</v>
      </c>
      <c r="J27" s="32">
        <v>0</v>
      </c>
      <c r="K27" s="88">
        <v>0</v>
      </c>
    </row>
    <row r="28" spans="1:11" ht="12.75">
      <c r="A28" s="47" t="s">
        <v>43</v>
      </c>
      <c r="B28" s="38" t="s">
        <v>21</v>
      </c>
      <c r="C28" s="32">
        <v>2378</v>
      </c>
      <c r="D28" s="32">
        <v>411</v>
      </c>
      <c r="E28" s="32">
        <v>1352</v>
      </c>
      <c r="F28" s="32">
        <v>386</v>
      </c>
      <c r="G28" s="39">
        <f t="shared" si="1"/>
        <v>0.7413793103448276</v>
      </c>
      <c r="H28" s="39">
        <f>(F28)/(C28)</f>
        <v>0.16232127838519764</v>
      </c>
      <c r="I28" s="40">
        <v>0.81</v>
      </c>
      <c r="J28" s="41">
        <v>0.84</v>
      </c>
      <c r="K28" s="88">
        <v>0</v>
      </c>
    </row>
    <row r="29" spans="1:11" ht="12.75">
      <c r="A29" s="47" t="s">
        <v>22</v>
      </c>
      <c r="B29" s="38">
        <v>3315</v>
      </c>
      <c r="C29" s="32">
        <v>100</v>
      </c>
      <c r="D29" s="32">
        <v>6</v>
      </c>
      <c r="E29" s="32">
        <v>0</v>
      </c>
      <c r="F29" s="32">
        <v>69</v>
      </c>
      <c r="G29" s="39">
        <f t="shared" si="1"/>
        <v>0.06</v>
      </c>
      <c r="H29" s="39">
        <f t="shared" si="0"/>
        <v>0.69</v>
      </c>
      <c r="I29" s="104">
        <v>0</v>
      </c>
      <c r="J29" s="32">
        <v>0</v>
      </c>
      <c r="K29" s="88">
        <v>0</v>
      </c>
    </row>
    <row r="30" spans="1:11" ht="12.75">
      <c r="A30" s="47" t="s">
        <v>23</v>
      </c>
      <c r="B30" s="38" t="s">
        <v>24</v>
      </c>
      <c r="C30" s="32">
        <v>267</v>
      </c>
      <c r="D30" s="32">
        <v>15</v>
      </c>
      <c r="E30" s="32">
        <v>0</v>
      </c>
      <c r="F30" s="32">
        <v>238</v>
      </c>
      <c r="G30" s="39">
        <f t="shared" si="1"/>
        <v>0.056179775280898875</v>
      </c>
      <c r="H30" s="39">
        <f t="shared" si="0"/>
        <v>0.8913857677902621</v>
      </c>
      <c r="I30" s="104">
        <v>0</v>
      </c>
      <c r="J30" s="32">
        <v>0</v>
      </c>
      <c r="K30" s="88">
        <v>0</v>
      </c>
    </row>
    <row r="31" spans="1:11" ht="12.75">
      <c r="A31" s="47" t="s">
        <v>25</v>
      </c>
      <c r="B31" s="38">
        <v>333</v>
      </c>
      <c r="C31" s="32">
        <v>93</v>
      </c>
      <c r="D31" s="32">
        <v>18</v>
      </c>
      <c r="E31" s="32">
        <v>6</v>
      </c>
      <c r="F31" s="32">
        <v>26</v>
      </c>
      <c r="G31" s="39">
        <f t="shared" si="1"/>
        <v>0.25806451612903225</v>
      </c>
      <c r="H31" s="39">
        <f t="shared" si="0"/>
        <v>0.27956989247311825</v>
      </c>
      <c r="I31" s="104">
        <v>0</v>
      </c>
      <c r="J31" s="32">
        <v>0</v>
      </c>
      <c r="K31" s="88">
        <v>0</v>
      </c>
    </row>
    <row r="32" spans="1:11" ht="12.75">
      <c r="A32" s="47" t="s">
        <v>40</v>
      </c>
      <c r="B32" s="38">
        <v>324110</v>
      </c>
      <c r="C32" s="32">
        <v>3020</v>
      </c>
      <c r="D32" s="32">
        <v>409</v>
      </c>
      <c r="E32" s="32">
        <v>609</v>
      </c>
      <c r="F32" s="32">
        <v>1890</v>
      </c>
      <c r="G32" s="39">
        <f t="shared" si="1"/>
        <v>0.33708609271523177</v>
      </c>
      <c r="H32" s="39">
        <f t="shared" si="0"/>
        <v>0.6258278145695364</v>
      </c>
      <c r="I32" s="40">
        <v>0.23</v>
      </c>
      <c r="J32" s="41">
        <v>0.51</v>
      </c>
      <c r="K32" s="88">
        <v>0</v>
      </c>
    </row>
    <row r="33" spans="1:11" ht="12.75">
      <c r="A33" s="47" t="s">
        <v>30</v>
      </c>
      <c r="B33" s="38" t="s">
        <v>26</v>
      </c>
      <c r="C33" s="32">
        <v>994</v>
      </c>
      <c r="D33" s="32">
        <v>67</v>
      </c>
      <c r="E33" s="32">
        <v>50</v>
      </c>
      <c r="F33" s="32">
        <v>758</v>
      </c>
      <c r="G33" s="39">
        <f t="shared" si="1"/>
        <v>0.11770623742454728</v>
      </c>
      <c r="H33" s="39">
        <f t="shared" si="0"/>
        <v>0.7625754527162978</v>
      </c>
      <c r="I33" s="40">
        <v>0.1</v>
      </c>
      <c r="J33" s="32">
        <v>0</v>
      </c>
      <c r="K33" s="88">
        <v>0</v>
      </c>
    </row>
    <row r="34" spans="1:11" ht="12.75">
      <c r="A34" s="47" t="s">
        <v>27</v>
      </c>
      <c r="B34" s="38" t="s">
        <v>28</v>
      </c>
      <c r="C34" s="32">
        <v>171</v>
      </c>
      <c r="D34" s="32">
        <v>86</v>
      </c>
      <c r="E34" s="32">
        <v>16</v>
      </c>
      <c r="F34" s="32">
        <v>51</v>
      </c>
      <c r="G34" s="39">
        <f t="shared" si="1"/>
        <v>0.5964912280701754</v>
      </c>
      <c r="H34" s="39">
        <f t="shared" si="0"/>
        <v>0.2982456140350877</v>
      </c>
      <c r="I34" s="104">
        <v>0</v>
      </c>
      <c r="J34" s="32">
        <v>0</v>
      </c>
      <c r="K34" s="88">
        <v>0</v>
      </c>
    </row>
    <row r="35" spans="1:11" ht="26.25">
      <c r="A35" s="47" t="s">
        <v>29</v>
      </c>
      <c r="B35" s="38">
        <v>336</v>
      </c>
      <c r="C35" s="32">
        <v>276</v>
      </c>
      <c r="D35" s="32">
        <v>50</v>
      </c>
      <c r="E35" s="32">
        <v>7</v>
      </c>
      <c r="F35" s="32">
        <v>77</v>
      </c>
      <c r="G35" s="39">
        <f t="shared" si="1"/>
        <v>0.20652173913043478</v>
      </c>
      <c r="H35" s="39">
        <f t="shared" si="0"/>
        <v>0.27898550724637683</v>
      </c>
      <c r="I35" s="104">
        <v>0</v>
      </c>
      <c r="J35" s="32">
        <v>0</v>
      </c>
      <c r="K35" s="88">
        <v>0</v>
      </c>
    </row>
    <row r="36" spans="1:11" ht="13.5" thickBot="1">
      <c r="A36" s="105" t="s">
        <v>46</v>
      </c>
      <c r="B36" s="102">
        <v>0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48">
        <v>0</v>
      </c>
      <c r="J36" s="48">
        <v>0</v>
      </c>
      <c r="K36" s="45">
        <v>0.7</v>
      </c>
    </row>
    <row r="38" ht="12.75">
      <c r="A38" s="375" t="s">
        <v>124</v>
      </c>
    </row>
    <row r="39" ht="12.75">
      <c r="A39" s="375" t="s">
        <v>115</v>
      </c>
    </row>
    <row r="40" ht="12.75">
      <c r="A40" s="375" t="s">
        <v>122</v>
      </c>
    </row>
    <row r="41" ht="12.75">
      <c r="A41" s="376" t="s">
        <v>123</v>
      </c>
    </row>
  </sheetData>
  <sheetProtection/>
  <mergeCells count="5">
    <mergeCell ref="B19:H19"/>
    <mergeCell ref="G6:J6"/>
    <mergeCell ref="C6:F6"/>
    <mergeCell ref="A6:A7"/>
    <mergeCell ref="B6:B7"/>
  </mergeCells>
  <printOptions/>
  <pageMargins left="0.5" right="0.5" top="0.5" bottom="0.5" header="0.25" footer="0.25"/>
  <pageSetup horizontalDpi="600" verticalDpi="600" orientation="landscape" scale="65" r:id="rId1"/>
  <headerFooter alignWithMargins="0">
    <oddHeader>&amp;L&amp;A&amp;C&amp;Barb Confidential&amp;B&amp;RPage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5"/>
  <sheetViews>
    <sheetView zoomScalePageLayoutView="0" workbookViewId="0" topLeftCell="A2">
      <selection activeCell="J21" sqref="J21"/>
    </sheetView>
  </sheetViews>
  <sheetFormatPr defaultColWidth="9.140625" defaultRowHeight="12.75"/>
  <cols>
    <col min="1" max="1" width="14.8515625" style="46" customWidth="1"/>
    <col min="2" max="2" width="13.7109375" style="46" customWidth="1"/>
    <col min="3" max="3" width="14.421875" style="46" customWidth="1"/>
    <col min="4" max="4" width="18.8515625" style="46" customWidth="1"/>
    <col min="5" max="5" width="19.140625" style="46" customWidth="1"/>
    <col min="6" max="6" width="14.140625" style="46" customWidth="1"/>
    <col min="7" max="13" width="11.7109375" style="46" customWidth="1"/>
    <col min="14" max="16384" width="9.140625" style="46" customWidth="1"/>
  </cols>
  <sheetData>
    <row r="1" spans="1:6" ht="13.5" thickBot="1">
      <c r="A1" s="486" t="s">
        <v>38</v>
      </c>
      <c r="B1" s="501" t="s">
        <v>117</v>
      </c>
      <c r="C1" s="503" t="s">
        <v>80</v>
      </c>
      <c r="D1" s="504"/>
      <c r="E1" s="132"/>
      <c r="F1" s="132"/>
    </row>
    <row r="2" spans="1:4" ht="54" thickBot="1">
      <c r="A2" s="500"/>
      <c r="B2" s="502"/>
      <c r="C2" s="89" t="s">
        <v>86</v>
      </c>
      <c r="D2" s="91" t="s">
        <v>87</v>
      </c>
    </row>
    <row r="3" spans="1:18" ht="12.75">
      <c r="A3" s="214" t="s">
        <v>40</v>
      </c>
      <c r="B3" s="309">
        <v>0.33708609271523177</v>
      </c>
      <c r="C3" s="306">
        <v>35006223.792814</v>
      </c>
      <c r="D3" s="136">
        <f>C3/$E$21*B3</f>
        <v>222643607.5289557</v>
      </c>
      <c r="L3" s="163"/>
      <c r="M3" s="163"/>
      <c r="O3" s="163"/>
      <c r="Q3" s="157"/>
      <c r="R3" s="157"/>
    </row>
    <row r="4" spans="1:18" ht="12.75">
      <c r="A4" s="191" t="s">
        <v>41</v>
      </c>
      <c r="B4" s="174">
        <v>0.6392467789890981</v>
      </c>
      <c r="C4" s="307">
        <v>1627120.48246</v>
      </c>
      <c r="D4" s="139">
        <f>C4/$E$21*B4</f>
        <v>19625123.15924042</v>
      </c>
      <c r="L4" s="163"/>
      <c r="M4" s="163"/>
      <c r="O4" s="163"/>
      <c r="Q4" s="157"/>
      <c r="R4" s="157"/>
    </row>
    <row r="5" spans="1:18" ht="12.75">
      <c r="A5" s="191" t="s">
        <v>43</v>
      </c>
      <c r="B5" s="174">
        <v>0.7413793103448276</v>
      </c>
      <c r="C5" s="307">
        <v>1193875.2005919998</v>
      </c>
      <c r="D5" s="139">
        <f>C5/$E$21*B5</f>
        <v>16700271.185899803</v>
      </c>
      <c r="L5" s="163"/>
      <c r="M5" s="163"/>
      <c r="O5" s="163"/>
      <c r="Q5" s="157"/>
      <c r="R5" s="157"/>
    </row>
    <row r="6" spans="1:18" ht="12.75">
      <c r="A6" s="191" t="s">
        <v>44</v>
      </c>
      <c r="B6" s="174">
        <v>0.6818369880016549</v>
      </c>
      <c r="C6" s="307">
        <v>2557335.3031380004</v>
      </c>
      <c r="D6" s="139">
        <f>C6/$E$21*B6</f>
        <v>32899732.08305497</v>
      </c>
      <c r="L6" s="163"/>
      <c r="M6" s="163"/>
      <c r="O6" s="163"/>
      <c r="Q6" s="157"/>
      <c r="R6" s="157"/>
    </row>
    <row r="7" spans="1:18" ht="13.5" thickBot="1">
      <c r="A7" s="194" t="s">
        <v>46</v>
      </c>
      <c r="B7" s="180">
        <v>0.7</v>
      </c>
      <c r="C7" s="308">
        <v>10724972.485242998</v>
      </c>
      <c r="D7" s="141">
        <f>C7/$E$21*B7</f>
        <v>141650579.99377546</v>
      </c>
      <c r="L7" s="163"/>
      <c r="M7" s="163"/>
      <c r="O7" s="163"/>
      <c r="Q7" s="157"/>
      <c r="R7" s="157"/>
    </row>
    <row r="9" ht="13.5" thickBot="1"/>
    <row r="10" spans="1:9" ht="13.5" thickBot="1">
      <c r="A10" s="486" t="s">
        <v>38</v>
      </c>
      <c r="B10" s="510" t="s">
        <v>64</v>
      </c>
      <c r="C10" s="507"/>
      <c r="D10" s="507"/>
      <c r="E10" s="511"/>
      <c r="F10" s="512" t="s">
        <v>65</v>
      </c>
      <c r="G10" s="507"/>
      <c r="H10" s="507"/>
      <c r="I10" s="508"/>
    </row>
    <row r="11" spans="1:9" ht="42" thickBot="1">
      <c r="A11" s="494"/>
      <c r="B11" s="95" t="s">
        <v>96</v>
      </c>
      <c r="C11" s="94" t="s">
        <v>109</v>
      </c>
      <c r="D11" s="90" t="s">
        <v>100</v>
      </c>
      <c r="E11" s="215" t="s">
        <v>101</v>
      </c>
      <c r="F11" s="89" t="s">
        <v>96</v>
      </c>
      <c r="G11" s="94" t="s">
        <v>109</v>
      </c>
      <c r="H11" s="90" t="s">
        <v>100</v>
      </c>
      <c r="I11" s="91" t="s">
        <v>101</v>
      </c>
    </row>
    <row r="12" spans="1:9" ht="12.75">
      <c r="A12" s="185" t="s">
        <v>40</v>
      </c>
      <c r="B12" s="363">
        <v>0.2</v>
      </c>
      <c r="C12" s="145">
        <v>0.004</v>
      </c>
      <c r="D12" s="135">
        <f>D3*B12*C12</f>
        <v>178114.88602316458</v>
      </c>
      <c r="E12" s="202">
        <f>D12*$E$21</f>
        <v>9440.088959227722</v>
      </c>
      <c r="F12" s="360">
        <f>B12*1.2</f>
        <v>0.24</v>
      </c>
      <c r="G12" s="145">
        <f>C12/2</f>
        <v>0.002</v>
      </c>
      <c r="H12" s="135">
        <f>G12*F12*D3</f>
        <v>106868.93161389873</v>
      </c>
      <c r="I12" s="136">
        <f>H12*$E$21</f>
        <v>5664.053375536632</v>
      </c>
    </row>
    <row r="13" spans="1:9" ht="12.75">
      <c r="A13" s="191" t="s">
        <v>41</v>
      </c>
      <c r="B13" s="364">
        <v>0.2</v>
      </c>
      <c r="C13" s="148">
        <v>0.004</v>
      </c>
      <c r="D13" s="138">
        <f>D4*B13*C13</f>
        <v>15700.098527392338</v>
      </c>
      <c r="E13" s="203">
        <f>D13*$E$21</f>
        <v>832.1052219517939</v>
      </c>
      <c r="F13" s="193">
        <f>B13*1.2</f>
        <v>0.24</v>
      </c>
      <c r="G13" s="148">
        <f>C13/2</f>
        <v>0.002</v>
      </c>
      <c r="H13" s="138">
        <f>G13*F13*D4</f>
        <v>9420.059116435403</v>
      </c>
      <c r="I13" s="139">
        <f>H13*$E$21</f>
        <v>499.26313317107633</v>
      </c>
    </row>
    <row r="14" spans="1:9" ht="12.75">
      <c r="A14" s="191" t="s">
        <v>43</v>
      </c>
      <c r="B14" s="364">
        <v>0.2</v>
      </c>
      <c r="C14" s="148">
        <v>0.004</v>
      </c>
      <c r="D14" s="138">
        <f>D5*B14*C14</f>
        <v>13360.216948719844</v>
      </c>
      <c r="E14" s="203">
        <f>D14*$E$21</f>
        <v>708.0914982821517</v>
      </c>
      <c r="F14" s="193">
        <f>B14*1.2</f>
        <v>0.24</v>
      </c>
      <c r="G14" s="148">
        <f>C14/2</f>
        <v>0.002</v>
      </c>
      <c r="H14" s="138">
        <f>G14*F14*D5</f>
        <v>8016.130169231906</v>
      </c>
      <c r="I14" s="139">
        <f>H14*$E$21</f>
        <v>424.854898969291</v>
      </c>
    </row>
    <row r="15" spans="1:9" ht="12.75">
      <c r="A15" s="191" t="s">
        <v>44</v>
      </c>
      <c r="B15" s="364">
        <v>0.2</v>
      </c>
      <c r="C15" s="148">
        <v>0.004</v>
      </c>
      <c r="D15" s="138">
        <f>D6*B15*C15</f>
        <v>26319.78566644398</v>
      </c>
      <c r="E15" s="203">
        <f>D15*$E$21</f>
        <v>1394.9486403215308</v>
      </c>
      <c r="F15" s="193">
        <f>B15*1.2</f>
        <v>0.24</v>
      </c>
      <c r="G15" s="148">
        <f>C15/2</f>
        <v>0.002</v>
      </c>
      <c r="H15" s="138">
        <f>G15*F15*D6</f>
        <v>15791.871399866386</v>
      </c>
      <c r="I15" s="139">
        <f>H15*$E$21</f>
        <v>836.9691841929184</v>
      </c>
    </row>
    <row r="16" spans="1:9" ht="13.5" thickBot="1">
      <c r="A16" s="200" t="s">
        <v>46</v>
      </c>
      <c r="B16" s="365">
        <v>0.2</v>
      </c>
      <c r="C16" s="151">
        <v>0.004</v>
      </c>
      <c r="D16" s="152">
        <f>D7*B16*C16</f>
        <v>113320.46399502037</v>
      </c>
      <c r="E16" s="204">
        <f>D16*$E$21</f>
        <v>6005.98459173608</v>
      </c>
      <c r="F16" s="361">
        <f>B16*1.2</f>
        <v>0.24</v>
      </c>
      <c r="G16" s="151">
        <f>C16/2</f>
        <v>0.002</v>
      </c>
      <c r="H16" s="152">
        <f>G16*F16*D7</f>
        <v>67992.27839701223</v>
      </c>
      <c r="I16" s="153">
        <f>H16*$E$21</f>
        <v>3603.5907550416478</v>
      </c>
    </row>
    <row r="17" spans="1:9" ht="13.5" thickBot="1">
      <c r="A17" s="197" t="s">
        <v>50</v>
      </c>
      <c r="B17" s="201"/>
      <c r="C17" s="142"/>
      <c r="D17" s="155">
        <f>SUM(D12:D16)</f>
        <v>346815.45116074116</v>
      </c>
      <c r="E17" s="205">
        <f>SUM(E12:E16)</f>
        <v>18381.218911519278</v>
      </c>
      <c r="F17" s="133"/>
      <c r="G17" s="142"/>
      <c r="H17" s="155">
        <f>SUM(H12:H16)</f>
        <v>208089.27069644467</v>
      </c>
      <c r="I17" s="156">
        <f>SUM(I12:I16)</f>
        <v>11028.731346911565</v>
      </c>
    </row>
    <row r="19" ht="13.5" thickBot="1"/>
    <row r="20" spans="1:6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110</v>
      </c>
      <c r="F20" s="91" t="s">
        <v>32</v>
      </c>
    </row>
    <row r="21" spans="1:6" ht="13.5" thickBot="1">
      <c r="A21" s="158">
        <v>0.3</v>
      </c>
      <c r="B21" s="159">
        <v>20</v>
      </c>
      <c r="C21" s="160">
        <f>A21/(1-1/(1+A21)^B21)</f>
        <v>0.30158688481804236</v>
      </c>
      <c r="D21" s="322">
        <v>7.6851</v>
      </c>
      <c r="E21" s="160">
        <f>5.3*10^(-2)</f>
        <v>0.053</v>
      </c>
      <c r="F21" s="161">
        <v>8760</v>
      </c>
    </row>
    <row r="22" spans="1:4" ht="12.75">
      <c r="A22" s="162"/>
      <c r="B22" s="163"/>
      <c r="C22" s="164"/>
      <c r="D22" s="165"/>
    </row>
    <row r="23" spans="1:4" ht="13.5" thickBot="1">
      <c r="A23" s="162"/>
      <c r="B23" s="163"/>
      <c r="C23" s="164"/>
      <c r="D23" s="165"/>
    </row>
    <row r="24" spans="1:11" ht="13.5" thickBot="1">
      <c r="A24" s="486" t="s">
        <v>38</v>
      </c>
      <c r="B24" s="503" t="s">
        <v>64</v>
      </c>
      <c r="C24" s="509"/>
      <c r="D24" s="509"/>
      <c r="E24" s="504"/>
      <c r="F24" s="503" t="s">
        <v>65</v>
      </c>
      <c r="G24" s="509"/>
      <c r="H24" s="509"/>
      <c r="I24" s="504"/>
      <c r="J24" s="132"/>
      <c r="K24" s="132"/>
    </row>
    <row r="25" spans="1:11" ht="42" thickBot="1">
      <c r="A25" s="500"/>
      <c r="B25" s="113" t="s">
        <v>74</v>
      </c>
      <c r="C25" s="114" t="s">
        <v>10</v>
      </c>
      <c r="D25" s="114" t="s">
        <v>11</v>
      </c>
      <c r="E25" s="115" t="s">
        <v>105</v>
      </c>
      <c r="F25" s="113" t="s">
        <v>74</v>
      </c>
      <c r="G25" s="114" t="s">
        <v>10</v>
      </c>
      <c r="H25" s="114" t="s">
        <v>11</v>
      </c>
      <c r="I25" s="115" t="s">
        <v>105</v>
      </c>
      <c r="J25" s="132"/>
      <c r="K25" s="132"/>
    </row>
    <row r="26" spans="1:11" ht="12.75">
      <c r="A26" s="143" t="s">
        <v>40</v>
      </c>
      <c r="B26" s="238">
        <f>D26*2.5</f>
        <v>3422076.7764415555</v>
      </c>
      <c r="C26" s="239">
        <f>B26*$C$21</f>
        <v>1032053.474615177</v>
      </c>
      <c r="D26" s="239">
        <f>D12*$D$21</f>
        <v>1368830.7105766223</v>
      </c>
      <c r="E26" s="240">
        <f>(C26-D26)/E12</f>
        <v>-35.675218466267125</v>
      </c>
      <c r="F26" s="238">
        <f>B26</f>
        <v>3422076.7764415555</v>
      </c>
      <c r="G26" s="239">
        <f>F26*$C$21</f>
        <v>1032053.474615177</v>
      </c>
      <c r="H26" s="239">
        <f>H12*$D$21</f>
        <v>821298.4263459732</v>
      </c>
      <c r="I26" s="240">
        <f>(G26-H26)/I12</f>
        <v>37.209227084523405</v>
      </c>
      <c r="J26" s="132"/>
      <c r="K26" s="132"/>
    </row>
    <row r="27" spans="1:11" ht="12.75">
      <c r="A27" s="146" t="s">
        <v>41</v>
      </c>
      <c r="B27" s="241">
        <f>D27*2.5</f>
        <v>301642.06798215717</v>
      </c>
      <c r="C27" s="242">
        <f>B27*$C$21</f>
        <v>90971.29161281094</v>
      </c>
      <c r="D27" s="242">
        <f>D13*$D$21</f>
        <v>120656.82719286287</v>
      </c>
      <c r="E27" s="243">
        <f>(C27-D27)/E13</f>
        <v>-35.67521846626711</v>
      </c>
      <c r="F27" s="241">
        <f>B27</f>
        <v>301642.06798215717</v>
      </c>
      <c r="G27" s="242">
        <f>F27*$C$21</f>
        <v>90971.29161281094</v>
      </c>
      <c r="H27" s="242">
        <f>H13*$D$21</f>
        <v>72394.09631571772</v>
      </c>
      <c r="I27" s="243">
        <f>(G27-H27)/I13</f>
        <v>37.209227084523384</v>
      </c>
      <c r="J27" s="132"/>
      <c r="K27" s="132"/>
    </row>
    <row r="28" spans="1:11" ht="12.75">
      <c r="A28" s="146" t="s">
        <v>43</v>
      </c>
      <c r="B28" s="241">
        <f>D28*2.5</f>
        <v>256686.5081815172</v>
      </c>
      <c r="C28" s="242">
        <f>B28*$C$21</f>
        <v>77413.28437728471</v>
      </c>
      <c r="D28" s="242">
        <f>D14*$D$21</f>
        <v>102674.60327260688</v>
      </c>
      <c r="E28" s="243">
        <f>(C28-D28)/E14</f>
        <v>-35.67521846626711</v>
      </c>
      <c r="F28" s="241">
        <f>B28</f>
        <v>256686.5081815172</v>
      </c>
      <c r="G28" s="242">
        <f>F28*$C$21</f>
        <v>77413.28437728471</v>
      </c>
      <c r="H28" s="242">
        <f>H14*$D$21</f>
        <v>61604.761963564124</v>
      </c>
      <c r="I28" s="243">
        <f>(G28-H28)/I14</f>
        <v>37.209227084523384</v>
      </c>
      <c r="J28" s="132"/>
      <c r="K28" s="132"/>
    </row>
    <row r="29" spans="1:11" ht="12.75">
      <c r="A29" s="146" t="s">
        <v>44</v>
      </c>
      <c r="B29" s="241">
        <f>D29*2.5</f>
        <v>505675.46206297155</v>
      </c>
      <c r="C29" s="242">
        <f>B29*$C$21</f>
        <v>152505.08733249575</v>
      </c>
      <c r="D29" s="242">
        <f>D15*$D$21</f>
        <v>202270.18482518863</v>
      </c>
      <c r="E29" s="243">
        <f>(C29-D29)/E15</f>
        <v>-35.67521846626711</v>
      </c>
      <c r="F29" s="241">
        <f>B29</f>
        <v>505675.46206297155</v>
      </c>
      <c r="G29" s="242">
        <f>F29*$C$21</f>
        <v>152505.08733249575</v>
      </c>
      <c r="H29" s="242">
        <f>H15*$D$21</f>
        <v>121362.11089511316</v>
      </c>
      <c r="I29" s="243">
        <f>(G29-H29)/I15</f>
        <v>37.20922708452339</v>
      </c>
      <c r="J29" s="132"/>
      <c r="K29" s="132"/>
    </row>
    <row r="30" spans="1:11" ht="13.5" thickBot="1">
      <c r="A30" s="149" t="s">
        <v>46</v>
      </c>
      <c r="B30" s="244">
        <f>D30*2.5</f>
        <v>2177197.744620328</v>
      </c>
      <c r="C30" s="245">
        <f>B30*$C$21</f>
        <v>656614.2854329124</v>
      </c>
      <c r="D30" s="245">
        <f>D16*$D$21</f>
        <v>870879.0978481311</v>
      </c>
      <c r="E30" s="246">
        <f>(C30-D30)/E16</f>
        <v>-35.675218466267104</v>
      </c>
      <c r="F30" s="244">
        <f>B30</f>
        <v>2177197.744620328</v>
      </c>
      <c r="G30" s="245">
        <f>F30*$C$21</f>
        <v>656614.2854329124</v>
      </c>
      <c r="H30" s="245">
        <f>H16*$D$21</f>
        <v>522527.45870887866</v>
      </c>
      <c r="I30" s="246">
        <f>(G30-H30)/I16</f>
        <v>37.209227084523384</v>
      </c>
      <c r="J30" s="132"/>
      <c r="K30" s="132"/>
    </row>
    <row r="31" spans="1:11" ht="13.5" thickBot="1">
      <c r="A31" s="154" t="s">
        <v>50</v>
      </c>
      <c r="B31" s="247"/>
      <c r="C31" s="248">
        <f>SUM(C26:C30)</f>
        <v>2009557.423370681</v>
      </c>
      <c r="D31" s="248">
        <f>SUM(D26:D30)</f>
        <v>2665311.4237154117</v>
      </c>
      <c r="E31" s="249"/>
      <c r="F31" s="247"/>
      <c r="G31" s="248">
        <f>SUM(G26:G30)</f>
        <v>2009557.423370681</v>
      </c>
      <c r="H31" s="248">
        <f>SUM(H26:H30)</f>
        <v>1599186.8542292467</v>
      </c>
      <c r="I31" s="249"/>
      <c r="J31" s="132"/>
      <c r="K31" s="132"/>
    </row>
    <row r="32" spans="1:8" ht="12.75">
      <c r="A32" s="132"/>
      <c r="B32" s="168"/>
      <c r="C32" s="168"/>
      <c r="D32" s="168"/>
      <c r="E32" s="168"/>
      <c r="H32" s="157"/>
    </row>
    <row r="33" spans="1:9" ht="12.75">
      <c r="A33" s="132"/>
      <c r="B33" s="168"/>
      <c r="C33" s="168"/>
      <c r="D33" s="168"/>
      <c r="E33" s="168"/>
      <c r="I33" s="157"/>
    </row>
    <row r="34" ht="12.75">
      <c r="K34" s="368"/>
    </row>
    <row r="37" spans="1:6" ht="12.75">
      <c r="A37" s="169"/>
      <c r="F37" s="169"/>
    </row>
    <row r="44" spans="1:11" ht="12.75">
      <c r="A44" s="132"/>
      <c r="B44" s="132"/>
      <c r="C44" s="132"/>
      <c r="E44" s="132"/>
      <c r="F44" s="132"/>
      <c r="G44" s="132"/>
      <c r="H44" s="132"/>
      <c r="I44" s="132"/>
      <c r="J44" s="132"/>
      <c r="K44" s="132"/>
    </row>
    <row r="45" spans="1:11" ht="12.75">
      <c r="A45" s="132"/>
      <c r="B45" s="132"/>
      <c r="C45" s="132"/>
      <c r="E45" s="132"/>
      <c r="F45" s="505"/>
      <c r="G45" s="505"/>
      <c r="H45" s="505"/>
      <c r="I45" s="505"/>
      <c r="J45" s="505"/>
      <c r="K45" s="132"/>
    </row>
    <row r="46" spans="1:11" ht="12.75">
      <c r="A46" s="132"/>
      <c r="B46" s="132"/>
      <c r="C46" s="132"/>
      <c r="E46" s="132"/>
      <c r="F46" s="132"/>
      <c r="G46" s="170"/>
      <c r="H46" s="132"/>
      <c r="I46" s="132"/>
      <c r="J46" s="132"/>
      <c r="K46" s="132"/>
    </row>
    <row r="47" spans="1:11" ht="12.75">
      <c r="A47" s="132"/>
      <c r="B47" s="132"/>
      <c r="C47" s="132"/>
      <c r="E47" s="132"/>
      <c r="F47" s="132"/>
      <c r="G47" s="171"/>
      <c r="H47" s="171"/>
      <c r="I47" s="171"/>
      <c r="J47" s="171"/>
      <c r="K47" s="132"/>
    </row>
    <row r="48" spans="1:11" ht="12.75">
      <c r="A48" s="132"/>
      <c r="B48" s="132"/>
      <c r="C48" s="132"/>
      <c r="E48" s="132"/>
      <c r="F48" s="132"/>
      <c r="G48" s="171"/>
      <c r="H48" s="171"/>
      <c r="I48" s="171"/>
      <c r="J48" s="171"/>
      <c r="K48" s="132"/>
    </row>
    <row r="49" spans="1:11" ht="12.75">
      <c r="A49" s="132"/>
      <c r="B49" s="132"/>
      <c r="C49" s="132"/>
      <c r="E49" s="132"/>
      <c r="F49" s="132"/>
      <c r="G49" s="171"/>
      <c r="H49" s="171"/>
      <c r="I49" s="171"/>
      <c r="J49" s="171"/>
      <c r="K49" s="132"/>
    </row>
    <row r="50" spans="1:11" ht="12.75">
      <c r="A50" s="132"/>
      <c r="B50" s="132"/>
      <c r="C50" s="132"/>
      <c r="E50" s="132"/>
      <c r="F50" s="132"/>
      <c r="G50" s="171"/>
      <c r="H50" s="171"/>
      <c r="I50" s="171"/>
      <c r="J50" s="171"/>
      <c r="K50" s="132"/>
    </row>
    <row r="51" spans="5:11" ht="12.75">
      <c r="E51" s="132"/>
      <c r="F51" s="132"/>
      <c r="G51" s="171"/>
      <c r="H51" s="171"/>
      <c r="I51" s="171"/>
      <c r="J51" s="171"/>
      <c r="K51" s="132"/>
    </row>
    <row r="52" spans="5:11" ht="12.75">
      <c r="E52" s="132"/>
      <c r="F52" s="172"/>
      <c r="G52" s="132"/>
      <c r="H52" s="166"/>
      <c r="I52" s="166"/>
      <c r="J52" s="132"/>
      <c r="K52" s="132"/>
    </row>
    <row r="53" spans="5:11" ht="12.75">
      <c r="E53" s="132"/>
      <c r="F53" s="132"/>
      <c r="G53" s="132"/>
      <c r="H53" s="132"/>
      <c r="I53" s="132"/>
      <c r="J53" s="132"/>
      <c r="K53" s="132"/>
    </row>
    <row r="54" spans="5:11" ht="12.75">
      <c r="E54" s="132"/>
      <c r="F54" s="505"/>
      <c r="G54" s="505"/>
      <c r="H54" s="505"/>
      <c r="I54" s="505"/>
      <c r="J54" s="505"/>
      <c r="K54" s="132"/>
    </row>
    <row r="55" spans="5:11" ht="12.75">
      <c r="E55" s="132"/>
      <c r="F55" s="132"/>
      <c r="G55" s="170"/>
      <c r="H55" s="132"/>
      <c r="I55" s="132"/>
      <c r="J55" s="132"/>
      <c r="K55" s="132"/>
    </row>
    <row r="56" spans="5:11" ht="12.75">
      <c r="E56" s="132"/>
      <c r="F56" s="132"/>
      <c r="G56" s="171"/>
      <c r="H56" s="171"/>
      <c r="I56" s="171"/>
      <c r="J56" s="171"/>
      <c r="K56" s="132"/>
    </row>
    <row r="57" spans="5:11" ht="12.75">
      <c r="E57" s="132"/>
      <c r="F57" s="132"/>
      <c r="G57" s="171"/>
      <c r="H57" s="171"/>
      <c r="I57" s="171"/>
      <c r="J57" s="171"/>
      <c r="K57" s="132"/>
    </row>
    <row r="58" spans="5:11" ht="12.75">
      <c r="E58" s="132"/>
      <c r="F58" s="132"/>
      <c r="G58" s="171"/>
      <c r="H58" s="171"/>
      <c r="I58" s="171"/>
      <c r="J58" s="171"/>
      <c r="K58" s="132"/>
    </row>
    <row r="59" spans="5:11" ht="12.75">
      <c r="E59" s="132"/>
      <c r="F59" s="132"/>
      <c r="G59" s="171"/>
      <c r="H59" s="171"/>
      <c r="I59" s="171"/>
      <c r="J59" s="171"/>
      <c r="K59" s="132"/>
    </row>
    <row r="60" spans="5:11" ht="12.75">
      <c r="E60" s="132"/>
      <c r="F60" s="132"/>
      <c r="G60" s="171"/>
      <c r="H60" s="171"/>
      <c r="I60" s="171"/>
      <c r="J60" s="171"/>
      <c r="K60" s="132"/>
    </row>
    <row r="61" spans="5:11" ht="12.75">
      <c r="E61" s="132"/>
      <c r="F61" s="132"/>
      <c r="G61" s="132"/>
      <c r="H61" s="166"/>
      <c r="I61" s="166"/>
      <c r="J61" s="132"/>
      <c r="K61" s="132"/>
    </row>
    <row r="62" spans="5:11" ht="12.75">
      <c r="E62" s="132"/>
      <c r="F62" s="132"/>
      <c r="G62" s="132"/>
      <c r="H62" s="132"/>
      <c r="I62" s="132"/>
      <c r="J62" s="132"/>
      <c r="K62" s="132"/>
    </row>
    <row r="63" spans="5:11" ht="12.75">
      <c r="E63" s="132"/>
      <c r="F63" s="132"/>
      <c r="G63" s="132"/>
      <c r="H63" s="132"/>
      <c r="I63" s="132"/>
      <c r="J63" s="132"/>
      <c r="K63" s="132"/>
    </row>
    <row r="64" spans="5:11" ht="12.75">
      <c r="E64" s="132"/>
      <c r="F64" s="132"/>
      <c r="G64" s="132"/>
      <c r="H64" s="132"/>
      <c r="I64" s="132"/>
      <c r="J64" s="132"/>
      <c r="K64" s="132"/>
    </row>
    <row r="65" spans="5:11" ht="12.75">
      <c r="E65" s="132"/>
      <c r="F65" s="132"/>
      <c r="G65" s="132"/>
      <c r="H65" s="132"/>
      <c r="I65" s="132"/>
      <c r="J65" s="132"/>
      <c r="K65" s="132"/>
    </row>
  </sheetData>
  <sheetProtection/>
  <mergeCells count="11">
    <mergeCell ref="F10:I10"/>
    <mergeCell ref="A24:A25"/>
    <mergeCell ref="A10:A11"/>
    <mergeCell ref="A1:A2"/>
    <mergeCell ref="B1:B2"/>
    <mergeCell ref="C1:D1"/>
    <mergeCell ref="F54:J54"/>
    <mergeCell ref="F45:J45"/>
    <mergeCell ref="F24:I24"/>
    <mergeCell ref="B24:E24"/>
    <mergeCell ref="B10:E10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0" sqref="A10:A11"/>
    </sheetView>
  </sheetViews>
  <sheetFormatPr defaultColWidth="9.140625" defaultRowHeight="12.75"/>
  <cols>
    <col min="1" max="1" width="14.8515625" style="46" customWidth="1"/>
    <col min="2" max="2" width="13.8515625" style="46" bestFit="1" customWidth="1"/>
    <col min="3" max="3" width="14.00390625" style="46" customWidth="1"/>
    <col min="4" max="4" width="20.7109375" style="46" customWidth="1"/>
    <col min="5" max="5" width="19.140625" style="46" customWidth="1"/>
    <col min="6" max="14" width="11.7109375" style="46" customWidth="1"/>
    <col min="15" max="16384" width="9.140625" style="46" customWidth="1"/>
  </cols>
  <sheetData>
    <row r="1" spans="1:6" ht="13.5" thickBot="1">
      <c r="A1" s="486" t="s">
        <v>38</v>
      </c>
      <c r="B1" s="513" t="s">
        <v>117</v>
      </c>
      <c r="C1" s="503" t="s">
        <v>80</v>
      </c>
      <c r="D1" s="504"/>
      <c r="E1" s="132"/>
      <c r="F1" s="132"/>
    </row>
    <row r="2" spans="1:11" ht="41.25" thickBot="1">
      <c r="A2" s="494"/>
      <c r="B2" s="514"/>
      <c r="C2" s="89" t="s">
        <v>86</v>
      </c>
      <c r="D2" s="91" t="s">
        <v>114</v>
      </c>
      <c r="J2" s="157"/>
      <c r="K2" s="157"/>
    </row>
    <row r="3" spans="1:11" ht="12.75">
      <c r="A3" s="185" t="s">
        <v>40</v>
      </c>
      <c r="B3" s="216">
        <v>0.33708609271523177</v>
      </c>
      <c r="C3" s="135">
        <v>35006223.792814</v>
      </c>
      <c r="D3" s="136">
        <f>C3/$E$21*B3</f>
        <v>222643607.5289557</v>
      </c>
      <c r="J3" s="157"/>
      <c r="K3" s="157"/>
    </row>
    <row r="4" spans="1:11" ht="12.75">
      <c r="A4" s="191" t="s">
        <v>41</v>
      </c>
      <c r="B4" s="217">
        <v>0.6392467789890981</v>
      </c>
      <c r="C4" s="138">
        <v>1627120.48246</v>
      </c>
      <c r="D4" s="139">
        <f>C4/$E$21*B4</f>
        <v>19625123.15924042</v>
      </c>
      <c r="J4" s="157"/>
      <c r="K4" s="157"/>
    </row>
    <row r="5" spans="1:11" ht="12.75">
      <c r="A5" s="191" t="s">
        <v>43</v>
      </c>
      <c r="B5" s="217">
        <v>0.7413793103448276</v>
      </c>
      <c r="C5" s="138">
        <v>1193875.2005919998</v>
      </c>
      <c r="D5" s="139">
        <f>C5/$E$21*B5</f>
        <v>16700271.185899803</v>
      </c>
      <c r="J5" s="157"/>
      <c r="K5" s="157"/>
    </row>
    <row r="6" spans="1:11" ht="12.75">
      <c r="A6" s="191" t="s">
        <v>44</v>
      </c>
      <c r="B6" s="217">
        <v>0.6818369880016549</v>
      </c>
      <c r="C6" s="138">
        <v>2557335.3031380004</v>
      </c>
      <c r="D6" s="139">
        <f>C6/$E$21*B6</f>
        <v>32899732.08305497</v>
      </c>
      <c r="J6" s="157"/>
      <c r="K6" s="157"/>
    </row>
    <row r="7" spans="1:4" ht="13.5" thickBot="1">
      <c r="A7" s="194" t="s">
        <v>46</v>
      </c>
      <c r="B7" s="218">
        <v>0.7</v>
      </c>
      <c r="C7" s="140">
        <v>10724972.485242998</v>
      </c>
      <c r="D7" s="141">
        <f>C7/$E$21*B7</f>
        <v>141650579.99377546</v>
      </c>
    </row>
    <row r="9" ht="13.5" thickBot="1"/>
    <row r="10" spans="1:10" ht="13.5" thickBot="1">
      <c r="A10" s="486" t="s">
        <v>38</v>
      </c>
      <c r="B10" s="510" t="s">
        <v>72</v>
      </c>
      <c r="C10" s="507"/>
      <c r="D10" s="507"/>
      <c r="E10" s="511"/>
      <c r="F10" s="512" t="s">
        <v>73</v>
      </c>
      <c r="G10" s="507"/>
      <c r="H10" s="507"/>
      <c r="I10" s="508"/>
      <c r="J10" s="132"/>
    </row>
    <row r="11" spans="1:9" ht="42" thickBot="1">
      <c r="A11" s="500"/>
      <c r="B11" s="95" t="s">
        <v>96</v>
      </c>
      <c r="C11" s="94" t="s">
        <v>109</v>
      </c>
      <c r="D11" s="90" t="s">
        <v>100</v>
      </c>
      <c r="E11" s="215" t="s">
        <v>101</v>
      </c>
      <c r="F11" s="89" t="s">
        <v>96</v>
      </c>
      <c r="G11" s="94" t="s">
        <v>109</v>
      </c>
      <c r="H11" s="90" t="s">
        <v>100</v>
      </c>
      <c r="I11" s="91" t="s">
        <v>101</v>
      </c>
    </row>
    <row r="12" spans="1:9" ht="12.75">
      <c r="A12" s="214" t="s">
        <v>40</v>
      </c>
      <c r="B12" s="211">
        <v>0.041</v>
      </c>
      <c r="C12" s="145">
        <v>0.025</v>
      </c>
      <c r="D12" s="135">
        <f>D3*B12*C12</f>
        <v>228209.6977171796</v>
      </c>
      <c r="E12" s="202">
        <f>D12*$E$21</f>
        <v>12095.113979010519</v>
      </c>
      <c r="F12" s="357">
        <f>B12*1.2</f>
        <v>0.0492</v>
      </c>
      <c r="G12" s="145">
        <f>C12/2</f>
        <v>0.0125</v>
      </c>
      <c r="H12" s="135">
        <f>G12*F12*D3</f>
        <v>136925.81863030777</v>
      </c>
      <c r="I12" s="136">
        <f>H12*$E$21</f>
        <v>7257.068387406312</v>
      </c>
    </row>
    <row r="13" spans="1:9" ht="12.75">
      <c r="A13" s="191" t="s">
        <v>41</v>
      </c>
      <c r="B13" s="212">
        <v>0.064</v>
      </c>
      <c r="C13" s="148">
        <v>0.025</v>
      </c>
      <c r="D13" s="138">
        <f>D4*B13*C13</f>
        <v>31400.197054784676</v>
      </c>
      <c r="E13" s="203">
        <f>D13*$E$21</f>
        <v>1664.2104439035877</v>
      </c>
      <c r="F13" s="358">
        <f>B13*1.2</f>
        <v>0.0768</v>
      </c>
      <c r="G13" s="148">
        <f>C13/2</f>
        <v>0.0125</v>
      </c>
      <c r="H13" s="138">
        <f>G13*F13*D4</f>
        <v>18840.118232870802</v>
      </c>
      <c r="I13" s="139">
        <f>H13*$E$21</f>
        <v>998.5262663421524</v>
      </c>
    </row>
    <row r="14" spans="1:9" ht="12.75">
      <c r="A14" s="191" t="s">
        <v>43</v>
      </c>
      <c r="B14" s="212">
        <v>0.064</v>
      </c>
      <c r="C14" s="148">
        <v>0.025</v>
      </c>
      <c r="D14" s="138">
        <f>D5*B14*C14</f>
        <v>26720.43389743969</v>
      </c>
      <c r="E14" s="203">
        <f>D14*$E$21</f>
        <v>1416.1829965643035</v>
      </c>
      <c r="F14" s="358">
        <f>B14*1.2</f>
        <v>0.0768</v>
      </c>
      <c r="G14" s="148">
        <f>C14/2</f>
        <v>0.0125</v>
      </c>
      <c r="H14" s="138">
        <f>G14*F14*D5</f>
        <v>16032.26033846381</v>
      </c>
      <c r="I14" s="139">
        <f>H14*$E$21</f>
        <v>849.7097979385819</v>
      </c>
    </row>
    <row r="15" spans="1:9" ht="12.75">
      <c r="A15" s="191" t="s">
        <v>44</v>
      </c>
      <c r="B15" s="212">
        <v>0.041</v>
      </c>
      <c r="C15" s="148">
        <v>0.025</v>
      </c>
      <c r="D15" s="138">
        <f>D6*B15*C15</f>
        <v>33722.22538513135</v>
      </c>
      <c r="E15" s="203">
        <f>D15*$E$21</f>
        <v>1787.2779454119616</v>
      </c>
      <c r="F15" s="358">
        <f>B15*1.2</f>
        <v>0.0492</v>
      </c>
      <c r="G15" s="148">
        <f>C15/2</f>
        <v>0.0125</v>
      </c>
      <c r="H15" s="138">
        <f>G15*F15*D6</f>
        <v>20233.33523107881</v>
      </c>
      <c r="I15" s="139">
        <f>H15*$E$21</f>
        <v>1072.366767247177</v>
      </c>
    </row>
    <row r="16" spans="1:9" ht="13.5" thickBot="1">
      <c r="A16" s="200" t="s">
        <v>46</v>
      </c>
      <c r="B16" s="213">
        <v>0.061</v>
      </c>
      <c r="C16" s="151">
        <v>0.025</v>
      </c>
      <c r="D16" s="152">
        <f>D7*B16*C16</f>
        <v>216017.13449050757</v>
      </c>
      <c r="E16" s="204">
        <f>D16*$E$21</f>
        <v>11448.908127996901</v>
      </c>
      <c r="F16" s="359">
        <f>B16*1.2</f>
        <v>0.0732</v>
      </c>
      <c r="G16" s="151">
        <f>C16/2</f>
        <v>0.0125</v>
      </c>
      <c r="H16" s="152">
        <f>G16*F16*D7</f>
        <v>129610.28069430454</v>
      </c>
      <c r="I16" s="153">
        <f>H16*$E$21</f>
        <v>6869.344876798141</v>
      </c>
    </row>
    <row r="17" spans="1:9" ht="13.5" thickBot="1">
      <c r="A17" s="197" t="s">
        <v>50</v>
      </c>
      <c r="B17" s="201"/>
      <c r="C17" s="142"/>
      <c r="D17" s="155">
        <f>SUM(D12:D16)</f>
        <v>536069.6885450429</v>
      </c>
      <c r="E17" s="205">
        <f>SUM(E12:E16)</f>
        <v>28411.693492887272</v>
      </c>
      <c r="F17" s="133"/>
      <c r="G17" s="142"/>
      <c r="H17" s="155">
        <f>SUM(H12:H16)</f>
        <v>321641.8131270257</v>
      </c>
      <c r="I17" s="156">
        <f>SUM(I12:I16)</f>
        <v>17047.01609573236</v>
      </c>
    </row>
    <row r="19" ht="13.5" thickBot="1"/>
    <row r="20" spans="1:6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104</v>
      </c>
      <c r="F20" s="91" t="s">
        <v>32</v>
      </c>
    </row>
    <row r="21" spans="1:6" ht="13.5" thickBot="1">
      <c r="A21" s="158">
        <v>0.3</v>
      </c>
      <c r="B21" s="159">
        <v>20</v>
      </c>
      <c r="C21" s="160">
        <f>A21/(1-1/(1+A21)^B21)</f>
        <v>0.30158688481804236</v>
      </c>
      <c r="D21" s="321">
        <v>7.6851</v>
      </c>
      <c r="E21" s="160">
        <f>5.3*10^(-2)</f>
        <v>0.053</v>
      </c>
      <c r="F21" s="161">
        <v>8760</v>
      </c>
    </row>
    <row r="22" spans="1:4" ht="12.75">
      <c r="A22" s="162"/>
      <c r="B22" s="163"/>
      <c r="C22" s="164"/>
      <c r="D22" s="165"/>
    </row>
    <row r="23" spans="1:4" ht="13.5" thickBot="1">
      <c r="A23" s="162"/>
      <c r="B23" s="163"/>
      <c r="C23" s="164"/>
      <c r="D23" s="165"/>
    </row>
    <row r="24" spans="1:11" ht="13.5" thickBot="1">
      <c r="A24" s="486" t="s">
        <v>38</v>
      </c>
      <c r="B24" s="503" t="s">
        <v>72</v>
      </c>
      <c r="C24" s="509"/>
      <c r="D24" s="509"/>
      <c r="E24" s="504"/>
      <c r="F24" s="503" t="s">
        <v>73</v>
      </c>
      <c r="G24" s="509"/>
      <c r="H24" s="509"/>
      <c r="I24" s="504"/>
      <c r="J24" s="132"/>
      <c r="K24" s="132"/>
    </row>
    <row r="25" spans="1:11" ht="42" thickBot="1">
      <c r="A25" s="500"/>
      <c r="B25" s="113" t="s">
        <v>74</v>
      </c>
      <c r="C25" s="114" t="s">
        <v>10</v>
      </c>
      <c r="D25" s="114" t="s">
        <v>11</v>
      </c>
      <c r="E25" s="115" t="s">
        <v>105</v>
      </c>
      <c r="F25" s="113" t="s">
        <v>74</v>
      </c>
      <c r="G25" s="114" t="s">
        <v>10</v>
      </c>
      <c r="H25" s="114" t="s">
        <v>11</v>
      </c>
      <c r="I25" s="115" t="s">
        <v>105</v>
      </c>
      <c r="J25" s="132"/>
      <c r="K25" s="132"/>
    </row>
    <row r="26" spans="1:11" ht="12.75">
      <c r="A26" s="143" t="s">
        <v>40</v>
      </c>
      <c r="B26" s="238">
        <f>D26/2</f>
        <v>876907.1739631485</v>
      </c>
      <c r="C26" s="239">
        <f>B26*$C$21</f>
        <v>264463.7028701391</v>
      </c>
      <c r="D26" s="239">
        <f>D12*$D$21</f>
        <v>1753814.347926297</v>
      </c>
      <c r="E26" s="240">
        <f>(C26-D26)/E12</f>
        <v>-123.13655312721568</v>
      </c>
      <c r="F26" s="238">
        <f>B26</f>
        <v>876907.1739631485</v>
      </c>
      <c r="G26" s="239">
        <f>F26*$C$21</f>
        <v>264463.7028701391</v>
      </c>
      <c r="H26" s="239">
        <f>H12*$D$21</f>
        <v>1052288.6087557783</v>
      </c>
      <c r="I26" s="240">
        <f>(G26-H26)/I12</f>
        <v>-108.5596640170576</v>
      </c>
      <c r="J26" s="132"/>
      <c r="K26" s="132"/>
    </row>
    <row r="27" spans="1:11" ht="12.75">
      <c r="A27" s="146" t="s">
        <v>41</v>
      </c>
      <c r="B27" s="241">
        <f>D27/2</f>
        <v>120656.82719286287</v>
      </c>
      <c r="C27" s="242">
        <f>B27*$C$21</f>
        <v>36388.51664512437</v>
      </c>
      <c r="D27" s="242">
        <f>D13*$D$21</f>
        <v>241313.65438572573</v>
      </c>
      <c r="E27" s="243">
        <f>(C27-D27)/E13</f>
        <v>-123.13655312721572</v>
      </c>
      <c r="F27" s="241">
        <f>B27</f>
        <v>120656.82719286287</v>
      </c>
      <c r="G27" s="242">
        <f>F27*$C$21</f>
        <v>36388.51664512437</v>
      </c>
      <c r="H27" s="242">
        <f>H13*$D$21</f>
        <v>144788.1926314354</v>
      </c>
      <c r="I27" s="243">
        <f>(G27-H27)/I13</f>
        <v>-108.5596640170576</v>
      </c>
      <c r="J27" s="132"/>
      <c r="K27" s="132"/>
    </row>
    <row r="28" spans="1:11" ht="12.75">
      <c r="A28" s="146" t="s">
        <v>43</v>
      </c>
      <c r="B28" s="241">
        <f>D28/2</f>
        <v>102674.60327260688</v>
      </c>
      <c r="C28" s="242">
        <f>B28*$C$21</f>
        <v>30965.313750913887</v>
      </c>
      <c r="D28" s="242">
        <f>D14*$D$21</f>
        <v>205349.20654521376</v>
      </c>
      <c r="E28" s="243">
        <f>(C28-D28)/E14</f>
        <v>-123.13655312721569</v>
      </c>
      <c r="F28" s="241">
        <f>B28</f>
        <v>102674.60327260688</v>
      </c>
      <c r="G28" s="242">
        <f>F28*$C$21</f>
        <v>30965.313750913887</v>
      </c>
      <c r="H28" s="242">
        <f>H14*$D$21</f>
        <v>123209.52392712823</v>
      </c>
      <c r="I28" s="243">
        <f>(G28-H28)/I14</f>
        <v>-108.55966401705759</v>
      </c>
      <c r="J28" s="132"/>
      <c r="K28" s="132"/>
    </row>
    <row r="29" spans="1:11" ht="12.75">
      <c r="A29" s="146" t="s">
        <v>44</v>
      </c>
      <c r="B29" s="241">
        <f>D29/2</f>
        <v>129579.33715363647</v>
      </c>
      <c r="C29" s="242">
        <f>B29*$C$21</f>
        <v>39079.42862895204</v>
      </c>
      <c r="D29" s="242">
        <f>D15*$D$21</f>
        <v>259158.67430727294</v>
      </c>
      <c r="E29" s="243">
        <f>(C29-D29)/E15</f>
        <v>-123.13655312721569</v>
      </c>
      <c r="F29" s="241">
        <f>B29</f>
        <v>129579.33715363647</v>
      </c>
      <c r="G29" s="242">
        <f>F29*$C$21</f>
        <v>39079.42862895204</v>
      </c>
      <c r="H29" s="242">
        <f>H15*$D$21</f>
        <v>155495.20458436376</v>
      </c>
      <c r="I29" s="243">
        <f>(G29-H29)/I15</f>
        <v>-108.55966401705759</v>
      </c>
      <c r="J29" s="132"/>
      <c r="K29" s="132"/>
    </row>
    <row r="30" spans="1:11" ht="13.5" thickBot="1">
      <c r="A30" s="149" t="s">
        <v>46</v>
      </c>
      <c r="B30" s="244">
        <f>D30/2</f>
        <v>830056.6401364999</v>
      </c>
      <c r="C30" s="245">
        <f>B30*$C$21</f>
        <v>250334.19632129782</v>
      </c>
      <c r="D30" s="245">
        <f>D16*$D$21</f>
        <v>1660113.2802729998</v>
      </c>
      <c r="E30" s="246">
        <f>(C30-D30)/E16</f>
        <v>-123.13655312721568</v>
      </c>
      <c r="F30" s="244">
        <f>B30</f>
        <v>830056.6401364999</v>
      </c>
      <c r="G30" s="245">
        <f>F30*$C$21</f>
        <v>250334.19632129782</v>
      </c>
      <c r="H30" s="245">
        <f>H16*$D$21</f>
        <v>996067.9681637998</v>
      </c>
      <c r="I30" s="246">
        <f>(G30-H30)/I16</f>
        <v>-108.5596640170576</v>
      </c>
      <c r="J30" s="132"/>
      <c r="K30" s="132"/>
    </row>
    <row r="31" spans="1:11" ht="13.5" thickBot="1">
      <c r="A31" s="154" t="s">
        <v>50</v>
      </c>
      <c r="B31" s="247"/>
      <c r="C31" s="248">
        <f>SUM(C26:C30)</f>
        <v>621231.1582164272</v>
      </c>
      <c r="D31" s="248">
        <f>SUM(D26:D30)</f>
        <v>4119749.163437509</v>
      </c>
      <c r="E31" s="249"/>
      <c r="F31" s="247"/>
      <c r="G31" s="248">
        <f>SUM(G26:G30)</f>
        <v>621231.1582164272</v>
      </c>
      <c r="H31" s="248">
        <f>SUM(H26:H30)</f>
        <v>2471849.4980625054</v>
      </c>
      <c r="I31" s="249"/>
      <c r="J31" s="132"/>
      <c r="K31" s="132"/>
    </row>
    <row r="32" spans="3:13" ht="12.75">
      <c r="C32" s="132"/>
      <c r="D32" s="168"/>
      <c r="E32" s="168"/>
      <c r="F32" s="168"/>
      <c r="G32" s="168"/>
      <c r="H32" s="132"/>
      <c r="I32" s="132"/>
      <c r="J32" s="132"/>
      <c r="K32" s="132"/>
      <c r="L32" s="132"/>
      <c r="M32" s="132"/>
    </row>
    <row r="33" spans="3:14" ht="12.75">
      <c r="C33" s="132"/>
      <c r="D33" s="168"/>
      <c r="E33" s="168"/>
      <c r="F33" s="168"/>
      <c r="G33" s="168"/>
      <c r="H33" s="132"/>
      <c r="I33" s="132"/>
      <c r="J33" s="132"/>
      <c r="K33" s="132"/>
      <c r="L33" s="132"/>
      <c r="M33" s="132"/>
      <c r="N33" s="132"/>
    </row>
    <row r="37" spans="2:7" ht="12.75">
      <c r="B37" s="169"/>
      <c r="G37" s="169"/>
    </row>
    <row r="40" spans="3:12" ht="12.75">
      <c r="C40" s="132"/>
      <c r="D40" s="132"/>
      <c r="E40" s="132"/>
      <c r="F40" s="132"/>
      <c r="G40" s="132"/>
      <c r="H40" s="132"/>
      <c r="I40" s="132"/>
      <c r="J40" s="132"/>
      <c r="K40" s="132"/>
      <c r="L40" s="132"/>
    </row>
    <row r="41" spans="3:12" ht="12.75">
      <c r="C41" s="132"/>
      <c r="D41" s="132"/>
      <c r="E41" s="132"/>
      <c r="F41" s="132"/>
      <c r="G41" s="132"/>
      <c r="H41" s="132"/>
      <c r="I41" s="132"/>
      <c r="J41" s="132"/>
      <c r="K41" s="132"/>
      <c r="L41" s="132"/>
    </row>
    <row r="42" spans="3:12" ht="12.75">
      <c r="C42" s="132"/>
      <c r="D42" s="132"/>
      <c r="E42" s="132"/>
      <c r="F42" s="132"/>
      <c r="G42" s="132"/>
      <c r="H42" s="132"/>
      <c r="I42" s="132"/>
      <c r="J42" s="132"/>
      <c r="K42" s="132"/>
      <c r="L42" s="132"/>
    </row>
    <row r="43" spans="3:12" ht="12.75">
      <c r="C43" s="132"/>
      <c r="D43" s="132"/>
      <c r="E43" s="132"/>
      <c r="F43" s="132"/>
      <c r="G43" s="132"/>
      <c r="H43" s="132"/>
      <c r="I43" s="132"/>
      <c r="J43" s="132"/>
      <c r="K43" s="132"/>
      <c r="L43" s="132"/>
    </row>
    <row r="44" spans="3:12" ht="12.75">
      <c r="C44" s="132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3:12" ht="12.75">
      <c r="C45" s="132"/>
      <c r="D45" s="132"/>
      <c r="E45" s="132"/>
      <c r="F45" s="132"/>
      <c r="G45" s="505"/>
      <c r="H45" s="505"/>
      <c r="I45" s="505"/>
      <c r="J45" s="505"/>
      <c r="K45" s="505"/>
      <c r="L45" s="132"/>
    </row>
    <row r="46" spans="3:12" ht="12.75">
      <c r="C46" s="132"/>
      <c r="D46" s="132"/>
      <c r="E46" s="132"/>
      <c r="F46" s="132"/>
      <c r="G46" s="132"/>
      <c r="H46" s="170"/>
      <c r="I46" s="132"/>
      <c r="J46" s="132"/>
      <c r="K46" s="132"/>
      <c r="L46" s="132"/>
    </row>
    <row r="47" spans="3:12" ht="12.75">
      <c r="C47" s="132"/>
      <c r="D47" s="132"/>
      <c r="E47" s="132"/>
      <c r="F47" s="132"/>
      <c r="G47" s="132"/>
      <c r="H47" s="171"/>
      <c r="I47" s="171"/>
      <c r="J47" s="171"/>
      <c r="K47" s="171"/>
      <c r="L47" s="132"/>
    </row>
    <row r="48" spans="3:12" ht="12.75">
      <c r="C48" s="132"/>
      <c r="D48" s="132"/>
      <c r="E48" s="132"/>
      <c r="F48" s="132"/>
      <c r="G48" s="132"/>
      <c r="H48" s="171"/>
      <c r="I48" s="171"/>
      <c r="J48" s="171"/>
      <c r="K48" s="171"/>
      <c r="L48" s="132"/>
    </row>
    <row r="49" spans="3:12" ht="12.75">
      <c r="C49" s="132"/>
      <c r="D49" s="132"/>
      <c r="E49" s="132"/>
      <c r="F49" s="132"/>
      <c r="G49" s="132"/>
      <c r="H49" s="171"/>
      <c r="I49" s="171"/>
      <c r="J49" s="171"/>
      <c r="K49" s="171"/>
      <c r="L49" s="132"/>
    </row>
    <row r="50" spans="3:12" ht="12.75">
      <c r="C50" s="132"/>
      <c r="D50" s="132"/>
      <c r="E50" s="132"/>
      <c r="F50" s="132"/>
      <c r="G50" s="132"/>
      <c r="H50" s="171"/>
      <c r="I50" s="171"/>
      <c r="J50" s="171"/>
      <c r="K50" s="171"/>
      <c r="L50" s="132"/>
    </row>
    <row r="51" spans="3:12" ht="12.75">
      <c r="C51" s="132"/>
      <c r="D51" s="132"/>
      <c r="E51" s="132"/>
      <c r="F51" s="132"/>
      <c r="G51" s="132"/>
      <c r="H51" s="171"/>
      <c r="I51" s="171"/>
      <c r="J51" s="171"/>
      <c r="K51" s="171"/>
      <c r="L51" s="132"/>
    </row>
    <row r="52" spans="3:12" ht="12.75">
      <c r="C52" s="132"/>
      <c r="D52" s="132"/>
      <c r="E52" s="132"/>
      <c r="F52" s="132"/>
      <c r="G52" s="172"/>
      <c r="H52" s="132"/>
      <c r="I52" s="166"/>
      <c r="J52" s="166"/>
      <c r="K52" s="132"/>
      <c r="L52" s="132"/>
    </row>
    <row r="53" spans="3:12" ht="12.75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3:12" ht="12.75">
      <c r="C54" s="132"/>
      <c r="D54" s="132"/>
      <c r="E54" s="132"/>
      <c r="F54" s="132"/>
      <c r="G54" s="505"/>
      <c r="H54" s="505"/>
      <c r="I54" s="505"/>
      <c r="J54" s="505"/>
      <c r="K54" s="505"/>
      <c r="L54" s="132"/>
    </row>
    <row r="55" spans="3:12" ht="12.75">
      <c r="C55" s="132"/>
      <c r="D55" s="132"/>
      <c r="E55" s="132"/>
      <c r="F55" s="132"/>
      <c r="G55" s="132"/>
      <c r="H55" s="170"/>
      <c r="I55" s="132"/>
      <c r="J55" s="132"/>
      <c r="K55" s="132"/>
      <c r="L55" s="132"/>
    </row>
    <row r="56" spans="3:12" ht="12.75">
      <c r="C56" s="132"/>
      <c r="D56" s="132"/>
      <c r="E56" s="132"/>
      <c r="F56" s="132"/>
      <c r="G56" s="132"/>
      <c r="H56" s="171"/>
      <c r="I56" s="171"/>
      <c r="J56" s="171"/>
      <c r="K56" s="171"/>
      <c r="L56" s="132"/>
    </row>
    <row r="57" spans="3:12" ht="12.75">
      <c r="C57" s="132"/>
      <c r="D57" s="132"/>
      <c r="E57" s="132"/>
      <c r="F57" s="132"/>
      <c r="G57" s="132"/>
      <c r="H57" s="171"/>
      <c r="I57" s="171"/>
      <c r="J57" s="171"/>
      <c r="K57" s="171"/>
      <c r="L57" s="132"/>
    </row>
    <row r="58" spans="3:12" ht="12.75">
      <c r="C58" s="132"/>
      <c r="D58" s="132"/>
      <c r="E58" s="132"/>
      <c r="F58" s="132"/>
      <c r="G58" s="132"/>
      <c r="H58" s="171"/>
      <c r="I58" s="171"/>
      <c r="J58" s="171"/>
      <c r="K58" s="171"/>
      <c r="L58" s="132"/>
    </row>
    <row r="59" spans="3:12" ht="12.75">
      <c r="C59" s="132"/>
      <c r="D59" s="132"/>
      <c r="E59" s="132"/>
      <c r="F59" s="132"/>
      <c r="G59" s="132"/>
      <c r="H59" s="171"/>
      <c r="I59" s="171"/>
      <c r="J59" s="171"/>
      <c r="K59" s="171"/>
      <c r="L59" s="132"/>
    </row>
    <row r="60" spans="3:12" ht="12.75">
      <c r="C60" s="132"/>
      <c r="D60" s="132"/>
      <c r="E60" s="132"/>
      <c r="F60" s="132"/>
      <c r="G60" s="132"/>
      <c r="H60" s="171"/>
      <c r="I60" s="171"/>
      <c r="J60" s="171"/>
      <c r="K60" s="171"/>
      <c r="L60" s="132"/>
    </row>
    <row r="61" spans="3:12" ht="12.75">
      <c r="C61" s="132"/>
      <c r="D61" s="132"/>
      <c r="E61" s="132"/>
      <c r="F61" s="132"/>
      <c r="G61" s="132"/>
      <c r="H61" s="132"/>
      <c r="I61" s="166"/>
      <c r="J61" s="166"/>
      <c r="K61" s="132"/>
      <c r="L61" s="132"/>
    </row>
    <row r="62" spans="3:12" ht="12.75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3:12" ht="12.75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3:12" ht="12.75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t="12.75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t="12.75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t="12.75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t="12.75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t="12.75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t="12.75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t="12.75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</sheetData>
  <sheetProtection/>
  <mergeCells count="11">
    <mergeCell ref="G45:K45"/>
    <mergeCell ref="G54:K54"/>
    <mergeCell ref="F24:I24"/>
    <mergeCell ref="F10:I10"/>
    <mergeCell ref="A10:A11"/>
    <mergeCell ref="A1:A2"/>
    <mergeCell ref="B1:B2"/>
    <mergeCell ref="C1:D1"/>
    <mergeCell ref="B10:E10"/>
    <mergeCell ref="B24:E24"/>
    <mergeCell ref="A24:A25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5.421875" style="46" customWidth="1"/>
    <col min="2" max="2" width="15.00390625" style="46" bestFit="1" customWidth="1"/>
    <col min="3" max="3" width="12.140625" style="46" bestFit="1" customWidth="1"/>
    <col min="4" max="4" width="17.28125" style="46" customWidth="1"/>
    <col min="5" max="5" width="19.28125" style="46" customWidth="1"/>
    <col min="6" max="6" width="14.140625" style="46" customWidth="1"/>
    <col min="7" max="7" width="14.28125" style="46" customWidth="1"/>
    <col min="8" max="8" width="12.140625" style="46" bestFit="1" customWidth="1"/>
    <col min="9" max="14" width="11.7109375" style="46" customWidth="1"/>
    <col min="15" max="16384" width="9.140625" style="46" customWidth="1"/>
  </cols>
  <sheetData>
    <row r="1" spans="1:4" ht="13.5" thickBot="1">
      <c r="A1" s="486" t="s">
        <v>38</v>
      </c>
      <c r="B1" s="513" t="s">
        <v>120</v>
      </c>
      <c r="C1" s="503" t="s">
        <v>80</v>
      </c>
      <c r="D1" s="504"/>
    </row>
    <row r="2" spans="1:11" ht="54" thickBot="1">
      <c r="A2" s="500"/>
      <c r="B2" s="514"/>
      <c r="C2" s="89" t="s">
        <v>86</v>
      </c>
      <c r="D2" s="91" t="s">
        <v>87</v>
      </c>
      <c r="E2" s="163"/>
      <c r="F2" s="163"/>
      <c r="H2" s="163"/>
      <c r="J2" s="157"/>
      <c r="K2" s="157"/>
    </row>
    <row r="3" spans="1:11" ht="12.75">
      <c r="A3" s="143" t="s">
        <v>40</v>
      </c>
      <c r="B3" s="309">
        <v>0.33708609271523177</v>
      </c>
      <c r="C3" s="306">
        <v>35006223.792814</v>
      </c>
      <c r="D3" s="136">
        <f>C3/$E$21*B3</f>
        <v>222643607.5289557</v>
      </c>
      <c r="E3" s="163"/>
      <c r="F3" s="163"/>
      <c r="H3" s="163"/>
      <c r="J3" s="157"/>
      <c r="K3" s="157"/>
    </row>
    <row r="4" spans="1:11" ht="12.75">
      <c r="A4" s="146" t="s">
        <v>41</v>
      </c>
      <c r="B4" s="174">
        <v>0.6392467789890981</v>
      </c>
      <c r="C4" s="307">
        <v>1627120.48246</v>
      </c>
      <c r="D4" s="139">
        <f>C4/$E$21*B4</f>
        <v>19625123.15924042</v>
      </c>
      <c r="E4" s="163"/>
      <c r="F4" s="163"/>
      <c r="H4" s="163"/>
      <c r="J4" s="157"/>
      <c r="K4" s="157"/>
    </row>
    <row r="5" spans="1:11" ht="12.75">
      <c r="A5" s="146" t="s">
        <v>43</v>
      </c>
      <c r="B5" s="174">
        <v>0.7413793103448276</v>
      </c>
      <c r="C5" s="307">
        <v>1193875.2005919998</v>
      </c>
      <c r="D5" s="139">
        <f>C5/$E$21*B5</f>
        <v>16700271.185899803</v>
      </c>
      <c r="E5" s="163"/>
      <c r="F5" s="163"/>
      <c r="H5" s="163"/>
      <c r="J5" s="157"/>
      <c r="K5" s="157"/>
    </row>
    <row r="6" spans="1:11" ht="12.75">
      <c r="A6" s="146" t="s">
        <v>44</v>
      </c>
      <c r="B6" s="174">
        <v>0.6818369880016549</v>
      </c>
      <c r="C6" s="307">
        <v>2557335.3031380004</v>
      </c>
      <c r="D6" s="139">
        <f>C6/$E$21*B6</f>
        <v>32899732.08305497</v>
      </c>
      <c r="E6" s="163"/>
      <c r="F6" s="163"/>
      <c r="H6" s="163"/>
      <c r="J6" s="157"/>
      <c r="K6" s="157"/>
    </row>
    <row r="7" spans="1:4" ht="13.5" thickBot="1">
      <c r="A7" s="251" t="s">
        <v>46</v>
      </c>
      <c r="B7" s="180">
        <v>0.7</v>
      </c>
      <c r="C7" s="308">
        <v>10724972.485242998</v>
      </c>
      <c r="D7" s="141">
        <f>C7/$E$21*B7</f>
        <v>141650579.99377546</v>
      </c>
    </row>
    <row r="8" spans="1:4" ht="12.75">
      <c r="A8" s="132"/>
      <c r="B8" s="206"/>
      <c r="C8" s="166"/>
      <c r="D8" s="166"/>
    </row>
    <row r="9" spans="6:13" ht="13.5" thickBot="1">
      <c r="F9" s="207"/>
      <c r="G9" s="208"/>
      <c r="H9" s="208"/>
      <c r="I9" s="208"/>
      <c r="J9" s="208"/>
      <c r="K9" s="208"/>
      <c r="L9" s="208"/>
      <c r="M9" s="208"/>
    </row>
    <row r="10" spans="1:9" ht="13.5" thickBot="1">
      <c r="A10" s="486" t="s">
        <v>38</v>
      </c>
      <c r="B10" s="510" t="s">
        <v>70</v>
      </c>
      <c r="C10" s="507"/>
      <c r="D10" s="507"/>
      <c r="E10" s="511"/>
      <c r="F10" s="512" t="s">
        <v>71</v>
      </c>
      <c r="G10" s="507"/>
      <c r="H10" s="507"/>
      <c r="I10" s="508"/>
    </row>
    <row r="11" spans="1:9" ht="42" thickBot="1">
      <c r="A11" s="500"/>
      <c r="B11" s="95" t="s">
        <v>96</v>
      </c>
      <c r="C11" s="94" t="s">
        <v>109</v>
      </c>
      <c r="D11" s="90" t="s">
        <v>100</v>
      </c>
      <c r="E11" s="215" t="s">
        <v>101</v>
      </c>
      <c r="F11" s="89" t="s">
        <v>96</v>
      </c>
      <c r="G11" s="94" t="s">
        <v>109</v>
      </c>
      <c r="H11" s="90" t="s">
        <v>100</v>
      </c>
      <c r="I11" s="91" t="s">
        <v>101</v>
      </c>
    </row>
    <row r="12" spans="1:9" ht="12.75">
      <c r="A12" s="214" t="s">
        <v>40</v>
      </c>
      <c r="B12" s="363">
        <v>0.4</v>
      </c>
      <c r="C12" s="145">
        <v>0.035</v>
      </c>
      <c r="D12" s="135">
        <f>D3*B12*C12</f>
        <v>3117010.5054053804</v>
      </c>
      <c r="E12" s="202">
        <f>D12*$E$21</f>
        <v>165201.55678648516</v>
      </c>
      <c r="F12" s="360">
        <v>0.05</v>
      </c>
      <c r="G12" s="145">
        <v>0.075</v>
      </c>
      <c r="H12" s="135">
        <f>G12*F12*D3</f>
        <v>834913.5282335838</v>
      </c>
      <c r="I12" s="136">
        <f>H12*$E$21</f>
        <v>44250.416996379936</v>
      </c>
    </row>
    <row r="13" spans="1:9" ht="12.75">
      <c r="A13" s="191" t="s">
        <v>41</v>
      </c>
      <c r="B13" s="364">
        <v>0.4</v>
      </c>
      <c r="C13" s="148">
        <v>0.035</v>
      </c>
      <c r="D13" s="138">
        <f>D4*B13*C13</f>
        <v>274751.72422936594</v>
      </c>
      <c r="E13" s="203">
        <f>D13*$E$21</f>
        <v>14561.841384156394</v>
      </c>
      <c r="F13" s="193">
        <v>0.05</v>
      </c>
      <c r="G13" s="148">
        <v>0.075</v>
      </c>
      <c r="H13" s="138">
        <f>G13*F13*D4</f>
        <v>73594.21184715157</v>
      </c>
      <c r="I13" s="139">
        <f>H13*$E$21</f>
        <v>3900.493227899033</v>
      </c>
    </row>
    <row r="14" spans="1:9" ht="12.75">
      <c r="A14" s="191" t="s">
        <v>43</v>
      </c>
      <c r="B14" s="364">
        <v>0.4</v>
      </c>
      <c r="C14" s="148">
        <v>0.035</v>
      </c>
      <c r="D14" s="138">
        <f>D5*B14*C14</f>
        <v>233803.7966025973</v>
      </c>
      <c r="E14" s="203">
        <f>D14*$E$21</f>
        <v>12391.601219937656</v>
      </c>
      <c r="F14" s="193">
        <v>0.05</v>
      </c>
      <c r="G14" s="148">
        <v>0.075</v>
      </c>
      <c r="H14" s="138">
        <f>G14*F14*D5</f>
        <v>62626.01694712426</v>
      </c>
      <c r="I14" s="139">
        <f>H14*$E$21</f>
        <v>3319.178898197586</v>
      </c>
    </row>
    <row r="15" spans="1:9" ht="12.75">
      <c r="A15" s="191" t="s">
        <v>44</v>
      </c>
      <c r="B15" s="364">
        <v>0.4</v>
      </c>
      <c r="C15" s="148">
        <v>0.035</v>
      </c>
      <c r="D15" s="138">
        <f>D6*B15*C15</f>
        <v>460596.24916276964</v>
      </c>
      <c r="E15" s="203">
        <f>D15*$E$21</f>
        <v>24411.60120562679</v>
      </c>
      <c r="F15" s="193">
        <v>0.05</v>
      </c>
      <c r="G15" s="148">
        <v>0.075</v>
      </c>
      <c r="H15" s="138">
        <f>G15*F15*D6</f>
        <v>123373.99531145614</v>
      </c>
      <c r="I15" s="139">
        <f>H15*$E$21</f>
        <v>6538.821751507175</v>
      </c>
    </row>
    <row r="16" spans="1:9" ht="13.5" thickBot="1">
      <c r="A16" s="200" t="s">
        <v>46</v>
      </c>
      <c r="B16" s="365">
        <v>0.4</v>
      </c>
      <c r="C16" s="151">
        <v>0.035</v>
      </c>
      <c r="D16" s="152">
        <f>D7*B16*C16</f>
        <v>1983108.1199128567</v>
      </c>
      <c r="E16" s="204">
        <f>D16*$E$21</f>
        <v>105104.7303553814</v>
      </c>
      <c r="F16" s="361">
        <v>0.05</v>
      </c>
      <c r="G16" s="151">
        <v>0.075</v>
      </c>
      <c r="H16" s="152">
        <f>G16*F16*D7</f>
        <v>531189.674976658</v>
      </c>
      <c r="I16" s="153">
        <f>H16*$E$21</f>
        <v>28153.052773762873</v>
      </c>
    </row>
    <row r="17" spans="1:9" ht="13.5" thickBot="1">
      <c r="A17" s="197" t="s">
        <v>50</v>
      </c>
      <c r="B17" s="201"/>
      <c r="C17" s="142"/>
      <c r="D17" s="155">
        <f>SUM(D12:D16)</f>
        <v>6069270.3953129705</v>
      </c>
      <c r="E17" s="205">
        <f>SUM(E12:E16)</f>
        <v>321671.3309515874</v>
      </c>
      <c r="F17" s="133"/>
      <c r="G17" s="142"/>
      <c r="H17" s="155">
        <f>SUM(H12:H16)</f>
        <v>1625697.4273159737</v>
      </c>
      <c r="I17" s="156">
        <f>SUM(I12:I16)</f>
        <v>86161.9636477466</v>
      </c>
    </row>
    <row r="19" ht="13.5" thickBot="1"/>
    <row r="20" spans="1:6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104</v>
      </c>
      <c r="F20" s="91" t="s">
        <v>32</v>
      </c>
    </row>
    <row r="21" spans="1:6" ht="13.5" thickBot="1">
      <c r="A21" s="158">
        <v>0.3</v>
      </c>
      <c r="B21" s="159">
        <v>20</v>
      </c>
      <c r="C21" s="370">
        <f>A21/(1-1/(1+A21)^B21)</f>
        <v>0.30158688481804236</v>
      </c>
      <c r="D21" s="321">
        <v>7.6851</v>
      </c>
      <c r="E21" s="160">
        <f>5.3*10^(-2)</f>
        <v>0.053</v>
      </c>
      <c r="F21" s="161">
        <v>8760</v>
      </c>
    </row>
    <row r="22" spans="1:4" ht="12.75">
      <c r="A22" s="162"/>
      <c r="B22" s="163"/>
      <c r="C22" s="164"/>
      <c r="D22" s="165"/>
    </row>
    <row r="23" spans="1:4" ht="13.5" thickBot="1">
      <c r="A23" s="162"/>
      <c r="B23" s="163"/>
      <c r="C23" s="164"/>
      <c r="D23" s="165"/>
    </row>
    <row r="24" spans="1:12" ht="13.5" thickBot="1">
      <c r="A24" s="486" t="s">
        <v>38</v>
      </c>
      <c r="B24" s="503" t="s">
        <v>70</v>
      </c>
      <c r="C24" s="509"/>
      <c r="D24" s="509"/>
      <c r="E24" s="504"/>
      <c r="F24" s="503" t="s">
        <v>71</v>
      </c>
      <c r="G24" s="509"/>
      <c r="H24" s="509"/>
      <c r="I24" s="504"/>
      <c r="J24" s="132"/>
      <c r="K24" s="132"/>
      <c r="L24" s="132"/>
    </row>
    <row r="25" spans="1:12" ht="42" thickBot="1">
      <c r="A25" s="500"/>
      <c r="B25" s="113" t="s">
        <v>74</v>
      </c>
      <c r="C25" s="114" t="s">
        <v>10</v>
      </c>
      <c r="D25" s="114" t="s">
        <v>11</v>
      </c>
      <c r="E25" s="115" t="s">
        <v>105</v>
      </c>
      <c r="F25" s="113" t="s">
        <v>74</v>
      </c>
      <c r="G25" s="114" t="s">
        <v>10</v>
      </c>
      <c r="H25" s="114" t="s">
        <v>11</v>
      </c>
      <c r="I25" s="115" t="s">
        <v>105</v>
      </c>
      <c r="J25" s="132"/>
      <c r="K25" s="132"/>
      <c r="L25" s="132"/>
    </row>
    <row r="26" spans="1:12" ht="12.75">
      <c r="A26" s="143" t="s">
        <v>40</v>
      </c>
      <c r="B26" s="238">
        <f>D26*2</f>
        <v>47909074.87018178</v>
      </c>
      <c r="C26" s="239">
        <f>B26*$C$21</f>
        <v>14448748.644612478</v>
      </c>
      <c r="D26" s="239">
        <f>D12*$D$21</f>
        <v>23954537.43509089</v>
      </c>
      <c r="E26" s="240">
        <f>(C26-D26)/E12</f>
        <v>-57.540552131504256</v>
      </c>
      <c r="F26" s="238">
        <f>H26*3</f>
        <v>19249181.867483746</v>
      </c>
      <c r="G26" s="239">
        <f>F26*$A$21</f>
        <v>5774754.560245124</v>
      </c>
      <c r="H26" s="239">
        <f>H12*$D$21</f>
        <v>6416393.955827915</v>
      </c>
      <c r="I26" s="240">
        <f>(G26-H26)/I12</f>
        <v>-14.500188679245284</v>
      </c>
      <c r="J26" s="132"/>
      <c r="K26" s="132"/>
      <c r="L26" s="132"/>
    </row>
    <row r="27" spans="1:12" ht="12.75">
      <c r="A27" s="146" t="s">
        <v>41</v>
      </c>
      <c r="B27" s="241">
        <f>D27*2</f>
        <v>4222988.9517502</v>
      </c>
      <c r="C27" s="242">
        <f>B27*$C$21</f>
        <v>1273598.0825793531</v>
      </c>
      <c r="D27" s="242">
        <f>D13*$D$21</f>
        <v>2111494.4758751</v>
      </c>
      <c r="E27" s="243">
        <f>(C27-D27)/E13</f>
        <v>-57.54055213150425</v>
      </c>
      <c r="F27" s="241">
        <f>H27*3</f>
        <v>1696736.6323996335</v>
      </c>
      <c r="G27" s="242">
        <f>F27*$A$21</f>
        <v>509020.98971989006</v>
      </c>
      <c r="H27" s="242">
        <f>H13*$D$21</f>
        <v>565578.8774665445</v>
      </c>
      <c r="I27" s="243">
        <f>(G27-H27)/I13</f>
        <v>-14.500188679245282</v>
      </c>
      <c r="J27" s="132"/>
      <c r="K27" s="132"/>
      <c r="L27" s="132"/>
    </row>
    <row r="28" spans="1:12" ht="12.75">
      <c r="A28" s="146" t="s">
        <v>43</v>
      </c>
      <c r="B28" s="241">
        <f>D28*2</f>
        <v>3593611.114541241</v>
      </c>
      <c r="C28" s="242">
        <f>B28*$C$21</f>
        <v>1083785.981281986</v>
      </c>
      <c r="D28" s="242">
        <f>D14*$D$21</f>
        <v>1796805.5572706205</v>
      </c>
      <c r="E28" s="243">
        <f>(C28-D28)/E14</f>
        <v>-57.540552131504256</v>
      </c>
      <c r="F28" s="241">
        <f>H28*3</f>
        <v>1443861.608521034</v>
      </c>
      <c r="G28" s="242">
        <f>F28*$A$21</f>
        <v>433158.4825563102</v>
      </c>
      <c r="H28" s="242">
        <f>H14*$D$21</f>
        <v>481287.2028403447</v>
      </c>
      <c r="I28" s="243">
        <f>(G28-H28)/I14</f>
        <v>-14.500188679245293</v>
      </c>
      <c r="J28" s="132"/>
      <c r="K28" s="132"/>
      <c r="L28" s="132"/>
    </row>
    <row r="29" spans="1:12" ht="12.75">
      <c r="A29" s="146" t="s">
        <v>44</v>
      </c>
      <c r="B29" s="241">
        <f>D29*2</f>
        <v>7079456.468881602</v>
      </c>
      <c r="C29" s="242">
        <f>B29*$C$21</f>
        <v>2135071.2226549406</v>
      </c>
      <c r="D29" s="242">
        <f>D15*$D$21</f>
        <v>3539728.234440801</v>
      </c>
      <c r="E29" s="243">
        <f>(C29-D29)/E15</f>
        <v>-57.54055213150426</v>
      </c>
      <c r="F29" s="241">
        <f>H29*3</f>
        <v>2844424.4741042145</v>
      </c>
      <c r="G29" s="242">
        <f>F29*$A$21</f>
        <v>853327.3422312643</v>
      </c>
      <c r="H29" s="242">
        <f>H15*$D$21</f>
        <v>948141.4913680715</v>
      </c>
      <c r="I29" s="243">
        <f>(G29-H29)/I15</f>
        <v>-14.500188679245289</v>
      </c>
      <c r="J29" s="132"/>
      <c r="K29" s="132"/>
      <c r="L29" s="132"/>
    </row>
    <row r="30" spans="1:12" ht="13.5" thickBot="1">
      <c r="A30" s="149" t="s">
        <v>46</v>
      </c>
      <c r="B30" s="244">
        <f>D30*2</f>
        <v>30480768.42468459</v>
      </c>
      <c r="C30" s="245">
        <f>B30*$C$21</f>
        <v>9192599.996060774</v>
      </c>
      <c r="D30" s="245">
        <f>D16*$D$21</f>
        <v>15240384.212342296</v>
      </c>
      <c r="E30" s="246">
        <f>(C30-D30)/E16</f>
        <v>-57.54055213150426</v>
      </c>
      <c r="F30" s="244">
        <f>H30*3</f>
        <v>12246737.313489344</v>
      </c>
      <c r="G30" s="245">
        <f>F30*$A$21</f>
        <v>3674021.1940468033</v>
      </c>
      <c r="H30" s="245">
        <f>H16*$D$21</f>
        <v>4082245.7711631143</v>
      </c>
      <c r="I30" s="246">
        <f>(G30-H30)/I16</f>
        <v>-14.50018867924527</v>
      </c>
      <c r="J30" s="132"/>
      <c r="K30" s="132"/>
      <c r="L30" s="132"/>
    </row>
    <row r="31" spans="1:12" ht="13.5" thickBot="1">
      <c r="A31" s="154" t="s">
        <v>50</v>
      </c>
      <c r="B31" s="247"/>
      <c r="C31" s="248">
        <f>SUM(C26:C30)</f>
        <v>28133803.92718953</v>
      </c>
      <c r="D31" s="248">
        <f>SUM(D26:D30)</f>
        <v>46642949.915019706</v>
      </c>
      <c r="E31" s="249"/>
      <c r="F31" s="247"/>
      <c r="G31" s="248">
        <f>SUM(G26:G30)</f>
        <v>11244282.568799391</v>
      </c>
      <c r="H31" s="248">
        <f>SUM(H26:H30)</f>
        <v>12493647.29866599</v>
      </c>
      <c r="I31" s="249"/>
      <c r="J31" s="132"/>
      <c r="K31" s="132"/>
      <c r="L31" s="132"/>
    </row>
    <row r="32" spans="1:11" ht="12.75">
      <c r="A32" s="132"/>
      <c r="B32" s="168"/>
      <c r="C32" s="168"/>
      <c r="D32" s="168"/>
      <c r="E32" s="168"/>
      <c r="F32" s="132"/>
      <c r="G32" s="132"/>
      <c r="H32" s="132"/>
      <c r="I32" s="132"/>
      <c r="J32" s="132"/>
      <c r="K32" s="132"/>
    </row>
    <row r="33" spans="1:5" ht="12.75">
      <c r="A33" s="132"/>
      <c r="B33" s="168"/>
      <c r="C33" s="168"/>
      <c r="D33" s="168"/>
      <c r="E33" s="168"/>
    </row>
    <row r="42" spans="2:16" ht="12.7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2:16" ht="12.7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2:16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2:16" ht="12.75">
      <c r="B45" s="132"/>
      <c r="C45" s="132"/>
      <c r="D45" s="132"/>
      <c r="E45" s="132"/>
      <c r="F45" s="132"/>
      <c r="G45" s="505"/>
      <c r="H45" s="505"/>
      <c r="I45" s="505"/>
      <c r="J45" s="505"/>
      <c r="K45" s="505"/>
      <c r="L45" s="132"/>
      <c r="M45" s="132"/>
      <c r="N45" s="132"/>
      <c r="O45" s="132"/>
      <c r="P45" s="132"/>
    </row>
    <row r="46" spans="2:16" ht="12.75">
      <c r="B46" s="132"/>
      <c r="C46" s="132"/>
      <c r="D46" s="132"/>
      <c r="E46" s="132"/>
      <c r="F46" s="132"/>
      <c r="G46" s="132"/>
      <c r="H46" s="170"/>
      <c r="I46" s="132"/>
      <c r="J46" s="132"/>
      <c r="K46" s="132"/>
      <c r="L46" s="132"/>
      <c r="M46" s="132"/>
      <c r="N46" s="132"/>
      <c r="O46" s="132"/>
      <c r="P46" s="132"/>
    </row>
    <row r="47" spans="2:16" ht="12.75">
      <c r="B47" s="132"/>
      <c r="C47" s="132"/>
      <c r="D47" s="132"/>
      <c r="E47" s="132"/>
      <c r="F47" s="132"/>
      <c r="G47" s="132"/>
      <c r="H47" s="171"/>
      <c r="I47" s="171"/>
      <c r="J47" s="171"/>
      <c r="K47" s="171"/>
      <c r="L47" s="132"/>
      <c r="M47" s="132"/>
      <c r="N47" s="132"/>
      <c r="O47" s="132"/>
      <c r="P47" s="132"/>
    </row>
    <row r="48" spans="2:16" ht="12.75">
      <c r="B48" s="132"/>
      <c r="C48" s="132"/>
      <c r="D48" s="132"/>
      <c r="E48" s="132"/>
      <c r="F48" s="132"/>
      <c r="G48" s="132"/>
      <c r="H48" s="171"/>
      <c r="I48" s="171"/>
      <c r="J48" s="171"/>
      <c r="K48" s="171"/>
      <c r="L48" s="132"/>
      <c r="M48" s="132"/>
      <c r="N48" s="132"/>
      <c r="O48" s="132"/>
      <c r="P48" s="132"/>
    </row>
    <row r="49" spans="2:16" ht="12.75">
      <c r="B49" s="132"/>
      <c r="C49" s="132"/>
      <c r="D49" s="132"/>
      <c r="E49" s="132"/>
      <c r="F49" s="132"/>
      <c r="G49" s="132"/>
      <c r="H49" s="171"/>
      <c r="I49" s="171"/>
      <c r="J49" s="171"/>
      <c r="K49" s="171"/>
      <c r="L49" s="132"/>
      <c r="M49" s="132"/>
      <c r="N49" s="132"/>
      <c r="O49" s="132"/>
      <c r="P49" s="132"/>
    </row>
    <row r="50" spans="2:16" ht="12.75">
      <c r="B50" s="132"/>
      <c r="C50" s="132"/>
      <c r="D50" s="132"/>
      <c r="E50" s="132"/>
      <c r="F50" s="132"/>
      <c r="G50" s="132"/>
      <c r="H50" s="171"/>
      <c r="I50" s="171"/>
      <c r="J50" s="171"/>
      <c r="K50" s="171"/>
      <c r="L50" s="132"/>
      <c r="M50" s="132"/>
      <c r="N50" s="132"/>
      <c r="O50" s="132"/>
      <c r="P50" s="132"/>
    </row>
    <row r="51" spans="2:16" ht="12.75">
      <c r="B51" s="132"/>
      <c r="C51" s="132"/>
      <c r="D51" s="132"/>
      <c r="E51" s="132"/>
      <c r="F51" s="132"/>
      <c r="G51" s="132"/>
      <c r="H51" s="171"/>
      <c r="I51" s="171"/>
      <c r="J51" s="171"/>
      <c r="K51" s="171"/>
      <c r="L51" s="132"/>
      <c r="M51" s="132"/>
      <c r="N51" s="132"/>
      <c r="O51" s="132"/>
      <c r="P51" s="132"/>
    </row>
    <row r="52" spans="2:16" ht="12.75">
      <c r="B52" s="132"/>
      <c r="C52" s="132"/>
      <c r="D52" s="132"/>
      <c r="E52" s="132"/>
      <c r="F52" s="132"/>
      <c r="G52" s="172"/>
      <c r="H52" s="132"/>
      <c r="I52" s="166"/>
      <c r="J52" s="166"/>
      <c r="K52" s="132"/>
      <c r="L52" s="132"/>
      <c r="M52" s="132"/>
      <c r="N52" s="132"/>
      <c r="O52" s="132"/>
      <c r="P52" s="132"/>
    </row>
    <row r="53" spans="2:16" ht="12.75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</row>
    <row r="54" spans="2:16" ht="12.75">
      <c r="B54" s="132"/>
      <c r="C54" s="132"/>
      <c r="D54" s="132"/>
      <c r="E54" s="132"/>
      <c r="F54" s="132"/>
      <c r="G54" s="505"/>
      <c r="H54" s="505"/>
      <c r="I54" s="505"/>
      <c r="J54" s="505"/>
      <c r="K54" s="505"/>
      <c r="L54" s="132"/>
      <c r="M54" s="132"/>
      <c r="N54" s="132"/>
      <c r="O54" s="132"/>
      <c r="P54" s="132"/>
    </row>
    <row r="55" spans="2:16" ht="12.75">
      <c r="B55" s="132"/>
      <c r="C55" s="132"/>
      <c r="D55" s="132"/>
      <c r="E55" s="132"/>
      <c r="F55" s="132"/>
      <c r="G55" s="132"/>
      <c r="H55" s="170"/>
      <c r="I55" s="132"/>
      <c r="J55" s="132"/>
      <c r="K55" s="132"/>
      <c r="L55" s="132"/>
      <c r="M55" s="132"/>
      <c r="N55" s="132"/>
      <c r="O55" s="132"/>
      <c r="P55" s="132"/>
    </row>
    <row r="56" spans="2:16" ht="12.75">
      <c r="B56" s="132"/>
      <c r="C56" s="132"/>
      <c r="D56" s="132"/>
      <c r="E56" s="132"/>
      <c r="F56" s="132"/>
      <c r="G56" s="132"/>
      <c r="H56" s="171"/>
      <c r="I56" s="171"/>
      <c r="J56" s="171"/>
      <c r="K56" s="171"/>
      <c r="L56" s="132"/>
      <c r="M56" s="132"/>
      <c r="N56" s="132"/>
      <c r="O56" s="132"/>
      <c r="P56" s="132"/>
    </row>
    <row r="57" spans="2:16" ht="12.75">
      <c r="B57" s="132"/>
      <c r="C57" s="132"/>
      <c r="D57" s="132"/>
      <c r="E57" s="132"/>
      <c r="F57" s="132"/>
      <c r="G57" s="132"/>
      <c r="H57" s="171"/>
      <c r="I57" s="171"/>
      <c r="J57" s="171"/>
      <c r="K57" s="171"/>
      <c r="L57" s="132"/>
      <c r="M57" s="132"/>
      <c r="N57" s="132"/>
      <c r="O57" s="132"/>
      <c r="P57" s="132"/>
    </row>
    <row r="58" spans="2:16" ht="12.75">
      <c r="B58" s="132"/>
      <c r="C58" s="132"/>
      <c r="D58" s="132"/>
      <c r="E58" s="132"/>
      <c r="F58" s="132"/>
      <c r="G58" s="132"/>
      <c r="H58" s="171"/>
      <c r="I58" s="171"/>
      <c r="J58" s="171"/>
      <c r="K58" s="171"/>
      <c r="L58" s="132"/>
      <c r="M58" s="132"/>
      <c r="N58" s="132"/>
      <c r="O58" s="132"/>
      <c r="P58" s="132"/>
    </row>
    <row r="59" spans="2:16" ht="12.75">
      <c r="B59" s="132"/>
      <c r="C59" s="132"/>
      <c r="D59" s="132"/>
      <c r="E59" s="132"/>
      <c r="F59" s="132"/>
      <c r="G59" s="132"/>
      <c r="H59" s="171"/>
      <c r="I59" s="171"/>
      <c r="J59" s="171"/>
      <c r="K59" s="171"/>
      <c r="L59" s="132"/>
      <c r="M59" s="132"/>
      <c r="N59" s="132"/>
      <c r="O59" s="132"/>
      <c r="P59" s="132"/>
    </row>
    <row r="60" spans="2:16" ht="12.75">
      <c r="B60" s="132"/>
      <c r="C60" s="132"/>
      <c r="D60" s="132"/>
      <c r="E60" s="132"/>
      <c r="F60" s="132"/>
      <c r="G60" s="132"/>
      <c r="H60" s="171"/>
      <c r="I60" s="171"/>
      <c r="J60" s="171"/>
      <c r="K60" s="171"/>
      <c r="L60" s="132"/>
      <c r="M60" s="132"/>
      <c r="N60" s="132"/>
      <c r="O60" s="132"/>
      <c r="P60" s="132"/>
    </row>
    <row r="61" spans="2:16" ht="12.75">
      <c r="B61" s="132"/>
      <c r="C61" s="132"/>
      <c r="D61" s="132"/>
      <c r="E61" s="132"/>
      <c r="F61" s="132"/>
      <c r="G61" s="132"/>
      <c r="H61" s="132"/>
      <c r="I61" s="166"/>
      <c r="J61" s="166"/>
      <c r="K61" s="132"/>
      <c r="L61" s="132"/>
      <c r="M61" s="132"/>
      <c r="N61" s="132"/>
      <c r="O61" s="132"/>
      <c r="P61" s="132"/>
    </row>
    <row r="62" spans="2:16" ht="12.7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</row>
    <row r="63" spans="2:16" ht="12.7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</row>
    <row r="64" spans="2:16" ht="12.7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</row>
    <row r="65" spans="2:16" ht="12.7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</row>
    <row r="66" spans="2:16" ht="12.75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</row>
    <row r="67" spans="2:16" ht="12.75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</row>
    <row r="68" spans="2:16" ht="12.75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</row>
    <row r="69" spans="2:16" ht="12.75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</row>
    <row r="70" spans="2:16" ht="12.75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</row>
  </sheetData>
  <sheetProtection/>
  <mergeCells count="11">
    <mergeCell ref="A1:A2"/>
    <mergeCell ref="B1:B2"/>
    <mergeCell ref="C1:D1"/>
    <mergeCell ref="G45:K45"/>
    <mergeCell ref="G54:K54"/>
    <mergeCell ref="B24:E24"/>
    <mergeCell ref="F24:I24"/>
    <mergeCell ref="A10:A11"/>
    <mergeCell ref="B10:E10"/>
    <mergeCell ref="F10:I10"/>
    <mergeCell ref="A24:A25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5.00390625" style="46" customWidth="1"/>
    <col min="2" max="2" width="14.7109375" style="46" bestFit="1" customWidth="1"/>
    <col min="3" max="3" width="12.140625" style="46" bestFit="1" customWidth="1"/>
    <col min="4" max="4" width="19.8515625" style="46" customWidth="1"/>
    <col min="5" max="5" width="19.421875" style="46" customWidth="1"/>
    <col min="6" max="6" width="14.7109375" style="46" customWidth="1"/>
    <col min="7" max="7" width="15.8515625" style="46" customWidth="1"/>
    <col min="8" max="8" width="12.140625" style="46" bestFit="1" customWidth="1"/>
    <col min="9" max="14" width="11.7109375" style="46" customWidth="1"/>
    <col min="15" max="16384" width="9.140625" style="46" customWidth="1"/>
  </cols>
  <sheetData>
    <row r="1" spans="1:4" ht="13.5" thickBot="1">
      <c r="A1" s="486" t="s">
        <v>38</v>
      </c>
      <c r="B1" s="513" t="s">
        <v>117</v>
      </c>
      <c r="C1" s="515" t="s">
        <v>80</v>
      </c>
      <c r="D1" s="504"/>
    </row>
    <row r="2" spans="1:11" ht="48" customHeight="1" thickBot="1">
      <c r="A2" s="500"/>
      <c r="B2" s="514"/>
      <c r="C2" s="95" t="s">
        <v>86</v>
      </c>
      <c r="D2" s="91" t="s">
        <v>114</v>
      </c>
      <c r="E2" s="163"/>
      <c r="F2" s="163"/>
      <c r="H2" s="163"/>
      <c r="J2" s="157"/>
      <c r="K2" s="157"/>
    </row>
    <row r="3" spans="1:11" ht="12.75">
      <c r="A3" s="214" t="s">
        <v>40</v>
      </c>
      <c r="B3" s="229">
        <v>0.33708609271523177</v>
      </c>
      <c r="C3" s="306">
        <v>35006223.792814</v>
      </c>
      <c r="D3" s="136">
        <f>C3/$E$21*B3</f>
        <v>222643607.5289557</v>
      </c>
      <c r="E3" s="163"/>
      <c r="F3" s="163"/>
      <c r="H3" s="163"/>
      <c r="J3" s="157"/>
      <c r="K3" s="157"/>
    </row>
    <row r="4" spans="1:11" ht="12.75">
      <c r="A4" s="191" t="s">
        <v>41</v>
      </c>
      <c r="B4" s="174">
        <v>0.6392467789890981</v>
      </c>
      <c r="C4" s="307">
        <v>1627120.48246</v>
      </c>
      <c r="D4" s="139">
        <f>C4/$E$21*B4</f>
        <v>19625123.15924042</v>
      </c>
      <c r="E4" s="163"/>
      <c r="F4" s="163"/>
      <c r="H4" s="163"/>
      <c r="J4" s="157"/>
      <c r="K4" s="157"/>
    </row>
    <row r="5" spans="1:11" ht="12.75">
      <c r="A5" s="191" t="s">
        <v>43</v>
      </c>
      <c r="B5" s="174">
        <v>0.7413793103448276</v>
      </c>
      <c r="C5" s="307">
        <v>1193875.2005919998</v>
      </c>
      <c r="D5" s="139">
        <f>C5/$E$21*B5</f>
        <v>16700271.185899803</v>
      </c>
      <c r="E5" s="163"/>
      <c r="F5" s="163"/>
      <c r="H5" s="163"/>
      <c r="J5" s="157"/>
      <c r="K5" s="157"/>
    </row>
    <row r="6" spans="1:11" ht="12.75">
      <c r="A6" s="191" t="s">
        <v>44</v>
      </c>
      <c r="B6" s="174">
        <v>0.6818369880016549</v>
      </c>
      <c r="C6" s="307">
        <v>2557335.3031380004</v>
      </c>
      <c r="D6" s="139">
        <f>C6/$E$21*B6</f>
        <v>32899732.08305497</v>
      </c>
      <c r="E6" s="163"/>
      <c r="F6" s="163"/>
      <c r="H6" s="163"/>
      <c r="J6" s="157"/>
      <c r="K6" s="157"/>
    </row>
    <row r="7" spans="1:4" ht="13.5" thickBot="1">
      <c r="A7" s="194" t="s">
        <v>46</v>
      </c>
      <c r="B7" s="180">
        <v>0.7</v>
      </c>
      <c r="C7" s="308">
        <v>10724972.485242998</v>
      </c>
      <c r="D7" s="141">
        <f>C7/$E$21*B7</f>
        <v>141650579.99377546</v>
      </c>
    </row>
    <row r="8" spans="1:4" ht="12.75">
      <c r="A8" s="132"/>
      <c r="B8" s="206"/>
      <c r="C8" s="166"/>
      <c r="D8" s="166"/>
    </row>
    <row r="9" spans="6:12" ht="13.5" thickBot="1">
      <c r="F9" s="207"/>
      <c r="G9" s="208"/>
      <c r="H9" s="208"/>
      <c r="I9" s="208"/>
      <c r="J9" s="208"/>
      <c r="K9" s="208"/>
      <c r="L9" s="208"/>
    </row>
    <row r="10" spans="1:10" ht="13.5" thickBot="1">
      <c r="A10" s="486" t="s">
        <v>38</v>
      </c>
      <c r="B10" s="516" t="s">
        <v>68</v>
      </c>
      <c r="C10" s="507"/>
      <c r="D10" s="507"/>
      <c r="E10" s="511"/>
      <c r="F10" s="512" t="s">
        <v>69</v>
      </c>
      <c r="G10" s="507"/>
      <c r="H10" s="507"/>
      <c r="I10" s="508"/>
      <c r="J10" s="132"/>
    </row>
    <row r="11" spans="1:9" ht="42" thickBot="1">
      <c r="A11" s="500"/>
      <c r="B11" s="95" t="s">
        <v>96</v>
      </c>
      <c r="C11" s="94" t="s">
        <v>109</v>
      </c>
      <c r="D11" s="90" t="s">
        <v>100</v>
      </c>
      <c r="E11" s="91" t="s">
        <v>101</v>
      </c>
      <c r="F11" s="89" t="s">
        <v>96</v>
      </c>
      <c r="G11" s="94" t="s">
        <v>109</v>
      </c>
      <c r="H11" s="90" t="s">
        <v>100</v>
      </c>
      <c r="I11" s="91" t="s">
        <v>101</v>
      </c>
    </row>
    <row r="12" spans="1:9" ht="12.75">
      <c r="A12" s="214" t="s">
        <v>40</v>
      </c>
      <c r="B12" s="363">
        <v>0.5</v>
      </c>
      <c r="C12" s="134">
        <v>0.03</v>
      </c>
      <c r="D12" s="135">
        <f>D3*B12*C12</f>
        <v>3339654.112934335</v>
      </c>
      <c r="E12" s="202">
        <f>D12*$E$21</f>
        <v>177001.66798551974</v>
      </c>
      <c r="F12" s="360">
        <v>0.3</v>
      </c>
      <c r="G12" s="145">
        <v>0.05</v>
      </c>
      <c r="H12" s="135">
        <f>G12*F12*D3</f>
        <v>3339654.112934335</v>
      </c>
      <c r="I12" s="136">
        <f>H12*$E$21</f>
        <v>177001.66798551974</v>
      </c>
    </row>
    <row r="13" spans="1:9" ht="12.75">
      <c r="A13" s="191" t="s">
        <v>41</v>
      </c>
      <c r="B13" s="364">
        <v>0.5</v>
      </c>
      <c r="C13" s="137">
        <v>0.03</v>
      </c>
      <c r="D13" s="138">
        <f>D4*B13*C13</f>
        <v>294376.8473886063</v>
      </c>
      <c r="E13" s="203">
        <f>D13*$E$21</f>
        <v>15601.972911596133</v>
      </c>
      <c r="F13" s="193">
        <v>0.3</v>
      </c>
      <c r="G13" s="148">
        <v>0.05</v>
      </c>
      <c r="H13" s="138">
        <f>G13*F13*D4</f>
        <v>294376.8473886063</v>
      </c>
      <c r="I13" s="139">
        <f>H13*$E$21</f>
        <v>15601.972911596133</v>
      </c>
    </row>
    <row r="14" spans="1:9" ht="12.75">
      <c r="A14" s="191" t="s">
        <v>43</v>
      </c>
      <c r="B14" s="364">
        <v>0.5</v>
      </c>
      <c r="C14" s="137">
        <v>0.03</v>
      </c>
      <c r="D14" s="138">
        <f>D5*B14*C14</f>
        <v>250504.06778849705</v>
      </c>
      <c r="E14" s="203">
        <f>D14*$E$21</f>
        <v>13276.715592790344</v>
      </c>
      <c r="F14" s="193">
        <v>0.3</v>
      </c>
      <c r="G14" s="148">
        <v>0.05</v>
      </c>
      <c r="H14" s="138">
        <f>G14*F14*D5</f>
        <v>250504.06778849705</v>
      </c>
      <c r="I14" s="139">
        <f>H14*$E$21</f>
        <v>13276.715592790344</v>
      </c>
    </row>
    <row r="15" spans="1:9" ht="12.75">
      <c r="A15" s="191" t="s">
        <v>44</v>
      </c>
      <c r="B15" s="364">
        <v>0.5</v>
      </c>
      <c r="C15" s="137">
        <v>0.03</v>
      </c>
      <c r="D15" s="138">
        <f>D6*B15*C15</f>
        <v>493495.98124582454</v>
      </c>
      <c r="E15" s="203">
        <f>D15*$E$21</f>
        <v>26155.2870060287</v>
      </c>
      <c r="F15" s="193">
        <v>0.3</v>
      </c>
      <c r="G15" s="148">
        <v>0.05</v>
      </c>
      <c r="H15" s="138">
        <f>G15*F15*D6</f>
        <v>493495.98124582454</v>
      </c>
      <c r="I15" s="139">
        <f>H15*$E$21</f>
        <v>26155.2870060287</v>
      </c>
    </row>
    <row r="16" spans="1:9" ht="13.5" thickBot="1">
      <c r="A16" s="200" t="s">
        <v>46</v>
      </c>
      <c r="B16" s="365">
        <v>0.5</v>
      </c>
      <c r="C16" s="362">
        <v>0.03</v>
      </c>
      <c r="D16" s="152">
        <f>D7*B16*C16</f>
        <v>2124758.699906632</v>
      </c>
      <c r="E16" s="204">
        <f>D16*$E$21</f>
        <v>112612.21109505149</v>
      </c>
      <c r="F16" s="361">
        <v>0.3</v>
      </c>
      <c r="G16" s="151">
        <v>0.05</v>
      </c>
      <c r="H16" s="152">
        <f>G16*F16*D7</f>
        <v>2124758.699906632</v>
      </c>
      <c r="I16" s="153">
        <f>H16*$E$21</f>
        <v>112612.21109505149</v>
      </c>
    </row>
    <row r="17" spans="1:9" ht="13.5" thickBot="1">
      <c r="A17" s="197" t="s">
        <v>50</v>
      </c>
      <c r="B17" s="201"/>
      <c r="C17" s="142"/>
      <c r="D17" s="155">
        <f>SUM(D12:D16)</f>
        <v>6502789.709263895</v>
      </c>
      <c r="E17" s="205">
        <f>SUM(E12:E16)</f>
        <v>344647.8545909864</v>
      </c>
      <c r="F17" s="133"/>
      <c r="G17" s="142"/>
      <c r="H17" s="155">
        <f>SUM(H12:H16)</f>
        <v>6502789.709263895</v>
      </c>
      <c r="I17" s="156">
        <f>SUM(I12:I16)</f>
        <v>344647.8545909864</v>
      </c>
    </row>
    <row r="19" ht="13.5" thickBot="1"/>
    <row r="20" spans="1:6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104</v>
      </c>
      <c r="F20" s="91" t="s">
        <v>32</v>
      </c>
    </row>
    <row r="21" spans="1:9" ht="13.5" thickBot="1">
      <c r="A21" s="158">
        <v>0.3</v>
      </c>
      <c r="B21" s="159">
        <v>20</v>
      </c>
      <c r="C21" s="160">
        <f>A21/(1-1/(1+A21)^B21)</f>
        <v>0.30158688481804236</v>
      </c>
      <c r="D21" s="321">
        <v>7.6851</v>
      </c>
      <c r="E21" s="160">
        <f>5.3*10^(-2)</f>
        <v>0.053</v>
      </c>
      <c r="F21" s="161">
        <v>8760</v>
      </c>
      <c r="G21" s="517"/>
      <c r="H21" s="518"/>
      <c r="I21" s="518"/>
    </row>
    <row r="22" spans="1:4" ht="12.75">
      <c r="A22" s="162"/>
      <c r="B22" s="163"/>
      <c r="C22" s="164"/>
      <c r="D22" s="165"/>
    </row>
    <row r="23" spans="1:4" ht="13.5" thickBot="1">
      <c r="A23" s="162"/>
      <c r="B23" s="163"/>
      <c r="C23" s="164"/>
      <c r="D23" s="165"/>
    </row>
    <row r="24" spans="1:10" ht="13.5" thickBot="1">
      <c r="A24" s="486" t="s">
        <v>38</v>
      </c>
      <c r="B24" s="503" t="s">
        <v>68</v>
      </c>
      <c r="C24" s="509"/>
      <c r="D24" s="509"/>
      <c r="E24" s="504"/>
      <c r="F24" s="503" t="s">
        <v>69</v>
      </c>
      <c r="G24" s="509"/>
      <c r="H24" s="509"/>
      <c r="I24" s="504"/>
      <c r="J24" s="132"/>
    </row>
    <row r="25" spans="1:10" ht="42" thickBot="1">
      <c r="A25" s="500"/>
      <c r="B25" s="113" t="s">
        <v>74</v>
      </c>
      <c r="C25" s="114" t="s">
        <v>10</v>
      </c>
      <c r="D25" s="114" t="s">
        <v>11</v>
      </c>
      <c r="E25" s="115" t="s">
        <v>105</v>
      </c>
      <c r="F25" s="113" t="s">
        <v>6</v>
      </c>
      <c r="G25" s="114" t="s">
        <v>10</v>
      </c>
      <c r="H25" s="114" t="s">
        <v>11</v>
      </c>
      <c r="I25" s="115" t="s">
        <v>105</v>
      </c>
      <c r="J25" s="132"/>
    </row>
    <row r="26" spans="1:10" ht="12.75">
      <c r="A26" s="143" t="s">
        <v>40</v>
      </c>
      <c r="B26" s="238">
        <f>D26*1</f>
        <v>25665575.82331166</v>
      </c>
      <c r="C26" s="239">
        <f>B26*$C$21</f>
        <v>7740401.059613827</v>
      </c>
      <c r="D26" s="239">
        <f>D12*$D$21</f>
        <v>25665575.82331166</v>
      </c>
      <c r="E26" s="240">
        <f>(C26-D26)/E12</f>
        <v>-101.27121946197855</v>
      </c>
      <c r="F26" s="238">
        <f>B26*1.5</f>
        <v>38498363.73496749</v>
      </c>
      <c r="G26" s="239">
        <f>F26*$A$21</f>
        <v>11549509.120490247</v>
      </c>
      <c r="H26" s="239">
        <f>H12*$D$21</f>
        <v>25665575.82331166</v>
      </c>
      <c r="I26" s="240">
        <f>(G26-H26)/I12</f>
        <v>-79.75103773584907</v>
      </c>
      <c r="J26" s="132"/>
    </row>
    <row r="27" spans="1:10" ht="12.75">
      <c r="A27" s="146" t="s">
        <v>41</v>
      </c>
      <c r="B27" s="241">
        <f>D27*1</f>
        <v>2262315.509866178</v>
      </c>
      <c r="C27" s="242">
        <f>B27*$C$21</f>
        <v>682284.6870960818</v>
      </c>
      <c r="D27" s="242">
        <f>D13*$D$21</f>
        <v>2262315.509866178</v>
      </c>
      <c r="E27" s="243">
        <f>(C27-D27)/E13</f>
        <v>-101.27121946197855</v>
      </c>
      <c r="F27" s="241">
        <f>B27*1.5</f>
        <v>3393473.264799267</v>
      </c>
      <c r="G27" s="242">
        <f>F27*$A$21</f>
        <v>1018041.9794397801</v>
      </c>
      <c r="H27" s="242">
        <f>H13*$D$21</f>
        <v>2262315.509866178</v>
      </c>
      <c r="I27" s="243">
        <f>(G27-H27)/I13</f>
        <v>-79.75103773584905</v>
      </c>
      <c r="J27" s="132"/>
    </row>
    <row r="28" spans="1:10" ht="12.75">
      <c r="A28" s="146" t="s">
        <v>43</v>
      </c>
      <c r="B28" s="241">
        <f>D28*1</f>
        <v>1925148.8113613788</v>
      </c>
      <c r="C28" s="242">
        <f>B28*$C$21</f>
        <v>580599.6328296353</v>
      </c>
      <c r="D28" s="242">
        <f>D14*$D$21</f>
        <v>1925148.8113613788</v>
      </c>
      <c r="E28" s="243">
        <f>(C28-D28)/E14</f>
        <v>-101.27121946197855</v>
      </c>
      <c r="F28" s="241">
        <f>B28*1.5</f>
        <v>2887723.217042068</v>
      </c>
      <c r="G28" s="242">
        <f>F28*$A$21</f>
        <v>866316.9651126204</v>
      </c>
      <c r="H28" s="242">
        <f>H14*$D$21</f>
        <v>1925148.8113613788</v>
      </c>
      <c r="I28" s="243">
        <f>(G28-H28)/I14</f>
        <v>-79.75103773584907</v>
      </c>
      <c r="J28" s="132"/>
    </row>
    <row r="29" spans="1:10" ht="12.75">
      <c r="A29" s="146" t="s">
        <v>44</v>
      </c>
      <c r="B29" s="241">
        <f>D29*1</f>
        <v>3792565.965472286</v>
      </c>
      <c r="C29" s="242">
        <f>B29*$C$21</f>
        <v>1143788.154993718</v>
      </c>
      <c r="D29" s="242">
        <f>D15*$D$21</f>
        <v>3792565.965472286</v>
      </c>
      <c r="E29" s="243">
        <f>(C29-D29)/E15</f>
        <v>-101.27121946197855</v>
      </c>
      <c r="F29" s="241">
        <f>B29*1.5</f>
        <v>5688848.948208429</v>
      </c>
      <c r="G29" s="242">
        <f>F29*$A$21</f>
        <v>1706654.6844625287</v>
      </c>
      <c r="H29" s="242">
        <f>H15*$D$21</f>
        <v>3792565.965472286</v>
      </c>
      <c r="I29" s="243">
        <f>(G29-H29)/I15</f>
        <v>-79.75103773584907</v>
      </c>
      <c r="J29" s="132"/>
    </row>
    <row r="30" spans="1:10" ht="13.5" thickBot="1">
      <c r="A30" s="149" t="s">
        <v>46</v>
      </c>
      <c r="B30" s="244">
        <f>D30*1</f>
        <v>16328983.084652457</v>
      </c>
      <c r="C30" s="245">
        <f>B30*$C$21</f>
        <v>4924607.140746843</v>
      </c>
      <c r="D30" s="245">
        <f>D16*$D$21</f>
        <v>16328983.084652457</v>
      </c>
      <c r="E30" s="246">
        <f>(C30-D30)/E16</f>
        <v>-101.27121946197855</v>
      </c>
      <c r="F30" s="244">
        <f>B30*1.5</f>
        <v>24493474.626978688</v>
      </c>
      <c r="G30" s="245">
        <f>F30*$A$21</f>
        <v>7348042.388093607</v>
      </c>
      <c r="H30" s="245">
        <f>H16*$D$21</f>
        <v>16328983.084652457</v>
      </c>
      <c r="I30" s="246">
        <f>(G30-H30)/I16</f>
        <v>-79.75103773584907</v>
      </c>
      <c r="J30" s="132"/>
    </row>
    <row r="31" spans="1:10" ht="13.5" thickBot="1">
      <c r="A31" s="154" t="s">
        <v>50</v>
      </c>
      <c r="B31" s="247"/>
      <c r="C31" s="248">
        <f>SUM(C26:C30)</f>
        <v>15071680.675280105</v>
      </c>
      <c r="D31" s="248">
        <f>SUM(D26:D30)</f>
        <v>49974589.19466396</v>
      </c>
      <c r="E31" s="249"/>
      <c r="F31" s="247"/>
      <c r="G31" s="248">
        <f>SUM(G26:G30)</f>
        <v>22488565.137598783</v>
      </c>
      <c r="H31" s="248">
        <f>SUM(H26:H30)</f>
        <v>49974589.19466396</v>
      </c>
      <c r="I31" s="249"/>
      <c r="J31" s="132"/>
    </row>
    <row r="32" spans="1:10" ht="12.75">
      <c r="A32" s="132"/>
      <c r="B32" s="168"/>
      <c r="C32" s="168"/>
      <c r="D32" s="168"/>
      <c r="E32" s="168"/>
      <c r="J32" s="132"/>
    </row>
    <row r="33" spans="1:10" ht="15">
      <c r="A33" s="371" t="s">
        <v>7</v>
      </c>
      <c r="B33" s="168"/>
      <c r="C33" s="168"/>
      <c r="D33" s="168"/>
      <c r="E33" s="168"/>
      <c r="J33" s="132"/>
    </row>
    <row r="34" ht="12.75">
      <c r="J34" s="132"/>
    </row>
    <row r="37" ht="12.75">
      <c r="G37" s="169"/>
    </row>
    <row r="39" spans="2:16" ht="12.75"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</row>
    <row r="40" spans="2:16" ht="12.75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</row>
    <row r="41" spans="2:16" ht="12.75"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</row>
    <row r="42" spans="2:16" ht="12.7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2:16" ht="12.75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2:16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</row>
    <row r="45" spans="2:16" ht="12.75">
      <c r="B45" s="132"/>
      <c r="C45" s="132"/>
      <c r="D45" s="132"/>
      <c r="E45" s="132"/>
      <c r="F45" s="132"/>
      <c r="G45" s="505"/>
      <c r="H45" s="505"/>
      <c r="I45" s="505"/>
      <c r="J45" s="505"/>
      <c r="K45" s="505"/>
      <c r="L45" s="132"/>
      <c r="M45" s="132"/>
      <c r="N45" s="132"/>
      <c r="O45" s="132"/>
      <c r="P45" s="132"/>
    </row>
    <row r="46" spans="2:16" ht="12.75">
      <c r="B46" s="132"/>
      <c r="C46" s="132"/>
      <c r="D46" s="132"/>
      <c r="E46" s="132"/>
      <c r="F46" s="132"/>
      <c r="G46" s="132"/>
      <c r="H46" s="170"/>
      <c r="I46" s="132"/>
      <c r="J46" s="132"/>
      <c r="K46" s="132"/>
      <c r="L46" s="132"/>
      <c r="M46" s="132"/>
      <c r="N46" s="132"/>
      <c r="O46" s="132"/>
      <c r="P46" s="132"/>
    </row>
    <row r="47" spans="2:16" ht="12.75">
      <c r="B47" s="132"/>
      <c r="C47" s="132"/>
      <c r="D47" s="132"/>
      <c r="E47" s="132"/>
      <c r="F47" s="132"/>
      <c r="G47" s="132"/>
      <c r="H47" s="171"/>
      <c r="I47" s="171"/>
      <c r="J47" s="171"/>
      <c r="K47" s="171"/>
      <c r="L47" s="132"/>
      <c r="M47" s="132"/>
      <c r="N47" s="132"/>
      <c r="O47" s="132"/>
      <c r="P47" s="132"/>
    </row>
    <row r="48" spans="2:16" ht="12.75">
      <c r="B48" s="132"/>
      <c r="C48" s="132"/>
      <c r="D48" s="132"/>
      <c r="E48" s="132"/>
      <c r="F48" s="132"/>
      <c r="G48" s="132"/>
      <c r="H48" s="171"/>
      <c r="I48" s="171"/>
      <c r="J48" s="171"/>
      <c r="K48" s="171"/>
      <c r="L48" s="132"/>
      <c r="M48" s="132"/>
      <c r="N48" s="132"/>
      <c r="O48" s="132"/>
      <c r="P48" s="132"/>
    </row>
    <row r="49" spans="2:16" ht="12.75">
      <c r="B49" s="132"/>
      <c r="C49" s="132"/>
      <c r="D49" s="132"/>
      <c r="E49" s="132"/>
      <c r="F49" s="132"/>
      <c r="G49" s="132"/>
      <c r="H49" s="171"/>
      <c r="I49" s="171"/>
      <c r="J49" s="171"/>
      <c r="K49" s="171"/>
      <c r="L49" s="132"/>
      <c r="M49" s="132"/>
      <c r="N49" s="132"/>
      <c r="O49" s="132"/>
      <c r="P49" s="132"/>
    </row>
    <row r="50" spans="2:16" ht="12.75">
      <c r="B50" s="132"/>
      <c r="C50" s="132"/>
      <c r="D50" s="132"/>
      <c r="E50" s="132"/>
      <c r="F50" s="132"/>
      <c r="G50" s="132"/>
      <c r="H50" s="171"/>
      <c r="I50" s="171"/>
      <c r="J50" s="171"/>
      <c r="K50" s="171"/>
      <c r="L50" s="132"/>
      <c r="M50" s="132"/>
      <c r="N50" s="132"/>
      <c r="O50" s="132"/>
      <c r="P50" s="132"/>
    </row>
    <row r="51" spans="2:16" ht="12.75">
      <c r="B51" s="132"/>
      <c r="C51" s="132"/>
      <c r="D51" s="132"/>
      <c r="E51" s="132"/>
      <c r="F51" s="132"/>
      <c r="G51" s="132"/>
      <c r="H51" s="171"/>
      <c r="I51" s="171"/>
      <c r="J51" s="171"/>
      <c r="K51" s="171"/>
      <c r="L51" s="132"/>
      <c r="M51" s="132"/>
      <c r="N51" s="132"/>
      <c r="O51" s="132"/>
      <c r="P51" s="132"/>
    </row>
    <row r="52" spans="2:16" ht="12.75">
      <c r="B52" s="132"/>
      <c r="C52" s="132"/>
      <c r="D52" s="132"/>
      <c r="E52" s="132"/>
      <c r="F52" s="132"/>
      <c r="G52" s="172"/>
      <c r="H52" s="132"/>
      <c r="I52" s="166"/>
      <c r="J52" s="166"/>
      <c r="K52" s="132"/>
      <c r="L52" s="132"/>
      <c r="M52" s="132"/>
      <c r="N52" s="132"/>
      <c r="O52" s="132"/>
      <c r="P52" s="132"/>
    </row>
    <row r="53" spans="2:16" ht="12.75"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</row>
    <row r="54" spans="2:16" ht="12.75">
      <c r="B54" s="132"/>
      <c r="C54" s="132"/>
      <c r="D54" s="132"/>
      <c r="E54" s="132"/>
      <c r="F54" s="132"/>
      <c r="G54" s="505"/>
      <c r="H54" s="505"/>
      <c r="I54" s="505"/>
      <c r="J54" s="505"/>
      <c r="K54" s="505"/>
      <c r="L54" s="132"/>
      <c r="M54" s="132"/>
      <c r="N54" s="132"/>
      <c r="O54" s="132"/>
      <c r="P54" s="132"/>
    </row>
    <row r="55" spans="2:16" ht="12.75">
      <c r="B55" s="132"/>
      <c r="C55" s="132"/>
      <c r="D55" s="132"/>
      <c r="E55" s="132"/>
      <c r="F55" s="132"/>
      <c r="G55" s="132"/>
      <c r="H55" s="170"/>
      <c r="I55" s="132"/>
      <c r="J55" s="132"/>
      <c r="K55" s="132"/>
      <c r="L55" s="132"/>
      <c r="M55" s="132"/>
      <c r="N55" s="132"/>
      <c r="O55" s="132"/>
      <c r="P55" s="132"/>
    </row>
    <row r="56" spans="2:16" ht="12.75">
      <c r="B56" s="132"/>
      <c r="C56" s="132"/>
      <c r="D56" s="132"/>
      <c r="E56" s="132"/>
      <c r="F56" s="132"/>
      <c r="G56" s="132"/>
      <c r="H56" s="171"/>
      <c r="I56" s="171"/>
      <c r="J56" s="171"/>
      <c r="K56" s="171"/>
      <c r="L56" s="132"/>
      <c r="M56" s="132"/>
      <c r="N56" s="132"/>
      <c r="O56" s="132"/>
      <c r="P56" s="132"/>
    </row>
    <row r="57" spans="2:16" ht="12.75">
      <c r="B57" s="132"/>
      <c r="C57" s="132"/>
      <c r="D57" s="132"/>
      <c r="E57" s="132"/>
      <c r="F57" s="132"/>
      <c r="G57" s="132"/>
      <c r="H57" s="171"/>
      <c r="I57" s="171"/>
      <c r="J57" s="171"/>
      <c r="K57" s="171"/>
      <c r="L57" s="132"/>
      <c r="M57" s="132"/>
      <c r="N57" s="132"/>
      <c r="O57" s="132"/>
      <c r="P57" s="132"/>
    </row>
    <row r="58" spans="2:16" ht="12.75">
      <c r="B58" s="132"/>
      <c r="C58" s="132"/>
      <c r="D58" s="132"/>
      <c r="E58" s="132"/>
      <c r="F58" s="132"/>
      <c r="G58" s="132"/>
      <c r="H58" s="171"/>
      <c r="I58" s="171"/>
      <c r="J58" s="171"/>
      <c r="K58" s="171"/>
      <c r="L58" s="132"/>
      <c r="M58" s="132"/>
      <c r="N58" s="132"/>
      <c r="O58" s="132"/>
      <c r="P58" s="132"/>
    </row>
    <row r="59" spans="2:16" ht="12.75">
      <c r="B59" s="132"/>
      <c r="C59" s="132"/>
      <c r="D59" s="132"/>
      <c r="E59" s="132"/>
      <c r="F59" s="132"/>
      <c r="G59" s="132"/>
      <c r="H59" s="171"/>
      <c r="I59" s="171"/>
      <c r="J59" s="171"/>
      <c r="K59" s="171"/>
      <c r="L59" s="132"/>
      <c r="M59" s="132"/>
      <c r="N59" s="132"/>
      <c r="O59" s="132"/>
      <c r="P59" s="132"/>
    </row>
    <row r="60" spans="2:16" ht="12.75">
      <c r="B60" s="132"/>
      <c r="C60" s="132"/>
      <c r="D60" s="132"/>
      <c r="E60" s="132"/>
      <c r="F60" s="132"/>
      <c r="G60" s="132"/>
      <c r="H60" s="171"/>
      <c r="I60" s="171"/>
      <c r="J60" s="171"/>
      <c r="K60" s="171"/>
      <c r="L60" s="132"/>
      <c r="M60" s="132"/>
      <c r="N60" s="132"/>
      <c r="O60" s="132"/>
      <c r="P60" s="132"/>
    </row>
    <row r="61" spans="2:16" ht="12.75">
      <c r="B61" s="132"/>
      <c r="C61" s="132"/>
      <c r="D61" s="132"/>
      <c r="E61" s="132"/>
      <c r="F61" s="132"/>
      <c r="G61" s="132"/>
      <c r="H61" s="132"/>
      <c r="I61" s="166"/>
      <c r="J61" s="166"/>
      <c r="K61" s="132"/>
      <c r="L61" s="132"/>
      <c r="M61" s="132"/>
      <c r="N61" s="132"/>
      <c r="O61" s="132"/>
      <c r="P61" s="132"/>
    </row>
    <row r="62" spans="2:16" ht="12.7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</row>
    <row r="63" spans="2:16" ht="12.7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</row>
    <row r="64" spans="2:16" ht="12.7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</row>
    <row r="65" spans="2:16" ht="12.75"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</row>
    <row r="66" spans="2:16" ht="12.75"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</row>
    <row r="67" spans="2:16" ht="12.75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</row>
    <row r="68" spans="2:16" ht="12.75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</row>
    <row r="69" spans="2:16" ht="12.75"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</row>
    <row r="70" spans="2:16" ht="12.75"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</row>
    <row r="71" spans="2:16" ht="12.75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</row>
    <row r="72" spans="2:16" ht="12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</row>
    <row r="73" spans="2:16" ht="12.75"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</row>
    <row r="74" spans="2:16" ht="12.75"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</row>
    <row r="75" spans="2:16" ht="12.75"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</row>
    <row r="76" spans="2:16" ht="12.75"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</row>
    <row r="77" spans="2:16" ht="12.75"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</row>
    <row r="78" spans="2:16" ht="12.75"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</row>
    <row r="79" spans="2:16" ht="12.75"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</row>
    <row r="80" spans="2:16" ht="12.75"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</row>
    <row r="81" spans="2:16" ht="12.75"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</row>
  </sheetData>
  <sheetProtection/>
  <mergeCells count="12">
    <mergeCell ref="A1:A2"/>
    <mergeCell ref="B1:B2"/>
    <mergeCell ref="C1:D1"/>
    <mergeCell ref="A10:A11"/>
    <mergeCell ref="B10:E10"/>
    <mergeCell ref="G21:I21"/>
    <mergeCell ref="G45:K45"/>
    <mergeCell ref="G54:K54"/>
    <mergeCell ref="B24:E24"/>
    <mergeCell ref="F24:I24"/>
    <mergeCell ref="F10:I10"/>
    <mergeCell ref="A24:A25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5.421875" style="0" customWidth="1"/>
    <col min="2" max="2" width="14.7109375" style="0" bestFit="1" customWidth="1"/>
    <col min="3" max="3" width="11.7109375" style="0" customWidth="1"/>
    <col min="4" max="4" width="16.421875" style="0" customWidth="1"/>
    <col min="5" max="5" width="18.8515625" style="0" customWidth="1"/>
    <col min="6" max="6" width="13.421875" style="0" customWidth="1"/>
    <col min="7" max="7" width="14.140625" style="0" customWidth="1"/>
    <col min="8" max="14" width="11.7109375" style="0" customWidth="1"/>
  </cols>
  <sheetData>
    <row r="1" spans="1:9" ht="13.5" thickBot="1">
      <c r="A1" s="486" t="s">
        <v>38</v>
      </c>
      <c r="B1" s="513" t="s">
        <v>117</v>
      </c>
      <c r="C1" s="503" t="s">
        <v>80</v>
      </c>
      <c r="D1" s="504"/>
      <c r="E1" s="46"/>
      <c r="F1" s="46"/>
      <c r="G1" s="46"/>
      <c r="H1" s="46"/>
      <c r="I1" s="46"/>
    </row>
    <row r="2" spans="1:11" ht="54" thickBot="1">
      <c r="A2" s="494"/>
      <c r="B2" s="514"/>
      <c r="C2" s="89" t="s">
        <v>86</v>
      </c>
      <c r="D2" s="91" t="s">
        <v>87</v>
      </c>
      <c r="E2" s="163"/>
      <c r="F2" s="163"/>
      <c r="G2" s="46"/>
      <c r="H2" s="163"/>
      <c r="I2" s="46"/>
      <c r="J2" s="4"/>
      <c r="K2" s="4"/>
    </row>
    <row r="3" spans="1:11" ht="12.75">
      <c r="A3" s="185" t="s">
        <v>40</v>
      </c>
      <c r="B3" s="309">
        <v>0.33708609271523177</v>
      </c>
      <c r="C3" s="306">
        <v>35006223.792814</v>
      </c>
      <c r="D3" s="136">
        <f>C3/$E$21*B3</f>
        <v>222643607.5289557</v>
      </c>
      <c r="E3" s="163"/>
      <c r="F3" s="163"/>
      <c r="G3" s="46"/>
      <c r="H3" s="163"/>
      <c r="I3" s="46"/>
      <c r="J3" s="4"/>
      <c r="K3" s="4"/>
    </row>
    <row r="4" spans="1:11" ht="12.75">
      <c r="A4" s="191" t="s">
        <v>41</v>
      </c>
      <c r="B4" s="174">
        <v>0.6392467789890981</v>
      </c>
      <c r="C4" s="307">
        <v>1627120.48246</v>
      </c>
      <c r="D4" s="139">
        <f>C4/$E$21*B4</f>
        <v>19625123.15924042</v>
      </c>
      <c r="E4" s="163"/>
      <c r="F4" s="163"/>
      <c r="G4" s="46"/>
      <c r="H4" s="163"/>
      <c r="I4" s="46"/>
      <c r="J4" s="4"/>
      <c r="K4" s="4"/>
    </row>
    <row r="5" spans="1:11" ht="12.75">
      <c r="A5" s="191" t="s">
        <v>43</v>
      </c>
      <c r="B5" s="174">
        <v>0.7413793103448276</v>
      </c>
      <c r="C5" s="307">
        <v>1193875.2005919998</v>
      </c>
      <c r="D5" s="139">
        <f>C5/$E$21*B5</f>
        <v>16700271.185899803</v>
      </c>
      <c r="E5" s="163"/>
      <c r="F5" s="163"/>
      <c r="G5" s="46"/>
      <c r="H5" s="163"/>
      <c r="I5" s="46"/>
      <c r="J5" s="4"/>
      <c r="K5" s="4"/>
    </row>
    <row r="6" spans="1:11" ht="12.75">
      <c r="A6" s="191" t="s">
        <v>44</v>
      </c>
      <c r="B6" s="174">
        <v>0.6818369880016549</v>
      </c>
      <c r="C6" s="307">
        <v>2557335.3031380004</v>
      </c>
      <c r="D6" s="139">
        <f>C6/$E$21*B6</f>
        <v>32899732.08305497</v>
      </c>
      <c r="E6" s="163"/>
      <c r="F6" s="163"/>
      <c r="G6" s="46"/>
      <c r="H6" s="163"/>
      <c r="I6" s="46"/>
      <c r="J6" s="4"/>
      <c r="K6" s="4"/>
    </row>
    <row r="7" spans="1:9" ht="13.5" thickBot="1">
      <c r="A7" s="194" t="s">
        <v>46</v>
      </c>
      <c r="B7" s="180">
        <v>0.7</v>
      </c>
      <c r="C7" s="308">
        <v>10724972.485242998</v>
      </c>
      <c r="D7" s="141">
        <f>C7/$E$21*B7</f>
        <v>141650579.99377546</v>
      </c>
      <c r="E7" s="46"/>
      <c r="F7" s="46"/>
      <c r="G7" s="46"/>
      <c r="H7" s="46"/>
      <c r="I7" s="46"/>
    </row>
    <row r="8" spans="1:9" ht="12.75">
      <c r="A8" s="132"/>
      <c r="B8" s="206"/>
      <c r="C8" s="166"/>
      <c r="D8" s="166"/>
      <c r="E8" s="46"/>
      <c r="F8" s="46"/>
      <c r="G8" s="46"/>
      <c r="H8" s="46"/>
      <c r="I8" s="46"/>
    </row>
    <row r="9" spans="1:15" ht="13.5" thickBot="1">
      <c r="A9" s="46"/>
      <c r="B9" s="46"/>
      <c r="C9" s="46"/>
      <c r="D9" s="46"/>
      <c r="E9" s="46"/>
      <c r="F9" s="207"/>
      <c r="G9" s="208"/>
      <c r="H9" s="208"/>
      <c r="I9" s="208"/>
      <c r="J9" s="7"/>
      <c r="K9" s="33"/>
      <c r="L9" s="33"/>
      <c r="M9" s="33"/>
      <c r="N9" s="33"/>
      <c r="O9" s="33"/>
    </row>
    <row r="10" spans="1:10" ht="13.5" thickBot="1">
      <c r="A10" s="486" t="s">
        <v>38</v>
      </c>
      <c r="B10" s="510" t="s">
        <v>66</v>
      </c>
      <c r="C10" s="507"/>
      <c r="D10" s="507"/>
      <c r="E10" s="511"/>
      <c r="F10" s="512" t="s">
        <v>67</v>
      </c>
      <c r="G10" s="507"/>
      <c r="H10" s="507"/>
      <c r="I10" s="508"/>
      <c r="J10" s="18"/>
    </row>
    <row r="11" spans="1:10" ht="42" thickBot="1">
      <c r="A11" s="500"/>
      <c r="B11" s="95" t="s">
        <v>96</v>
      </c>
      <c r="C11" s="94" t="s">
        <v>109</v>
      </c>
      <c r="D11" s="90" t="s">
        <v>100</v>
      </c>
      <c r="E11" s="215" t="s">
        <v>101</v>
      </c>
      <c r="F11" s="89" t="s">
        <v>96</v>
      </c>
      <c r="G11" s="94" t="s">
        <v>109</v>
      </c>
      <c r="H11" s="90" t="s">
        <v>100</v>
      </c>
      <c r="I11" s="91" t="s">
        <v>101</v>
      </c>
      <c r="J11" s="8"/>
    </row>
    <row r="12" spans="1:9" ht="12.75">
      <c r="A12" s="214" t="s">
        <v>40</v>
      </c>
      <c r="B12" s="363">
        <v>0.2</v>
      </c>
      <c r="C12" s="145">
        <v>0.025</v>
      </c>
      <c r="D12" s="135">
        <f>D3*B12*C12</f>
        <v>1113218.0376447786</v>
      </c>
      <c r="E12" s="202">
        <f>D12*$E$21</f>
        <v>59000.555995173265</v>
      </c>
      <c r="F12" s="360">
        <v>0.3</v>
      </c>
      <c r="G12" s="145">
        <v>0.01</v>
      </c>
      <c r="H12" s="135">
        <f>G12*F12*D3</f>
        <v>667930.8225868671</v>
      </c>
      <c r="I12" s="136">
        <f>H12*$E$21</f>
        <v>35400.333597103956</v>
      </c>
    </row>
    <row r="13" spans="1:9" ht="12.75">
      <c r="A13" s="191" t="s">
        <v>41</v>
      </c>
      <c r="B13" s="364">
        <v>0.2</v>
      </c>
      <c r="C13" s="148">
        <v>0.025</v>
      </c>
      <c r="D13" s="138">
        <f>D4*B13*C13</f>
        <v>98125.61579620211</v>
      </c>
      <c r="E13" s="203">
        <f>D13*$E$21</f>
        <v>5200.657637198712</v>
      </c>
      <c r="F13" s="193">
        <v>0.3</v>
      </c>
      <c r="G13" s="148">
        <v>0.01</v>
      </c>
      <c r="H13" s="138">
        <f>G13*F13*D4</f>
        <v>58875.369477721266</v>
      </c>
      <c r="I13" s="139">
        <f>H13*$E$21</f>
        <v>3120.394582319227</v>
      </c>
    </row>
    <row r="14" spans="1:9" ht="12.75">
      <c r="A14" s="191" t="s">
        <v>43</v>
      </c>
      <c r="B14" s="364">
        <v>0.2</v>
      </c>
      <c r="C14" s="148">
        <v>0.025</v>
      </c>
      <c r="D14" s="138">
        <f>D5*B14*C14</f>
        <v>83501.35592949903</v>
      </c>
      <c r="E14" s="203">
        <f>D14*$E$21</f>
        <v>4425.571864263448</v>
      </c>
      <c r="F14" s="193">
        <v>0.3</v>
      </c>
      <c r="G14" s="148">
        <v>0.01</v>
      </c>
      <c r="H14" s="138">
        <f>G14*F14*D5</f>
        <v>50100.81355769941</v>
      </c>
      <c r="I14" s="139">
        <f>H14*$E$21</f>
        <v>2655.3431185580685</v>
      </c>
    </row>
    <row r="15" spans="1:9" ht="12.75">
      <c r="A15" s="191" t="s">
        <v>44</v>
      </c>
      <c r="B15" s="364">
        <v>0.2</v>
      </c>
      <c r="C15" s="148">
        <v>0.025</v>
      </c>
      <c r="D15" s="138">
        <f>D6*B15*C15</f>
        <v>164498.66041527488</v>
      </c>
      <c r="E15" s="203">
        <f>D15*$E$21</f>
        <v>8718.429002009569</v>
      </c>
      <c r="F15" s="193">
        <v>0.3</v>
      </c>
      <c r="G15" s="148">
        <v>0.01</v>
      </c>
      <c r="H15" s="138">
        <f>G15*F15*D6</f>
        <v>98699.19624916492</v>
      </c>
      <c r="I15" s="139">
        <f>H15*$E$21</f>
        <v>5231.0574012057405</v>
      </c>
    </row>
    <row r="16" spans="1:9" ht="13.5" thickBot="1">
      <c r="A16" s="200" t="s">
        <v>46</v>
      </c>
      <c r="B16" s="365">
        <v>0.2</v>
      </c>
      <c r="C16" s="151">
        <v>0.025</v>
      </c>
      <c r="D16" s="152">
        <f>D7*B16*C16</f>
        <v>708252.8999688774</v>
      </c>
      <c r="E16" s="204">
        <f>D16*$E$21</f>
        <v>37537.40369835051</v>
      </c>
      <c r="F16" s="361">
        <v>0.3</v>
      </c>
      <c r="G16" s="151">
        <v>0.01</v>
      </c>
      <c r="H16" s="152">
        <f>G16*F16*D7</f>
        <v>424951.7399813264</v>
      </c>
      <c r="I16" s="153">
        <f>H16*$E$21</f>
        <v>22522.4422190103</v>
      </c>
    </row>
    <row r="17" spans="1:9" ht="13.5" thickBot="1">
      <c r="A17" s="197" t="s">
        <v>50</v>
      </c>
      <c r="B17" s="366"/>
      <c r="C17" s="356"/>
      <c r="D17" s="155">
        <f>SUM(D12:D16)</f>
        <v>2167596.569754632</v>
      </c>
      <c r="E17" s="205">
        <f>SUM(E12:E16)</f>
        <v>114882.61819699549</v>
      </c>
      <c r="F17" s="133"/>
      <c r="G17" s="142"/>
      <c r="H17" s="155">
        <f>SUM(H12:H16)</f>
        <v>1300557.9418527791</v>
      </c>
      <c r="I17" s="156">
        <f>SUM(I12:I16)</f>
        <v>68929.57091819729</v>
      </c>
    </row>
    <row r="18" spans="1:9" ht="12.75">
      <c r="A18" s="46"/>
      <c r="B18" s="46"/>
      <c r="C18" s="46"/>
      <c r="D18" s="46"/>
      <c r="E18" s="46"/>
      <c r="F18" s="46"/>
      <c r="G18" s="46"/>
      <c r="H18" s="46"/>
      <c r="I18" s="46"/>
    </row>
    <row r="19" spans="1:9" ht="13.5" thickBot="1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104</v>
      </c>
      <c r="F20" s="91" t="s">
        <v>32</v>
      </c>
      <c r="G20" s="46"/>
      <c r="H20" s="46"/>
      <c r="I20" s="46"/>
    </row>
    <row r="21" spans="1:13" ht="13.5" thickBot="1">
      <c r="A21" s="158">
        <v>0.3</v>
      </c>
      <c r="B21" s="159">
        <v>20</v>
      </c>
      <c r="C21" s="160">
        <f>A21/(1-1/(1+A21)^B21)</f>
        <v>0.30158688481804236</v>
      </c>
      <c r="D21" s="321">
        <v>7.6851</v>
      </c>
      <c r="E21" s="160">
        <f>5.3*10^(-2)</f>
        <v>0.053</v>
      </c>
      <c r="F21" s="161">
        <v>8760</v>
      </c>
      <c r="G21" s="517"/>
      <c r="H21" s="518"/>
      <c r="I21" s="518"/>
      <c r="J21" s="33"/>
      <c r="K21" s="33"/>
      <c r="L21" s="33"/>
      <c r="M21" s="33"/>
    </row>
    <row r="22" spans="1:13" ht="12.75">
      <c r="A22" s="162"/>
      <c r="B22" s="163"/>
      <c r="C22" s="164"/>
      <c r="D22" s="165"/>
      <c r="E22" s="46"/>
      <c r="F22" s="46"/>
      <c r="G22" s="46"/>
      <c r="H22" s="46"/>
      <c r="I22" s="46"/>
      <c r="J22" s="33"/>
      <c r="K22" s="33"/>
      <c r="L22" s="33"/>
      <c r="M22" s="33"/>
    </row>
    <row r="23" spans="1:13" ht="13.5" thickBot="1">
      <c r="A23" s="162"/>
      <c r="B23" s="163"/>
      <c r="C23" s="164"/>
      <c r="D23" s="165"/>
      <c r="E23" s="46"/>
      <c r="F23" s="46"/>
      <c r="G23" s="46"/>
      <c r="H23" s="46"/>
      <c r="I23" s="46"/>
      <c r="J23" s="33"/>
      <c r="K23" s="33"/>
      <c r="L23" s="33"/>
      <c r="M23" s="33"/>
    </row>
    <row r="24" spans="1:12" ht="13.5" thickBot="1">
      <c r="A24" s="486" t="s">
        <v>38</v>
      </c>
      <c r="B24" s="503" t="s">
        <v>66</v>
      </c>
      <c r="C24" s="509"/>
      <c r="D24" s="509"/>
      <c r="E24" s="504"/>
      <c r="F24" s="503" t="s">
        <v>67</v>
      </c>
      <c r="G24" s="509"/>
      <c r="H24" s="509"/>
      <c r="I24" s="504"/>
      <c r="J24" s="8"/>
      <c r="K24" s="8"/>
      <c r="L24" s="8"/>
    </row>
    <row r="25" spans="1:12" ht="42" thickBot="1">
      <c r="A25" s="500"/>
      <c r="B25" s="113" t="s">
        <v>74</v>
      </c>
      <c r="C25" s="114" t="s">
        <v>10</v>
      </c>
      <c r="D25" s="114" t="s">
        <v>11</v>
      </c>
      <c r="E25" s="115" t="s">
        <v>105</v>
      </c>
      <c r="F25" s="113" t="s">
        <v>6</v>
      </c>
      <c r="G25" s="114" t="s">
        <v>10</v>
      </c>
      <c r="H25" s="114" t="s">
        <v>11</v>
      </c>
      <c r="I25" s="115" t="s">
        <v>105</v>
      </c>
      <c r="J25" s="8"/>
      <c r="K25" s="8"/>
      <c r="L25" s="8"/>
    </row>
    <row r="26" spans="1:12" ht="12.75">
      <c r="A26" s="143" t="s">
        <v>40</v>
      </c>
      <c r="B26" s="238">
        <f>D26*1.5</f>
        <v>12832787.911655832</v>
      </c>
      <c r="C26" s="239">
        <f>B26*$C$21</f>
        <v>3870200.529806914</v>
      </c>
      <c r="D26" s="239">
        <f>D12*$D$21</f>
        <v>8555191.941103889</v>
      </c>
      <c r="E26" s="240">
        <f>(C26-D26)/E12</f>
        <v>-79.4058857967414</v>
      </c>
      <c r="F26" s="238">
        <f>B26*1.5</f>
        <v>19249181.86748375</v>
      </c>
      <c r="G26" s="239">
        <f>F26*$C$21</f>
        <v>5805300.794710371</v>
      </c>
      <c r="H26" s="239">
        <f>H12*$D$21</f>
        <v>5133115.164662333</v>
      </c>
      <c r="I26" s="240">
        <f>(G26-H26)/I12</f>
        <v>18.988115696825748</v>
      </c>
      <c r="J26" s="8"/>
      <c r="K26" s="8"/>
      <c r="L26" s="8"/>
    </row>
    <row r="27" spans="1:12" ht="12.75">
      <c r="A27" s="146" t="s">
        <v>41</v>
      </c>
      <c r="B27" s="241">
        <f>D27*1.5</f>
        <v>1131157.7549330893</v>
      </c>
      <c r="C27" s="242">
        <f>B27*$C$21</f>
        <v>341142.34354804095</v>
      </c>
      <c r="D27" s="242">
        <f>D13*$D$21</f>
        <v>754105.1699553928</v>
      </c>
      <c r="E27" s="243">
        <f>(C27-D27)/E13</f>
        <v>-79.4058857967414</v>
      </c>
      <c r="F27" s="241">
        <f>B27*1.5</f>
        <v>1696736.632399634</v>
      </c>
      <c r="G27" s="242">
        <f>F27*$C$21</f>
        <v>511713.5153220615</v>
      </c>
      <c r="H27" s="242">
        <f>H13*$D$21</f>
        <v>452463.1019732357</v>
      </c>
      <c r="I27" s="243">
        <f>(G27-H27)/I13</f>
        <v>18.988115696825755</v>
      </c>
      <c r="J27" s="8"/>
      <c r="K27" s="8"/>
      <c r="L27" s="8"/>
    </row>
    <row r="28" spans="1:12" ht="12.75">
      <c r="A28" s="146" t="s">
        <v>43</v>
      </c>
      <c r="B28" s="241">
        <f>D28*1.5</f>
        <v>962574.4056806895</v>
      </c>
      <c r="C28" s="242">
        <f>B28*$C$21</f>
        <v>290299.8164148177</v>
      </c>
      <c r="D28" s="242">
        <f>D14*$D$21</f>
        <v>641716.270453793</v>
      </c>
      <c r="E28" s="243">
        <f>(C28-D28)/E14</f>
        <v>-79.4058857967414</v>
      </c>
      <c r="F28" s="241">
        <f>B28*1.5</f>
        <v>1443861.6085210342</v>
      </c>
      <c r="G28" s="242">
        <f>F28*$C$21</f>
        <v>435449.7246222265</v>
      </c>
      <c r="H28" s="242">
        <f>H14*$D$21</f>
        <v>385029.76227227575</v>
      </c>
      <c r="I28" s="243">
        <f>(G28-H28)/I14</f>
        <v>18.988115696825766</v>
      </c>
      <c r="J28" s="8"/>
      <c r="K28" s="8"/>
      <c r="L28" s="8"/>
    </row>
    <row r="29" spans="1:12" ht="12.75">
      <c r="A29" s="146" t="s">
        <v>44</v>
      </c>
      <c r="B29" s="241">
        <f>D29*1.5</f>
        <v>1896282.9827361433</v>
      </c>
      <c r="C29" s="242">
        <f>B29*$C$21</f>
        <v>571894.077496859</v>
      </c>
      <c r="D29" s="242">
        <f>D15*$D$21</f>
        <v>1264188.655157429</v>
      </c>
      <c r="E29" s="243">
        <f>(C29-D29)/E15</f>
        <v>-79.4058857967414</v>
      </c>
      <c r="F29" s="241">
        <f>B29*1.5</f>
        <v>2844424.474104215</v>
      </c>
      <c r="G29" s="242">
        <f>F29*$C$21</f>
        <v>857841.1162452885</v>
      </c>
      <c r="H29" s="242">
        <f>H15*$D$21</f>
        <v>758513.1930944574</v>
      </c>
      <c r="I29" s="243">
        <f>(G29-H29)/I15</f>
        <v>18.98811569682573</v>
      </c>
      <c r="J29" s="8"/>
      <c r="K29" s="8"/>
      <c r="L29" s="8"/>
    </row>
    <row r="30" spans="1:12" ht="13.5" thickBot="1">
      <c r="A30" s="149" t="s">
        <v>46</v>
      </c>
      <c r="B30" s="244">
        <f>D30*1.5</f>
        <v>8164491.542326231</v>
      </c>
      <c r="C30" s="245">
        <f>B30*$C$21</f>
        <v>2462303.570373422</v>
      </c>
      <c r="D30" s="245">
        <f>D16*$D$21</f>
        <v>5442994.36155082</v>
      </c>
      <c r="E30" s="246">
        <f>(C30-D30)/E16</f>
        <v>-79.40588579674139</v>
      </c>
      <c r="F30" s="244">
        <f>B30*1.5</f>
        <v>12246737.313489346</v>
      </c>
      <c r="G30" s="245">
        <f>F30*$C$21</f>
        <v>3693455.355560133</v>
      </c>
      <c r="H30" s="245">
        <f>H16*$D$21</f>
        <v>3265796.6169304918</v>
      </c>
      <c r="I30" s="246">
        <f>(G30-H30)/I16</f>
        <v>18.988115696825776</v>
      </c>
      <c r="J30" s="8"/>
      <c r="K30" s="8"/>
      <c r="L30" s="8"/>
    </row>
    <row r="31" spans="1:12" ht="13.5" thickBot="1">
      <c r="A31" s="154" t="s">
        <v>50</v>
      </c>
      <c r="B31" s="247"/>
      <c r="C31" s="248">
        <f>SUM(C26:C30)</f>
        <v>7535840.3376400545</v>
      </c>
      <c r="D31" s="248">
        <f>SUM(D26:D30)</f>
        <v>16658196.398221321</v>
      </c>
      <c r="E31" s="249"/>
      <c r="F31" s="247"/>
      <c r="G31" s="248">
        <f>SUM(G26:G30)</f>
        <v>11303760.50646008</v>
      </c>
      <c r="H31" s="248">
        <f>SUM(H26:H30)</f>
        <v>9994917.838932794</v>
      </c>
      <c r="I31" s="249"/>
      <c r="J31" s="8"/>
      <c r="K31" s="8"/>
      <c r="L31" s="8"/>
    </row>
    <row r="32" spans="1:11" ht="12.75">
      <c r="A32" s="8"/>
      <c r="B32" s="9"/>
      <c r="C32" s="9"/>
      <c r="D32" s="9"/>
      <c r="E32" s="9"/>
      <c r="F32" s="8"/>
      <c r="G32" s="8"/>
      <c r="H32" s="8"/>
      <c r="I32" s="8"/>
      <c r="J32" s="8"/>
      <c r="K32" s="8"/>
    </row>
    <row r="33" spans="1:11" ht="15">
      <c r="A33" s="371" t="s">
        <v>7</v>
      </c>
      <c r="B33" s="9"/>
      <c r="C33" s="9"/>
      <c r="D33" s="9"/>
      <c r="E33" s="9"/>
      <c r="F33" s="8"/>
      <c r="G33" s="8"/>
      <c r="H33" s="8"/>
      <c r="I33" s="8"/>
      <c r="J33" s="8"/>
      <c r="K33" s="8"/>
    </row>
    <row r="34" spans="1:6" ht="12.75">
      <c r="A34" s="7"/>
      <c r="B34" s="7"/>
      <c r="C34" s="7"/>
      <c r="D34" s="7"/>
      <c r="E34" s="7"/>
      <c r="F34" s="7"/>
    </row>
    <row r="37" ht="12.75">
      <c r="G37" s="10"/>
    </row>
    <row r="44" spans="3:14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3:14" ht="12.75">
      <c r="C45" s="8"/>
      <c r="D45" s="8"/>
      <c r="E45" s="8"/>
      <c r="F45" s="8"/>
      <c r="G45" s="519"/>
      <c r="H45" s="519"/>
      <c r="I45" s="519"/>
      <c r="J45" s="519"/>
      <c r="K45" s="519"/>
      <c r="L45" s="18"/>
      <c r="M45" s="8"/>
      <c r="N45" s="8"/>
    </row>
    <row r="46" spans="3:14" ht="12.75">
      <c r="C46" s="8"/>
      <c r="D46" s="8"/>
      <c r="E46" s="8"/>
      <c r="F46" s="8"/>
      <c r="G46" s="8"/>
      <c r="H46" s="28"/>
      <c r="I46" s="8"/>
      <c r="J46" s="8"/>
      <c r="K46" s="8"/>
      <c r="L46" s="8"/>
      <c r="M46" s="8"/>
      <c r="N46" s="8"/>
    </row>
    <row r="47" spans="3:14" ht="12.75">
      <c r="C47" s="8"/>
      <c r="D47" s="8"/>
      <c r="E47" s="8"/>
      <c r="F47" s="8"/>
      <c r="G47" s="8"/>
      <c r="H47" s="29"/>
      <c r="I47" s="29"/>
      <c r="J47" s="29"/>
      <c r="K47" s="29"/>
      <c r="L47" s="8"/>
      <c r="M47" s="8"/>
      <c r="N47" s="8"/>
    </row>
    <row r="48" spans="3:14" ht="12.75">
      <c r="C48" s="8"/>
      <c r="D48" s="8"/>
      <c r="E48" s="8"/>
      <c r="F48" s="8"/>
      <c r="G48" s="8"/>
      <c r="H48" s="29"/>
      <c r="I48" s="29"/>
      <c r="J48" s="29"/>
      <c r="K48" s="29"/>
      <c r="L48" s="8"/>
      <c r="M48" s="8"/>
      <c r="N48" s="8"/>
    </row>
    <row r="49" spans="3:14" ht="12.75">
      <c r="C49" s="8"/>
      <c r="D49" s="8"/>
      <c r="E49" s="8"/>
      <c r="F49" s="8"/>
      <c r="G49" s="8"/>
      <c r="H49" s="29"/>
      <c r="I49" s="29"/>
      <c r="J49" s="29"/>
      <c r="K49" s="29"/>
      <c r="L49" s="8"/>
      <c r="M49" s="8"/>
      <c r="N49" s="8"/>
    </row>
    <row r="50" spans="3:14" ht="12.75">
      <c r="C50" s="8"/>
      <c r="D50" s="8"/>
      <c r="E50" s="8"/>
      <c r="F50" s="8"/>
      <c r="G50" s="8"/>
      <c r="H50" s="29"/>
      <c r="I50" s="29"/>
      <c r="J50" s="29"/>
      <c r="K50" s="29"/>
      <c r="L50" s="8"/>
      <c r="M50" s="8"/>
      <c r="N50" s="8"/>
    </row>
    <row r="51" spans="3:14" ht="12.75">
      <c r="C51" s="8"/>
      <c r="D51" s="8"/>
      <c r="E51" s="8"/>
      <c r="F51" s="8"/>
      <c r="G51" s="8"/>
      <c r="H51" s="29"/>
      <c r="I51" s="29"/>
      <c r="J51" s="29"/>
      <c r="K51" s="29"/>
      <c r="L51" s="8"/>
      <c r="M51" s="8"/>
      <c r="N51" s="8"/>
    </row>
    <row r="52" spans="3:14" ht="12.75">
      <c r="C52" s="8"/>
      <c r="D52" s="8"/>
      <c r="E52" s="8"/>
      <c r="F52" s="8"/>
      <c r="G52" s="7"/>
      <c r="H52" s="8"/>
      <c r="I52" s="11"/>
      <c r="J52" s="11"/>
      <c r="K52" s="8"/>
      <c r="L52" s="8"/>
      <c r="M52" s="8"/>
      <c r="N52" s="8"/>
    </row>
    <row r="53" spans="3:14" ht="12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3:14" ht="12.75">
      <c r="C54" s="8"/>
      <c r="D54" s="8"/>
      <c r="E54" s="8"/>
      <c r="F54" s="8"/>
      <c r="G54" s="519"/>
      <c r="H54" s="519"/>
      <c r="I54" s="519"/>
      <c r="J54" s="519"/>
      <c r="K54" s="519"/>
      <c r="L54" s="18"/>
      <c r="M54" s="8"/>
      <c r="N54" s="8"/>
    </row>
    <row r="55" spans="3:14" ht="12.75">
      <c r="C55" s="8"/>
      <c r="D55" s="8"/>
      <c r="E55" s="8"/>
      <c r="F55" s="8"/>
      <c r="G55" s="8"/>
      <c r="H55" s="28"/>
      <c r="I55" s="8"/>
      <c r="J55" s="8"/>
      <c r="K55" s="8"/>
      <c r="L55" s="8"/>
      <c r="M55" s="8"/>
      <c r="N55" s="8"/>
    </row>
    <row r="56" spans="3:14" ht="12.75">
      <c r="C56" s="8"/>
      <c r="D56" s="8"/>
      <c r="E56" s="8"/>
      <c r="F56" s="8"/>
      <c r="G56" s="8"/>
      <c r="H56" s="29"/>
      <c r="I56" s="29"/>
      <c r="J56" s="29"/>
      <c r="K56" s="29"/>
      <c r="L56" s="8"/>
      <c r="M56" s="8"/>
      <c r="N56" s="8"/>
    </row>
    <row r="57" spans="3:14" ht="12.75">
      <c r="C57" s="8"/>
      <c r="D57" s="8"/>
      <c r="E57" s="8"/>
      <c r="F57" s="8"/>
      <c r="G57" s="8"/>
      <c r="H57" s="29"/>
      <c r="I57" s="29"/>
      <c r="J57" s="29"/>
      <c r="K57" s="29"/>
      <c r="L57" s="8"/>
      <c r="M57" s="8"/>
      <c r="N57" s="8"/>
    </row>
    <row r="58" spans="3:14" ht="12.75">
      <c r="C58" s="8"/>
      <c r="D58" s="8"/>
      <c r="E58" s="8"/>
      <c r="F58" s="8"/>
      <c r="G58" s="8"/>
      <c r="H58" s="29"/>
      <c r="I58" s="29"/>
      <c r="J58" s="29"/>
      <c r="K58" s="29"/>
      <c r="L58" s="8"/>
      <c r="M58" s="8"/>
      <c r="N58" s="8"/>
    </row>
    <row r="59" spans="3:14" ht="12.75">
      <c r="C59" s="8"/>
      <c r="D59" s="8"/>
      <c r="E59" s="8"/>
      <c r="F59" s="8"/>
      <c r="G59" s="8"/>
      <c r="H59" s="29"/>
      <c r="I59" s="29"/>
      <c r="J59" s="29"/>
      <c r="K59" s="29"/>
      <c r="L59" s="8"/>
      <c r="M59" s="8"/>
      <c r="N59" s="8"/>
    </row>
    <row r="60" spans="3:14" ht="12.75">
      <c r="C60" s="8"/>
      <c r="D60" s="8"/>
      <c r="E60" s="8"/>
      <c r="F60" s="8"/>
      <c r="G60" s="8"/>
      <c r="H60" s="29"/>
      <c r="I60" s="29"/>
      <c r="J60" s="29"/>
      <c r="K60" s="29"/>
      <c r="L60" s="8"/>
      <c r="M60" s="8"/>
      <c r="N60" s="8"/>
    </row>
    <row r="61" spans="3:14" ht="12.75">
      <c r="C61" s="8"/>
      <c r="D61" s="8"/>
      <c r="E61" s="8"/>
      <c r="F61" s="8"/>
      <c r="G61" s="8"/>
      <c r="H61" s="8"/>
      <c r="I61" s="11"/>
      <c r="J61" s="11"/>
      <c r="K61" s="8"/>
      <c r="L61" s="8"/>
      <c r="M61" s="8"/>
      <c r="N61" s="8"/>
    </row>
    <row r="62" spans="3:14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3:14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</sheetData>
  <sheetProtection/>
  <mergeCells count="12">
    <mergeCell ref="A1:A2"/>
    <mergeCell ref="B1:B2"/>
    <mergeCell ref="C1:D1"/>
    <mergeCell ref="G45:K45"/>
    <mergeCell ref="A24:A25"/>
    <mergeCell ref="A10:A11"/>
    <mergeCell ref="G54:K54"/>
    <mergeCell ref="B24:E24"/>
    <mergeCell ref="F24:I24"/>
    <mergeCell ref="F10:I10"/>
    <mergeCell ref="B10:E10"/>
    <mergeCell ref="G21:I21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156"/>
  <sheetViews>
    <sheetView tabSelected="1" zoomScale="120" zoomScaleNormal="120" zoomScalePageLayoutView="0" workbookViewId="0" topLeftCell="A58">
      <selection activeCell="B77" sqref="B77"/>
    </sheetView>
  </sheetViews>
  <sheetFormatPr defaultColWidth="9.140625" defaultRowHeight="12.75"/>
  <cols>
    <col min="1" max="1" width="1.7109375" style="0" customWidth="1"/>
    <col min="2" max="2" width="14.28125" style="0" customWidth="1"/>
    <col min="3" max="3" width="11.8515625" style="0" customWidth="1"/>
    <col min="4" max="4" width="13.421875" style="0" customWidth="1"/>
    <col min="5" max="5" width="11.57421875" style="0" customWidth="1"/>
    <col min="6" max="6" width="14.7109375" style="0" customWidth="1"/>
    <col min="7" max="7" width="11.140625" style="0" customWidth="1"/>
    <col min="8" max="8" width="13.7109375" style="0" customWidth="1"/>
    <col min="9" max="9" width="12.28125" style="0" customWidth="1"/>
    <col min="10" max="10" width="11.421875" style="0" customWidth="1"/>
    <col min="11" max="11" width="15.8515625" style="0" customWidth="1"/>
    <col min="12" max="12" width="12.8515625" style="0" customWidth="1"/>
    <col min="13" max="13" width="11.00390625" style="0" customWidth="1"/>
    <col min="14" max="14" width="14.140625" style="0" customWidth="1"/>
    <col min="15" max="15" width="13.57421875" style="0" customWidth="1"/>
    <col min="16" max="16" width="16.140625" style="0" customWidth="1"/>
  </cols>
  <sheetData>
    <row r="1" spans="2:3" ht="12.75">
      <c r="B1" s="49" t="s">
        <v>208</v>
      </c>
      <c r="C1" s="49"/>
    </row>
    <row r="2" ht="13.5" thickBot="1">
      <c r="L2" s="397" t="s">
        <v>150</v>
      </c>
    </row>
    <row r="3" spans="2:9" ht="13.5" thickBot="1">
      <c r="B3" s="430"/>
      <c r="C3" s="422" t="s">
        <v>151</v>
      </c>
      <c r="D3" s="400"/>
      <c r="E3" s="425" t="s">
        <v>152</v>
      </c>
      <c r="F3" s="426"/>
      <c r="G3" s="422" t="s">
        <v>153</v>
      </c>
      <c r="H3" s="428"/>
      <c r="I3" s="435" t="s">
        <v>161</v>
      </c>
    </row>
    <row r="4" spans="2:9" ht="71.25" customHeight="1" thickBot="1">
      <c r="B4" s="429" t="s">
        <v>149</v>
      </c>
      <c r="C4" s="413" t="s">
        <v>0</v>
      </c>
      <c r="D4" s="419" t="s">
        <v>1</v>
      </c>
      <c r="E4" s="427" t="s">
        <v>52</v>
      </c>
      <c r="F4" s="431" t="s">
        <v>53</v>
      </c>
      <c r="G4" s="413" t="s">
        <v>54</v>
      </c>
      <c r="H4" s="419" t="s">
        <v>55</v>
      </c>
      <c r="I4" s="417"/>
    </row>
    <row r="5" spans="2:9" ht="12.75">
      <c r="B5" s="36" t="s">
        <v>40</v>
      </c>
      <c r="C5" s="415">
        <f>'Replace Boiler'!G12</f>
        <v>3339654.112934333</v>
      </c>
      <c r="D5" s="420">
        <f>'Replace Boiler'!N12</f>
        <v>3258199.134570086</v>
      </c>
      <c r="E5" s="423">
        <f>'Optimize Boiler'!E12</f>
        <v>1500617.9147451613</v>
      </c>
      <c r="F5" s="424">
        <f>'Optimize Boiler'!J12</f>
        <v>900370.7488470968</v>
      </c>
      <c r="G5" s="415">
        <f>'Feedwater Economizer'!E12</f>
        <v>667930.822586867</v>
      </c>
      <c r="H5" s="420">
        <f>'Feedwater Economizer'!J12</f>
        <v>400758.49355212017</v>
      </c>
      <c r="I5" s="436">
        <f aca="true" t="shared" si="0" ref="I5:I10">SUM(C5:H5)</f>
        <v>10067531.227235666</v>
      </c>
    </row>
    <row r="6" spans="2:9" ht="12.75">
      <c r="B6" s="36" t="s">
        <v>41</v>
      </c>
      <c r="C6" s="415">
        <f>'Replace Boiler'!G13</f>
        <v>215397.69321117553</v>
      </c>
      <c r="D6" s="420">
        <f>'Replace Boiler'!N13</f>
        <v>236447.26697880047</v>
      </c>
      <c r="E6" s="415">
        <f>'Optimize Boiler'!E13</f>
        <v>132273.33009328047</v>
      </c>
      <c r="F6" s="420">
        <f>'Optimize Boiler'!J13</f>
        <v>79363.99805596827</v>
      </c>
      <c r="G6" s="415">
        <f>'Feedwater Economizer'!E13</f>
        <v>103031.89658601221</v>
      </c>
      <c r="H6" s="420">
        <f>'Feedwater Economizer'!J13</f>
        <v>61819.13795160733</v>
      </c>
      <c r="I6" s="436">
        <f t="shared" si="0"/>
        <v>828333.3228768443</v>
      </c>
    </row>
    <row r="7" spans="2:9" ht="12.75">
      <c r="B7" s="36" t="s">
        <v>43</v>
      </c>
      <c r="C7" s="415">
        <f>'Replace Boiler'!G14</f>
        <v>250504.0677884969</v>
      </c>
      <c r="D7" s="420">
        <f>'Replace Boiler'!N14</f>
        <v>244394.2124765827</v>
      </c>
      <c r="E7" s="415">
        <f>'Optimize Boiler'!E14</f>
        <v>112559.82779296469</v>
      </c>
      <c r="F7" s="420">
        <f>'Optimize Boiler'!J14</f>
        <v>67535.8966757788</v>
      </c>
      <c r="G7" s="415">
        <f>'Feedwater Economizer'!E14</f>
        <v>87676.42372597396</v>
      </c>
      <c r="H7" s="420">
        <f>'Feedwater Economizer'!J14</f>
        <v>52605.85423558438</v>
      </c>
      <c r="I7" s="436">
        <f t="shared" si="0"/>
        <v>815276.2826953813</v>
      </c>
    </row>
    <row r="8" spans="2:9" ht="12.75">
      <c r="B8" s="36" t="s">
        <v>44</v>
      </c>
      <c r="C8" s="415">
        <f>'Replace Boiler'!G15</f>
        <v>493495.9812458243</v>
      </c>
      <c r="D8" s="420">
        <f>'Replace Boiler'!N15</f>
        <v>481459.4938983658</v>
      </c>
      <c r="E8" s="415">
        <f>'Optimize Boiler'!E15</f>
        <v>221744.19423979052</v>
      </c>
      <c r="F8" s="420">
        <f>'Optimize Boiler'!J15</f>
        <v>133046.5165438743</v>
      </c>
      <c r="G8" s="415">
        <f>'Feedwater Economizer'!E15</f>
        <v>98699.19624916492</v>
      </c>
      <c r="H8" s="420">
        <f>'Feedwater Economizer'!J15</f>
        <v>59219.51774949895</v>
      </c>
      <c r="I8" s="436">
        <f t="shared" si="0"/>
        <v>1487664.8999265186</v>
      </c>
    </row>
    <row r="9" spans="2:9" ht="12.75">
      <c r="B9" s="36" t="s">
        <v>46</v>
      </c>
      <c r="C9" s="415">
        <f>'Replace Boiler'!G16</f>
        <v>3035369.571295188</v>
      </c>
      <c r="D9" s="420">
        <f>'Replace Boiler'!N16</f>
        <v>2072935.316982082</v>
      </c>
      <c r="E9" s="415">
        <f>'Optimize Boiler'!E16</f>
        <v>954724.9091580468</v>
      </c>
      <c r="F9" s="420">
        <f>'Optimize Boiler'!J16</f>
        <v>572834.945494828</v>
      </c>
      <c r="G9" s="415">
        <f>'Feedwater Economizer'!E16</f>
        <v>743665.5449673212</v>
      </c>
      <c r="H9" s="420">
        <f>'Feedwater Economizer'!J16</f>
        <v>446199.32698039274</v>
      </c>
      <c r="I9" s="436">
        <f t="shared" si="0"/>
        <v>7825729.614877858</v>
      </c>
    </row>
    <row r="10" spans="2:9" ht="13.5" thickBot="1">
      <c r="B10" s="418" t="s">
        <v>50</v>
      </c>
      <c r="C10" s="416">
        <f>'Replace Boiler'!G17</f>
        <v>7334421.426475017</v>
      </c>
      <c r="D10" s="421">
        <f>'Replace Boiler'!N17</f>
        <v>6293435.424905917</v>
      </c>
      <c r="E10" s="416">
        <f>'Optimize Boiler'!E17</f>
        <v>2921920.1760292435</v>
      </c>
      <c r="F10" s="421">
        <f>'Optimize Boiler'!J17</f>
        <v>1753152.1056175462</v>
      </c>
      <c r="G10" s="416">
        <f>'Feedwater Economizer'!E17</f>
        <v>1701003.8841153393</v>
      </c>
      <c r="H10" s="421">
        <f>'Feedwater Economizer'!J17</f>
        <v>1020602.3304692036</v>
      </c>
      <c r="I10" s="437">
        <f t="shared" si="0"/>
        <v>21024535.34761226</v>
      </c>
    </row>
    <row r="11" spans="2:9" ht="13.5" thickBot="1">
      <c r="B11" s="430"/>
      <c r="C11" s="425" t="s">
        <v>154</v>
      </c>
      <c r="D11" s="433"/>
      <c r="E11" s="422" t="s">
        <v>155</v>
      </c>
      <c r="F11" s="400"/>
      <c r="G11" s="425" t="s">
        <v>156</v>
      </c>
      <c r="H11" s="432"/>
      <c r="I11" s="435" t="s">
        <v>160</v>
      </c>
    </row>
    <row r="12" spans="2:9" ht="64.5" customHeight="1">
      <c r="B12" s="429" t="s">
        <v>149</v>
      </c>
      <c r="C12" s="413" t="s">
        <v>56</v>
      </c>
      <c r="D12" s="414" t="s">
        <v>57</v>
      </c>
      <c r="E12" s="413" t="s">
        <v>58</v>
      </c>
      <c r="F12" s="419" t="s">
        <v>59</v>
      </c>
      <c r="G12" s="413" t="s">
        <v>60</v>
      </c>
      <c r="H12" s="419" t="s">
        <v>61</v>
      </c>
      <c r="I12" s="417"/>
    </row>
    <row r="13" spans="2:9" ht="12.75">
      <c r="B13" s="36" t="s">
        <v>40</v>
      </c>
      <c r="C13" s="415">
        <f>'Air Preheater'!E12</f>
        <v>166982.70564671676</v>
      </c>
      <c r="D13" s="30">
        <f>'Air Preheater'!J12</f>
        <v>100189.62338803004</v>
      </c>
      <c r="E13" s="415">
        <f>'Blowdown Practices'!E12</f>
        <v>189247.06639961235</v>
      </c>
      <c r="F13" s="420">
        <f>'Blowdown Practices'!J12</f>
        <v>567741.1991988369</v>
      </c>
      <c r="G13" s="415">
        <f>'Blowdown Heat Recovery'!E12</f>
        <v>333965.4112934335</v>
      </c>
      <c r="H13" s="420">
        <f>'Blowdown Heat Recovery'!J12</f>
        <v>200379.24677606008</v>
      </c>
      <c r="I13" s="436">
        <f aca="true" t="shared" si="1" ref="I13:I18">SUM(C13:H13)</f>
        <v>1558505.2527026897</v>
      </c>
    </row>
    <row r="14" spans="2:12" ht="12.75">
      <c r="B14" s="36" t="s">
        <v>41</v>
      </c>
      <c r="C14" s="415">
        <f>'Air Preheater'!E13</f>
        <v>17662.61084331638</v>
      </c>
      <c r="D14" s="30">
        <f>'Air Preheater'!J13</f>
        <v>10597.566505989826</v>
      </c>
      <c r="E14" s="415">
        <f>'Blowdown Practices'!E13</f>
        <v>24138.90148586572</v>
      </c>
      <c r="F14" s="420">
        <f>'Blowdown Practices'!J13</f>
        <v>72416.70445759717</v>
      </c>
      <c r="G14" s="415">
        <f>'Blowdown Heat Recovery'!E13</f>
        <v>29437.684738860633</v>
      </c>
      <c r="H14" s="420">
        <f>'Blowdown Heat Recovery'!J13</f>
        <v>17662.61084331638</v>
      </c>
      <c r="I14" s="436">
        <f t="shared" si="1"/>
        <v>171916.0788749461</v>
      </c>
      <c r="L14" s="379"/>
    </row>
    <row r="15" spans="2:9" ht="12.75">
      <c r="B15" s="36" t="s">
        <v>43</v>
      </c>
      <c r="C15" s="415">
        <f>'Air Preheater'!E14</f>
        <v>15030.244067309823</v>
      </c>
      <c r="D15" s="30">
        <f>'Air Preheater'!J14</f>
        <v>9018.146440385892</v>
      </c>
      <c r="E15" s="415">
        <f>'Blowdown Practices'!E14</f>
        <v>20541.33355865676</v>
      </c>
      <c r="F15" s="420">
        <f>'Blowdown Practices'!J14</f>
        <v>61624.00067597029</v>
      </c>
      <c r="G15" s="415">
        <f>'Blowdown Heat Recovery'!E14</f>
        <v>25050.406778849705</v>
      </c>
      <c r="H15" s="420">
        <f>'Blowdown Heat Recovery'!J14</f>
        <v>15030.244067309823</v>
      </c>
      <c r="I15" s="436">
        <f t="shared" si="1"/>
        <v>146294.3755884823</v>
      </c>
    </row>
    <row r="16" spans="2:9" ht="12.75">
      <c r="B16" s="36" t="s">
        <v>44</v>
      </c>
      <c r="C16" s="415">
        <f>'Air Preheater'!E15</f>
        <v>31254.745478902223</v>
      </c>
      <c r="D16" s="30">
        <f>'Air Preheater'!J15</f>
        <v>18752.847287341334</v>
      </c>
      <c r="E16" s="415">
        <f>'Blowdown Practices'!E15</f>
        <v>27964.772270596728</v>
      </c>
      <c r="F16" s="420">
        <f>'Blowdown Practices'!J15</f>
        <v>83894.31681179018</v>
      </c>
      <c r="G16" s="415">
        <f>'Blowdown Heat Recovery'!E15</f>
        <v>49349.59812458246</v>
      </c>
      <c r="H16" s="420">
        <f>'Blowdown Heat Recovery'!J15</f>
        <v>29609.758874749474</v>
      </c>
      <c r="I16" s="436">
        <f t="shared" si="1"/>
        <v>240826.03884796242</v>
      </c>
    </row>
    <row r="17" spans="2:9" ht="12.75">
      <c r="B17" s="36" t="s">
        <v>46</v>
      </c>
      <c r="C17" s="415">
        <f>'Air Preheater'!E16</f>
        <v>127485.52199439792</v>
      </c>
      <c r="D17" s="30">
        <f>'Air Preheater'!J16</f>
        <v>76491.31319663874</v>
      </c>
      <c r="E17" s="415">
        <f>'Blowdown Practices'!E16</f>
        <v>174230.21339234384</v>
      </c>
      <c r="F17" s="420">
        <f>'Blowdown Practices'!J16</f>
        <v>522690.6401770316</v>
      </c>
      <c r="G17" s="415">
        <f>'Blowdown Heat Recovery'!E16</f>
        <v>212475.8699906632</v>
      </c>
      <c r="H17" s="420">
        <f>'Blowdown Heat Recovery'!J16</f>
        <v>127485.52199439793</v>
      </c>
      <c r="I17" s="436">
        <f t="shared" si="1"/>
        <v>1240859.0807454733</v>
      </c>
    </row>
    <row r="18" spans="2:9" ht="13.5" thickBot="1">
      <c r="B18" s="418" t="s">
        <v>50</v>
      </c>
      <c r="C18" s="416">
        <f>'Air Preheater'!E17</f>
        <v>358415.8280306431</v>
      </c>
      <c r="D18" s="31">
        <f>'Air Preheater'!J17</f>
        <v>215049.49681838584</v>
      </c>
      <c r="E18" s="416">
        <f>'Blowdown Practices'!E17</f>
        <v>436122.28710707545</v>
      </c>
      <c r="F18" s="421">
        <f>'Blowdown Practices'!J17</f>
        <v>1308366.8613212262</v>
      </c>
      <c r="G18" s="416">
        <f>'Blowdown Heat Recovery'!E17</f>
        <v>650278.9709263896</v>
      </c>
      <c r="H18" s="421">
        <f>'Blowdown Heat Recovery'!J17</f>
        <v>390167.3825558337</v>
      </c>
      <c r="I18" s="437">
        <f t="shared" si="1"/>
        <v>3358400.8267595535</v>
      </c>
    </row>
    <row r="19" spans="2:9" ht="13.5" thickBot="1">
      <c r="B19" s="430"/>
      <c r="C19" s="422" t="s">
        <v>157</v>
      </c>
      <c r="D19" s="400"/>
      <c r="E19" s="425" t="s">
        <v>158</v>
      </c>
      <c r="F19" s="426"/>
      <c r="G19" s="422" t="s">
        <v>159</v>
      </c>
      <c r="H19" s="428"/>
      <c r="I19" s="435" t="s">
        <v>162</v>
      </c>
    </row>
    <row r="20" spans="2:9" ht="66" thickBot="1">
      <c r="B20" s="429" t="s">
        <v>149</v>
      </c>
      <c r="C20" s="413" t="s">
        <v>62</v>
      </c>
      <c r="D20" s="419" t="s">
        <v>63</v>
      </c>
      <c r="E20" s="427" t="s">
        <v>64</v>
      </c>
      <c r="F20" s="438" t="s">
        <v>65</v>
      </c>
      <c r="G20" s="413" t="s">
        <v>72</v>
      </c>
      <c r="H20" s="439" t="s">
        <v>73</v>
      </c>
      <c r="I20" s="417"/>
    </row>
    <row r="21" spans="2:9" ht="12.75">
      <c r="B21" s="36" t="s">
        <v>40</v>
      </c>
      <c r="C21" s="415">
        <f>'Optimize Steam Quality'!D12</f>
        <v>129133.29236679431</v>
      </c>
      <c r="D21" s="420">
        <f>'Optimize Steam Quality'!H12</f>
        <v>77479.97542007659</v>
      </c>
      <c r="E21" s="423">
        <f>'Optimize Condensate Recovery'!D12</f>
        <v>178114.88602316458</v>
      </c>
      <c r="F21" s="424">
        <f>'Optimize Condensate Recovery'!H12</f>
        <v>106868.93161389873</v>
      </c>
      <c r="G21" s="415">
        <f>'Minimize Vented Steam'!D12</f>
        <v>228209.6977171796</v>
      </c>
      <c r="H21" s="420">
        <f>'Minimize Vented Steam'!H12</f>
        <v>136925.81863030777</v>
      </c>
      <c r="I21" s="436">
        <f aca="true" t="shared" si="2" ref="I21:I26">SUM(C21:H21)</f>
        <v>856732.6017714216</v>
      </c>
    </row>
    <row r="22" spans="2:9" ht="12.75">
      <c r="B22" s="36" t="s">
        <v>41</v>
      </c>
      <c r="C22" s="415">
        <f>'Optimize Steam Quality'!D13</f>
        <v>22176.389169941674</v>
      </c>
      <c r="D22" s="420">
        <f>'Optimize Steam Quality'!H13</f>
        <v>13305.833501965006</v>
      </c>
      <c r="E22" s="423">
        <f>'Optimize Condensate Recovery'!D13</f>
        <v>15700.098527392338</v>
      </c>
      <c r="F22" s="424">
        <f>'Optimize Condensate Recovery'!H13</f>
        <v>9420.059116435403</v>
      </c>
      <c r="G22" s="415">
        <f>'Minimize Vented Steam'!D13</f>
        <v>31400.197054784676</v>
      </c>
      <c r="H22" s="420">
        <f>'Minimize Vented Steam'!H13</f>
        <v>18840.118232870802</v>
      </c>
      <c r="I22" s="436">
        <f t="shared" si="2"/>
        <v>110842.6956033899</v>
      </c>
    </row>
    <row r="23" spans="2:9" ht="12.75">
      <c r="B23" s="36" t="s">
        <v>43</v>
      </c>
      <c r="C23" s="415">
        <f>'Optimize Steam Quality'!D14</f>
        <v>18871.30644006678</v>
      </c>
      <c r="D23" s="420">
        <f>'Optimize Steam Quality'!H14</f>
        <v>11322.783864040066</v>
      </c>
      <c r="E23" s="423">
        <f>'Optimize Condensate Recovery'!D14</f>
        <v>13360.216948719844</v>
      </c>
      <c r="F23" s="424">
        <f>'Optimize Condensate Recovery'!H14</f>
        <v>8016.130169231906</v>
      </c>
      <c r="G23" s="415">
        <f>'Minimize Vented Steam'!D14</f>
        <v>26720.43389743969</v>
      </c>
      <c r="H23" s="420">
        <f>'Minimize Vented Steam'!H14</f>
        <v>16032.26033846381</v>
      </c>
      <c r="I23" s="436">
        <f t="shared" si="2"/>
        <v>94323.13165796209</v>
      </c>
    </row>
    <row r="24" spans="2:9" ht="12.75">
      <c r="B24" s="36" t="s">
        <v>44</v>
      </c>
      <c r="C24" s="415">
        <f>'Optimize Steam Quality'!D15</f>
        <v>19081.844608171887</v>
      </c>
      <c r="D24" s="420">
        <f>'Optimize Steam Quality'!H15</f>
        <v>11449.10676490313</v>
      </c>
      <c r="E24" s="423">
        <f>'Optimize Condensate Recovery'!D15</f>
        <v>26319.78566644398</v>
      </c>
      <c r="F24" s="424">
        <f>'Optimize Condensate Recovery'!H15</f>
        <v>15791.871399866386</v>
      </c>
      <c r="G24" s="415">
        <f>'Minimize Vented Steam'!D15</f>
        <v>33722.22538513135</v>
      </c>
      <c r="H24" s="420">
        <f>'Minimize Vented Steam'!H15</f>
        <v>20233.33523107881</v>
      </c>
      <c r="I24" s="436">
        <f t="shared" si="2"/>
        <v>126598.16905559556</v>
      </c>
    </row>
    <row r="25" spans="2:9" ht="12.75">
      <c r="B25" s="36" t="s">
        <v>46</v>
      </c>
      <c r="C25" s="415">
        <f>'Optimize Steam Quality'!D16</f>
        <v>160065.15539296626</v>
      </c>
      <c r="D25" s="420">
        <f>'Optimize Steam Quality'!H16</f>
        <v>96039.09323577976</v>
      </c>
      <c r="E25" s="423">
        <f>'Optimize Condensate Recovery'!D16</f>
        <v>113320.46399502037</v>
      </c>
      <c r="F25" s="424">
        <f>'Optimize Condensate Recovery'!H16</f>
        <v>67992.27839701223</v>
      </c>
      <c r="G25" s="415">
        <f>'Minimize Vented Steam'!D16</f>
        <v>216017.13449050757</v>
      </c>
      <c r="H25" s="420">
        <f>'Minimize Vented Steam'!H16</f>
        <v>129610.28069430454</v>
      </c>
      <c r="I25" s="436">
        <f t="shared" si="2"/>
        <v>783044.4062055907</v>
      </c>
    </row>
    <row r="26" spans="2:9" ht="13.5" thickBot="1">
      <c r="B26" s="418" t="s">
        <v>50</v>
      </c>
      <c r="C26" s="416">
        <f aca="true" t="shared" si="3" ref="C26:H26">SUM(C21:C25)</f>
        <v>349327.98797794094</v>
      </c>
      <c r="D26" s="416">
        <f t="shared" si="3"/>
        <v>209596.79278676456</v>
      </c>
      <c r="E26" s="416">
        <f t="shared" si="3"/>
        <v>346815.45116074116</v>
      </c>
      <c r="F26" s="416">
        <f t="shared" si="3"/>
        <v>208089.27069644467</v>
      </c>
      <c r="G26" s="416">
        <f t="shared" si="3"/>
        <v>536069.6885450429</v>
      </c>
      <c r="H26" s="416">
        <f t="shared" si="3"/>
        <v>321641.8131270257</v>
      </c>
      <c r="I26" s="437">
        <f t="shared" si="2"/>
        <v>1971541.00429396</v>
      </c>
    </row>
    <row r="27" spans="2:9" ht="13.5" thickBot="1">
      <c r="B27" s="430"/>
      <c r="C27" s="425" t="s">
        <v>164</v>
      </c>
      <c r="D27" s="433"/>
      <c r="E27" s="422" t="s">
        <v>166</v>
      </c>
      <c r="F27" s="400"/>
      <c r="G27" s="425" t="s">
        <v>179</v>
      </c>
      <c r="H27" s="432"/>
      <c r="I27" s="435" t="s">
        <v>163</v>
      </c>
    </row>
    <row r="28" spans="2:9" ht="51" customHeight="1">
      <c r="B28" s="462" t="s">
        <v>149</v>
      </c>
      <c r="C28" s="413" t="s">
        <v>70</v>
      </c>
      <c r="D28" s="440" t="s">
        <v>71</v>
      </c>
      <c r="E28" s="439" t="s">
        <v>68</v>
      </c>
      <c r="F28" s="419" t="s">
        <v>69</v>
      </c>
      <c r="G28" s="413" t="s">
        <v>66</v>
      </c>
      <c r="H28" s="443" t="s">
        <v>67</v>
      </c>
      <c r="I28" s="417"/>
    </row>
    <row r="29" spans="2:9" ht="12.75">
      <c r="B29" s="36" t="s">
        <v>40</v>
      </c>
      <c r="C29" s="415">
        <f>'Insulation Maintenance'!D12</f>
        <v>3117010.5054053804</v>
      </c>
      <c r="D29" s="30">
        <f>'Insulation Maintenance'!H12</f>
        <v>834913.5282335838</v>
      </c>
      <c r="E29" s="415">
        <f>'Steam Trap Maintenance'!D12</f>
        <v>3339654.112934335</v>
      </c>
      <c r="F29" s="420">
        <f>'Steam Trap Maintenance'!H12</f>
        <v>3339654.112934335</v>
      </c>
      <c r="G29" s="415">
        <f>'Steam Leak Maintenance'!D12</f>
        <v>1113218.0376447786</v>
      </c>
      <c r="H29" s="420">
        <f>'Steam Leak Maintenance'!H12</f>
        <v>667930.8225868671</v>
      </c>
      <c r="I29" s="436">
        <f aca="true" t="shared" si="4" ref="I29:I34">SUM(C29:H29)</f>
        <v>12412381.119739281</v>
      </c>
    </row>
    <row r="30" spans="2:9" ht="12.75">
      <c r="B30" s="36" t="s">
        <v>41</v>
      </c>
      <c r="C30" s="415">
        <f>'Insulation Maintenance'!D13</f>
        <v>274751.72422936594</v>
      </c>
      <c r="D30" s="30">
        <f>'Insulation Maintenance'!H13</f>
        <v>73594.21184715157</v>
      </c>
      <c r="E30" s="415">
        <f>'Steam Trap Maintenance'!D13</f>
        <v>294376.8473886063</v>
      </c>
      <c r="F30" s="420">
        <f>'Steam Trap Maintenance'!H13</f>
        <v>294376.8473886063</v>
      </c>
      <c r="G30" s="415">
        <f>'Steam Leak Maintenance'!D13</f>
        <v>98125.61579620211</v>
      </c>
      <c r="H30" s="420">
        <f>'Steam Leak Maintenance'!H13</f>
        <v>58875.369477721266</v>
      </c>
      <c r="I30" s="436">
        <f t="shared" si="4"/>
        <v>1094100.6161276533</v>
      </c>
    </row>
    <row r="31" spans="2:9" ht="12.75">
      <c r="B31" s="36" t="s">
        <v>43</v>
      </c>
      <c r="C31" s="415">
        <f>'Insulation Maintenance'!D14</f>
        <v>233803.7966025973</v>
      </c>
      <c r="D31" s="30">
        <f>'Insulation Maintenance'!H14</f>
        <v>62626.01694712426</v>
      </c>
      <c r="E31" s="415">
        <f>'Steam Trap Maintenance'!D14</f>
        <v>250504.06778849705</v>
      </c>
      <c r="F31" s="420">
        <f>'Steam Trap Maintenance'!H14</f>
        <v>250504.06778849705</v>
      </c>
      <c r="G31" s="415">
        <f>'Steam Leak Maintenance'!D14</f>
        <v>83501.35592949903</v>
      </c>
      <c r="H31" s="420">
        <f>'Steam Leak Maintenance'!H14</f>
        <v>50100.81355769941</v>
      </c>
      <c r="I31" s="436">
        <f t="shared" si="4"/>
        <v>931040.1186139141</v>
      </c>
    </row>
    <row r="32" spans="2:9" ht="12.75">
      <c r="B32" s="36" t="s">
        <v>44</v>
      </c>
      <c r="C32" s="415">
        <f>'Insulation Maintenance'!D15</f>
        <v>460596.24916276964</v>
      </c>
      <c r="D32" s="30">
        <f>'Insulation Maintenance'!H15</f>
        <v>123373.99531145614</v>
      </c>
      <c r="E32" s="415">
        <f>'Steam Trap Maintenance'!D15</f>
        <v>493495.98124582454</v>
      </c>
      <c r="F32" s="420">
        <f>'Steam Trap Maintenance'!H15</f>
        <v>493495.98124582454</v>
      </c>
      <c r="G32" s="415">
        <f>'Steam Leak Maintenance'!D15</f>
        <v>164498.66041527488</v>
      </c>
      <c r="H32" s="420">
        <f>'Steam Leak Maintenance'!H15</f>
        <v>98699.19624916492</v>
      </c>
      <c r="I32" s="436">
        <f t="shared" si="4"/>
        <v>1834160.0636303145</v>
      </c>
    </row>
    <row r="33" spans="2:9" ht="12.75">
      <c r="B33" s="36" t="s">
        <v>46</v>
      </c>
      <c r="C33" s="415">
        <f>'Insulation Maintenance'!D16</f>
        <v>1983108.1199128567</v>
      </c>
      <c r="D33" s="30">
        <f>'Insulation Maintenance'!H16</f>
        <v>531189.674976658</v>
      </c>
      <c r="E33" s="415">
        <f>'Steam Trap Maintenance'!D16</f>
        <v>2124758.699906632</v>
      </c>
      <c r="F33" s="420">
        <f>'Steam Trap Maintenance'!H16</f>
        <v>2124758.699906632</v>
      </c>
      <c r="G33" s="415">
        <f>'Steam Leak Maintenance'!D16</f>
        <v>708252.8999688774</v>
      </c>
      <c r="H33" s="420">
        <f>'Steam Leak Maintenance'!H16</f>
        <v>424951.7399813264</v>
      </c>
      <c r="I33" s="436">
        <f t="shared" si="4"/>
        <v>7897019.834652982</v>
      </c>
    </row>
    <row r="34" spans="2:9" ht="13.5" thickBot="1">
      <c r="B34" s="418" t="s">
        <v>50</v>
      </c>
      <c r="C34" s="416">
        <f aca="true" t="shared" si="5" ref="C34:H34">SUM(C29:C33)</f>
        <v>6069270.3953129705</v>
      </c>
      <c r="D34" s="416">
        <f t="shared" si="5"/>
        <v>1625697.4273159737</v>
      </c>
      <c r="E34" s="416">
        <f t="shared" si="5"/>
        <v>6502789.709263895</v>
      </c>
      <c r="F34" s="416">
        <f t="shared" si="5"/>
        <v>6502789.709263895</v>
      </c>
      <c r="G34" s="416">
        <f t="shared" si="5"/>
        <v>2167596.569754632</v>
      </c>
      <c r="H34" s="416">
        <f t="shared" si="5"/>
        <v>1300557.9418527791</v>
      </c>
      <c r="I34" s="463">
        <f t="shared" si="4"/>
        <v>24168701.752764143</v>
      </c>
    </row>
    <row r="35" spans="2:9" ht="13.5" thickBot="1">
      <c r="B35" s="441" t="s">
        <v>165</v>
      </c>
      <c r="C35" s="445"/>
      <c r="D35" s="445"/>
      <c r="E35" s="445"/>
      <c r="F35" s="445"/>
      <c r="G35" s="445"/>
      <c r="H35" s="445"/>
      <c r="I35" s="442">
        <f>SUM(I10,I18,I26,I34)</f>
        <v>50523178.93142992</v>
      </c>
    </row>
    <row r="36" spans="2:9" ht="13.5" thickBot="1">
      <c r="B36" s="446" t="s">
        <v>173</v>
      </c>
      <c r="C36" s="445"/>
      <c r="D36" s="445"/>
      <c r="E36" s="445"/>
      <c r="F36" s="445"/>
      <c r="G36" s="445"/>
      <c r="H36" s="464" t="s">
        <v>174</v>
      </c>
      <c r="I36" s="461">
        <f>SUM(I5,I8:I9,I13,I16:I17,I21,I24:I25,I29,I32:I33)</f>
        <v>46331052.30939136</v>
      </c>
    </row>
    <row r="37" spans="2:9" ht="12.75">
      <c r="B37" s="475"/>
      <c r="C37" s="476"/>
      <c r="D37" s="476"/>
      <c r="E37" s="476"/>
      <c r="F37" s="476"/>
      <c r="G37" s="476"/>
      <c r="H37" s="477"/>
      <c r="I37" s="478" t="s">
        <v>180</v>
      </c>
    </row>
    <row r="41" ht="12.75">
      <c r="B41" s="397" t="s">
        <v>168</v>
      </c>
    </row>
    <row r="42" ht="12.75">
      <c r="B42" s="412" t="s">
        <v>167</v>
      </c>
    </row>
    <row r="43" spans="3:8" ht="12.75">
      <c r="C43" s="401"/>
      <c r="D43" s="401"/>
      <c r="E43" s="401"/>
      <c r="F43" s="401"/>
      <c r="G43" s="401"/>
      <c r="H43" s="401"/>
    </row>
    <row r="44" spans="2:8" ht="12.75">
      <c r="B44" s="447"/>
      <c r="C44" s="448" t="s">
        <v>171</v>
      </c>
      <c r="D44" s="448"/>
      <c r="E44" s="449"/>
      <c r="F44" s="450" t="s">
        <v>169</v>
      </c>
      <c r="G44" s="448"/>
      <c r="H44" s="449"/>
    </row>
    <row r="45" spans="2:8" ht="12.75">
      <c r="B45" s="451"/>
      <c r="C45" s="459"/>
      <c r="D45" s="452"/>
      <c r="E45" s="434"/>
      <c r="F45" s="453" t="s">
        <v>170</v>
      </c>
      <c r="G45" s="452"/>
      <c r="H45" s="454"/>
    </row>
    <row r="46" spans="2:8" ht="39">
      <c r="B46" s="455" t="s">
        <v>133</v>
      </c>
      <c r="C46" s="456" t="s">
        <v>134</v>
      </c>
      <c r="D46" s="457" t="s">
        <v>135</v>
      </c>
      <c r="E46" s="458" t="s">
        <v>136</v>
      </c>
      <c r="F46" s="456" t="s">
        <v>137</v>
      </c>
      <c r="G46" s="457" t="s">
        <v>138</v>
      </c>
      <c r="H46" s="458" t="s">
        <v>139</v>
      </c>
    </row>
    <row r="47" spans="2:8" ht="26.25">
      <c r="B47" s="378" t="s">
        <v>141</v>
      </c>
      <c r="C47" s="404">
        <v>280</v>
      </c>
      <c r="D47" s="405">
        <v>84</v>
      </c>
      <c r="E47" s="399">
        <v>120000</v>
      </c>
      <c r="F47" s="406">
        <f aca="true" t="shared" si="6" ref="F47:G50">C47/1020</f>
        <v>0.27450980392156865</v>
      </c>
      <c r="G47" s="407">
        <f t="shared" si="6"/>
        <v>0.08235294117647059</v>
      </c>
      <c r="H47" s="408">
        <f>E47/1020/2200</f>
        <v>0.053475935828877004</v>
      </c>
    </row>
    <row r="48" spans="2:8" ht="26.25">
      <c r="B48" s="378" t="s">
        <v>142</v>
      </c>
      <c r="C48" s="404">
        <v>190</v>
      </c>
      <c r="D48" s="405">
        <v>84</v>
      </c>
      <c r="E48" s="399">
        <v>120000</v>
      </c>
      <c r="F48" s="406">
        <f t="shared" si="6"/>
        <v>0.18627450980392157</v>
      </c>
      <c r="G48" s="407">
        <f t="shared" si="6"/>
        <v>0.08235294117647059</v>
      </c>
      <c r="H48" s="408">
        <f>E48/1020/2200</f>
        <v>0.053475935828877004</v>
      </c>
    </row>
    <row r="49" spans="2:8" ht="26.25">
      <c r="B49" s="378" t="s">
        <v>143</v>
      </c>
      <c r="C49" s="404">
        <v>140</v>
      </c>
      <c r="D49" s="405">
        <v>84</v>
      </c>
      <c r="E49" s="399">
        <v>120000</v>
      </c>
      <c r="F49" s="406">
        <f t="shared" si="6"/>
        <v>0.13725490196078433</v>
      </c>
      <c r="G49" s="407">
        <f t="shared" si="6"/>
        <v>0.08235294117647059</v>
      </c>
      <c r="H49" s="408">
        <f>E49/1020/2200</f>
        <v>0.053475935828877004</v>
      </c>
    </row>
    <row r="50" spans="2:8" ht="39.75" thickBot="1">
      <c r="B50" s="378" t="s">
        <v>144</v>
      </c>
      <c r="C50" s="409">
        <v>100</v>
      </c>
      <c r="D50" s="410">
        <v>84</v>
      </c>
      <c r="E50" s="411">
        <v>120000</v>
      </c>
      <c r="F50" s="406">
        <f t="shared" si="6"/>
        <v>0.09803921568627451</v>
      </c>
      <c r="G50" s="407">
        <f t="shared" si="6"/>
        <v>0.08235294117647059</v>
      </c>
      <c r="H50" s="408">
        <f>E50/1020/2200</f>
        <v>0.053475935828877004</v>
      </c>
    </row>
    <row r="51" spans="2:8" ht="12.75">
      <c r="B51" s="401"/>
      <c r="C51" s="401"/>
      <c r="D51" s="401"/>
      <c r="E51" s="401"/>
      <c r="F51" s="401"/>
      <c r="G51" s="401"/>
      <c r="H51" s="401"/>
    </row>
    <row r="52" spans="5:9" ht="12.75">
      <c r="E52" s="460" t="s">
        <v>172</v>
      </c>
      <c r="G52" s="401"/>
      <c r="H52" s="401"/>
      <c r="I52" s="401"/>
    </row>
    <row r="57" ht="12.75">
      <c r="B57" s="397" t="s">
        <v>148</v>
      </c>
    </row>
    <row r="58" ht="12.75">
      <c r="B58" s="401"/>
    </row>
    <row r="59" ht="12.75">
      <c r="B59" s="402"/>
    </row>
    <row r="60" ht="12.75">
      <c r="B60" s="403"/>
    </row>
    <row r="61" ht="12.75">
      <c r="B61" s="403"/>
    </row>
    <row r="62" ht="12.75">
      <c r="B62" s="402"/>
    </row>
    <row r="63" ht="12.75">
      <c r="B63" s="402"/>
    </row>
    <row r="64" ht="12.75">
      <c r="B64" s="402"/>
    </row>
    <row r="65" ht="12.75">
      <c r="B65" s="401"/>
    </row>
    <row r="66" ht="12.75">
      <c r="B66" s="401"/>
    </row>
    <row r="77" ht="12.75">
      <c r="B77" s="480" t="s">
        <v>210</v>
      </c>
    </row>
    <row r="78" ht="12.75">
      <c r="B78" s="480" t="s">
        <v>211</v>
      </c>
    </row>
    <row r="80" spans="2:8" ht="13.5" thickBot="1">
      <c r="B80" s="49" t="s">
        <v>177</v>
      </c>
      <c r="H80" s="49" t="s">
        <v>209</v>
      </c>
    </row>
    <row r="81" spans="2:9" ht="13.5" thickBot="1">
      <c r="B81" s="467"/>
      <c r="C81" s="425" t="s">
        <v>151</v>
      </c>
      <c r="D81" s="432"/>
      <c r="E81" s="425" t="s">
        <v>152</v>
      </c>
      <c r="F81" s="426"/>
      <c r="G81" s="425" t="s">
        <v>153</v>
      </c>
      <c r="H81" s="426"/>
      <c r="I81" s="435" t="s">
        <v>161</v>
      </c>
    </row>
    <row r="82" spans="2:9" ht="66">
      <c r="B82" s="462" t="s">
        <v>149</v>
      </c>
      <c r="C82" s="439" t="s">
        <v>186</v>
      </c>
      <c r="D82" s="440" t="s">
        <v>187</v>
      </c>
      <c r="E82" s="439" t="s">
        <v>183</v>
      </c>
      <c r="F82" s="440" t="s">
        <v>188</v>
      </c>
      <c r="G82" s="439" t="s">
        <v>184</v>
      </c>
      <c r="H82" s="440" t="s">
        <v>185</v>
      </c>
      <c r="I82" s="417"/>
    </row>
    <row r="83" spans="2:9" ht="12.75">
      <c r="B83" s="36" t="s">
        <v>40</v>
      </c>
      <c r="C83" s="465">
        <f>C5*$F$47/2000/365</f>
        <v>1.2558462954896767</v>
      </c>
      <c r="D83" s="466">
        <f aca="true" t="shared" si="7" ref="D83:D88">D5*$F$48/2000/365</f>
        <v>0.8313965022405537</v>
      </c>
      <c r="E83" s="465">
        <f>E5*$F$47/2000/365</f>
        <v>0.5642936021066952</v>
      </c>
      <c r="F83" s="466">
        <f aca="true" t="shared" si="8" ref="F83:F88">F5*$F$48/2000/365</f>
        <v>0.22974810942915444</v>
      </c>
      <c r="G83" s="465">
        <f>G5*$F$47/2000/365</f>
        <v>0.2511692590979355</v>
      </c>
      <c r="H83" s="466">
        <f aca="true" t="shared" si="9" ref="H83:H88">H5*$F$48/2000/365</f>
        <v>0.102261769775588</v>
      </c>
      <c r="I83" s="468">
        <f aca="true" t="shared" si="10" ref="I83:I88">SUM(C83:H83)</f>
        <v>3.234715538139604</v>
      </c>
    </row>
    <row r="84" spans="2:9" ht="12.75">
      <c r="B84" s="36" t="s">
        <v>41</v>
      </c>
      <c r="C84" s="465">
        <f>C6*$F$47/2000/365</f>
        <v>0.0809983267514493</v>
      </c>
      <c r="D84" s="466">
        <f t="shared" si="7"/>
        <v>0.060334381850620594</v>
      </c>
      <c r="E84" s="465">
        <f>E6*$F$47/2000/365</f>
        <v>0.04974017247665664</v>
      </c>
      <c r="F84" s="466">
        <f t="shared" si="8"/>
        <v>0.020251355936924485</v>
      </c>
      <c r="G84" s="465">
        <f>G6*$F$47/2000/365</f>
        <v>0.03874419962944323</v>
      </c>
      <c r="H84" s="466">
        <f t="shared" si="9"/>
        <v>0.015774424134844738</v>
      </c>
      <c r="I84" s="468">
        <f t="shared" si="10"/>
        <v>0.265842860779939</v>
      </c>
    </row>
    <row r="85" spans="2:9" ht="12.75">
      <c r="B85" s="36" t="s">
        <v>43</v>
      </c>
      <c r="C85" s="465">
        <f>C7*$F$47/2000/365</f>
        <v>0.09419975689065155</v>
      </c>
      <c r="D85" s="466">
        <f t="shared" si="7"/>
        <v>0.062362208394508074</v>
      </c>
      <c r="E85" s="465">
        <f>E7*$F$47/2000/365</f>
        <v>0.04232709076286612</v>
      </c>
      <c r="F85" s="466">
        <f t="shared" si="8"/>
        <v>0.017233172667738345</v>
      </c>
      <c r="G85" s="465">
        <f>G7*$F$47/2000/365</f>
        <v>0.03296991491172806</v>
      </c>
      <c r="H85" s="466">
        <f t="shared" si="9"/>
        <v>0.013423465356917852</v>
      </c>
      <c r="I85" s="468">
        <f t="shared" si="10"/>
        <v>0.26251560898441</v>
      </c>
    </row>
    <row r="86" spans="2:9" ht="12.75">
      <c r="B86" s="36" t="s">
        <v>44</v>
      </c>
      <c r="C86" s="465">
        <f>C8*$F$47/2000/365</f>
        <v>0.1855746370518813</v>
      </c>
      <c r="D86" s="466">
        <f t="shared" si="7"/>
        <v>0.12285428933748255</v>
      </c>
      <c r="E86" s="465">
        <f>E8*$F$47/2000/365</f>
        <v>0.08338487024864538</v>
      </c>
      <c r="F86" s="466">
        <f t="shared" si="8"/>
        <v>0.0339495543155199</v>
      </c>
      <c r="G86" s="465">
        <f>G8*$F$47/2000/365</f>
        <v>0.03711492741037628</v>
      </c>
      <c r="H86" s="466">
        <f t="shared" si="9"/>
        <v>0.015111077588510342</v>
      </c>
      <c r="I86" s="468">
        <f t="shared" si="10"/>
        <v>0.4779893559524157</v>
      </c>
    </row>
    <row r="87" spans="2:9" ht="12.75">
      <c r="B87" s="36" t="s">
        <v>46</v>
      </c>
      <c r="C87" s="465">
        <f>C9*$F$47/2000/365</f>
        <v>1.141422884720189</v>
      </c>
      <c r="D87" s="466">
        <f t="shared" si="7"/>
        <v>0.5289520685288687</v>
      </c>
      <c r="E87" s="465">
        <f>E9*$F$47/2000/365</f>
        <v>0.3590155446739902</v>
      </c>
      <c r="F87" s="466">
        <f t="shared" si="8"/>
        <v>0.14617061461726744</v>
      </c>
      <c r="G87" s="465">
        <f>G9*$F$47/2000/365</f>
        <v>0.27964860675644637</v>
      </c>
      <c r="H87" s="466">
        <f t="shared" si="9"/>
        <v>0.11385693275083887</v>
      </c>
      <c r="I87" s="468">
        <f t="shared" si="10"/>
        <v>2.5690666520476007</v>
      </c>
    </row>
    <row r="88" spans="2:9" ht="13.5" thickBot="1">
      <c r="B88" s="469" t="s">
        <v>50</v>
      </c>
      <c r="C88" s="470">
        <f>SUM(C83:C87)</f>
        <v>2.758041900903848</v>
      </c>
      <c r="D88" s="472">
        <f t="shared" si="7"/>
        <v>1.6058994503520336</v>
      </c>
      <c r="E88" s="470">
        <f>SUM(E83:E87)</f>
        <v>1.0987612802688536</v>
      </c>
      <c r="F88" s="472">
        <f t="shared" si="8"/>
        <v>0.44735280696660457</v>
      </c>
      <c r="G88" s="470">
        <f>SUM(G83:G87)</f>
        <v>0.6396469078059295</v>
      </c>
      <c r="H88" s="472">
        <f t="shared" si="9"/>
        <v>0.26042766960669983</v>
      </c>
      <c r="I88" s="471">
        <f t="shared" si="10"/>
        <v>6.810130015903968</v>
      </c>
    </row>
    <row r="89" spans="2:9" ht="13.5" thickBot="1">
      <c r="B89" s="430"/>
      <c r="C89" s="425" t="s">
        <v>154</v>
      </c>
      <c r="D89" s="433"/>
      <c r="E89" s="422" t="s">
        <v>155</v>
      </c>
      <c r="F89" s="400"/>
      <c r="G89" s="425" t="s">
        <v>156</v>
      </c>
      <c r="H89" s="432"/>
      <c r="I89" s="435" t="s">
        <v>160</v>
      </c>
    </row>
    <row r="90" spans="2:9" ht="66">
      <c r="B90" s="429" t="s">
        <v>149</v>
      </c>
      <c r="C90" s="439" t="s">
        <v>189</v>
      </c>
      <c r="D90" s="440" t="s">
        <v>181</v>
      </c>
      <c r="E90" s="439" t="s">
        <v>182</v>
      </c>
      <c r="F90" s="443" t="s">
        <v>190</v>
      </c>
      <c r="G90" s="439" t="s">
        <v>191</v>
      </c>
      <c r="H90" s="443" t="s">
        <v>192</v>
      </c>
      <c r="I90" s="417"/>
    </row>
    <row r="91" spans="2:9" ht="12.75">
      <c r="B91" s="36" t="s">
        <v>40</v>
      </c>
      <c r="C91" s="465">
        <f>C13*$F$47/2000/365</f>
        <v>0.06279231477448388</v>
      </c>
      <c r="D91" s="466">
        <f aca="true" t="shared" si="11" ref="D91:D96">D13*$F$48/2000/365</f>
        <v>0.025565442443897</v>
      </c>
      <c r="E91" s="465">
        <f>E13*$F$47/2000/365</f>
        <v>0.07116462341108173</v>
      </c>
      <c r="F91" s="466">
        <f aca="true" t="shared" si="12" ref="F91:F96">F13*$F$48/2000/365</f>
        <v>0.14487084051541635</v>
      </c>
      <c r="G91" s="465">
        <f>G13*$F$47/2000/365</f>
        <v>0.12558462954896776</v>
      </c>
      <c r="H91" s="466">
        <f aca="true" t="shared" si="13" ref="H91:H96">H13*$F$48/2000/365</f>
        <v>0.051130884887794</v>
      </c>
      <c r="I91" s="468">
        <f aca="true" t="shared" si="14" ref="I91:I96">SUM(C91:H91)</f>
        <v>0.48110873558164075</v>
      </c>
    </row>
    <row r="92" spans="2:9" ht="12.75">
      <c r="B92" s="36" t="s">
        <v>41</v>
      </c>
      <c r="C92" s="465">
        <f>C14*$F$47/2000/365</f>
        <v>0.006641862793618837</v>
      </c>
      <c r="D92" s="466">
        <f t="shared" si="11"/>
        <v>0.002704186994544812</v>
      </c>
      <c r="E92" s="465">
        <f>E14*$F$47/2000/365</f>
        <v>0.009077212484612412</v>
      </c>
      <c r="F92" s="466">
        <f t="shared" si="12"/>
        <v>0.018478611129389554</v>
      </c>
      <c r="G92" s="465">
        <f>G14*$F$47/2000/365</f>
        <v>0.011069771322698062</v>
      </c>
      <c r="H92" s="466">
        <f t="shared" si="13"/>
        <v>0.004506978324241353</v>
      </c>
      <c r="I92" s="468">
        <f t="shared" si="14"/>
        <v>0.05247862304910503</v>
      </c>
    </row>
    <row r="93" spans="2:9" ht="12.75">
      <c r="B93" s="36" t="s">
        <v>43</v>
      </c>
      <c r="C93" s="465">
        <f>C15*$F$47/2000/365</f>
        <v>0.005651985413439096</v>
      </c>
      <c r="D93" s="466">
        <f t="shared" si="11"/>
        <v>0.0023011654897573453</v>
      </c>
      <c r="E93" s="465">
        <f>E15*$F$47/2000/365</f>
        <v>0.007724380065033432</v>
      </c>
      <c r="F93" s="466">
        <f t="shared" si="12"/>
        <v>0.015724630846675202</v>
      </c>
      <c r="G93" s="465">
        <f>G15*$F$47/2000/365</f>
        <v>0.00941997568906516</v>
      </c>
      <c r="H93" s="466">
        <f t="shared" si="13"/>
        <v>0.003835275816262243</v>
      </c>
      <c r="I93" s="468">
        <f t="shared" si="14"/>
        <v>0.04465741332023248</v>
      </c>
    </row>
    <row r="94" spans="2:9" ht="12.75">
      <c r="B94" s="36" t="s">
        <v>44</v>
      </c>
      <c r="C94" s="465">
        <f>C16*$F$47/2000/365</f>
        <v>0.011753060346619154</v>
      </c>
      <c r="D94" s="466">
        <f t="shared" si="11"/>
        <v>0.004785174569694942</v>
      </c>
      <c r="E94" s="465">
        <f>E16*$F$47/2000/365</f>
        <v>0.010515896099606615</v>
      </c>
      <c r="F94" s="466">
        <f t="shared" si="12"/>
        <v>0.021407359917056317</v>
      </c>
      <c r="G94" s="465">
        <f>G16*$F$47/2000/365</f>
        <v>0.01855746370518814</v>
      </c>
      <c r="H94" s="466">
        <f t="shared" si="13"/>
        <v>0.007555538794255171</v>
      </c>
      <c r="I94" s="468">
        <f t="shared" si="14"/>
        <v>0.07457449343242034</v>
      </c>
    </row>
    <row r="95" spans="2:9" ht="12.75">
      <c r="B95" s="36" t="s">
        <v>46</v>
      </c>
      <c r="C95" s="465">
        <f>C17*$F$47/2000/365</f>
        <v>0.04793976115824794</v>
      </c>
      <c r="D95" s="466">
        <f t="shared" si="11"/>
        <v>0.019518331328715232</v>
      </c>
      <c r="E95" s="465">
        <f>E17*$F$47/2000/365</f>
        <v>0.06551767358293886</v>
      </c>
      <c r="F95" s="466">
        <f t="shared" si="12"/>
        <v>0.13337526407955413</v>
      </c>
      <c r="G95" s="465">
        <f>G17*$F$47/2000/365</f>
        <v>0.07989960193041323</v>
      </c>
      <c r="H95" s="466">
        <f t="shared" si="13"/>
        <v>0.032530552214525395</v>
      </c>
      <c r="I95" s="468">
        <f t="shared" si="14"/>
        <v>0.3787811842943948</v>
      </c>
    </row>
    <row r="96" spans="2:9" ht="13.5" thickBot="1">
      <c r="B96" s="418" t="s">
        <v>50</v>
      </c>
      <c r="C96" s="470">
        <f>SUM(C91:C95)</f>
        <v>0.1347789844864089</v>
      </c>
      <c r="D96" s="472">
        <f t="shared" si="11"/>
        <v>0.05487430082660934</v>
      </c>
      <c r="E96" s="470">
        <f>SUM(E91:E95)</f>
        <v>0.16399978564327305</v>
      </c>
      <c r="F96" s="472">
        <f t="shared" si="12"/>
        <v>0.33385670648809157</v>
      </c>
      <c r="G96" s="470">
        <f>SUM(G91:G95)</f>
        <v>0.24453144219633238</v>
      </c>
      <c r="H96" s="472">
        <f t="shared" si="13"/>
        <v>0.09955923003707816</v>
      </c>
      <c r="I96" s="471">
        <f t="shared" si="14"/>
        <v>1.0316004496777933</v>
      </c>
    </row>
    <row r="97" spans="2:9" ht="13.5" thickBot="1">
      <c r="B97" s="430"/>
      <c r="C97" s="422" t="s">
        <v>157</v>
      </c>
      <c r="D97" s="400"/>
      <c r="E97" s="425" t="s">
        <v>205</v>
      </c>
      <c r="F97" s="426"/>
      <c r="G97" s="422" t="s">
        <v>206</v>
      </c>
      <c r="H97" s="428"/>
      <c r="I97" s="435" t="s">
        <v>162</v>
      </c>
    </row>
    <row r="98" spans="2:9" ht="53.25" thickBot="1">
      <c r="B98" s="429" t="s">
        <v>149</v>
      </c>
      <c r="C98" s="439" t="s">
        <v>193</v>
      </c>
      <c r="D98" s="443" t="s">
        <v>194</v>
      </c>
      <c r="E98" s="479" t="s">
        <v>195</v>
      </c>
      <c r="F98" s="438" t="s">
        <v>196</v>
      </c>
      <c r="G98" s="439" t="s">
        <v>197</v>
      </c>
      <c r="H98" s="439" t="s">
        <v>198</v>
      </c>
      <c r="I98" s="417"/>
    </row>
    <row r="99" spans="2:9" ht="12.75">
      <c r="B99" s="36" t="s">
        <v>40</v>
      </c>
      <c r="C99" s="465">
        <f>C21*$F$47/2000/365</f>
        <v>0.04855939009226754</v>
      </c>
      <c r="D99" s="466">
        <f aca="true" t="shared" si="15" ref="D99:D104">D21*$F$48/2000/365</f>
        <v>0.019770608823280356</v>
      </c>
      <c r="E99" s="465">
        <f>E21*$F$47/2000/365</f>
        <v>0.06697846909278282</v>
      </c>
      <c r="F99" s="466">
        <f aca="true" t="shared" si="16" ref="F99:F104">F21*$F$48/2000/365</f>
        <v>0.02726980527349014</v>
      </c>
      <c r="G99" s="465">
        <f>G21*$F$47/2000/365</f>
        <v>0.08581616352512798</v>
      </c>
      <c r="H99" s="466">
        <f aca="true" t="shared" si="17" ref="H99:H104">H21*$F$48/2000/365</f>
        <v>0.03493943800665925</v>
      </c>
      <c r="I99" s="468">
        <f aca="true" t="shared" si="18" ref="I99:I104">SUM(C99:H99)</f>
        <v>0.2833338748136081</v>
      </c>
    </row>
    <row r="100" spans="2:9" ht="12.75">
      <c r="B100" s="36" t="s">
        <v>41</v>
      </c>
      <c r="C100" s="465">
        <f>C22*$F$47/2000/365</f>
        <v>0.008339227729765874</v>
      </c>
      <c r="D100" s="466">
        <f t="shared" si="15"/>
        <v>0.0033952570042618197</v>
      </c>
      <c r="E100" s="465">
        <f>E22*$F$47/2000/365</f>
        <v>0.0059038780387723</v>
      </c>
      <c r="F100" s="466">
        <f t="shared" si="16"/>
        <v>0.002403721772928722</v>
      </c>
      <c r="G100" s="465">
        <f>G22*$F$47/2000/365</f>
        <v>0.0118077560775446</v>
      </c>
      <c r="H100" s="466">
        <f t="shared" si="17"/>
        <v>0.004807443545857444</v>
      </c>
      <c r="I100" s="468">
        <f t="shared" si="18"/>
        <v>0.036657284169130756</v>
      </c>
    </row>
    <row r="101" spans="2:9" ht="12.75">
      <c r="B101" s="36" t="s">
        <v>43</v>
      </c>
      <c r="C101" s="465">
        <f>C23*$F$47/2000/365</f>
        <v>0.0070963816857624205</v>
      </c>
      <c r="D101" s="466">
        <f t="shared" si="15"/>
        <v>0.0028892411149175567</v>
      </c>
      <c r="E101" s="465">
        <f>E23*$F$47/2000/365</f>
        <v>0.005023987034168086</v>
      </c>
      <c r="F101" s="466">
        <f t="shared" si="16"/>
        <v>0.0020454804353398632</v>
      </c>
      <c r="G101" s="465">
        <f>G23*$F$47/2000/365</f>
        <v>0.010047974068336171</v>
      </c>
      <c r="H101" s="466">
        <f t="shared" si="17"/>
        <v>0.004090960870679726</v>
      </c>
      <c r="I101" s="468">
        <f t="shared" si="18"/>
        <v>0.03119402520920382</v>
      </c>
    </row>
    <row r="102" spans="2:9" ht="12.75">
      <c r="B102" s="36" t="s">
        <v>44</v>
      </c>
      <c r="C102" s="465">
        <f>C24*$F$47/2000/365</f>
        <v>0.007175552632672748</v>
      </c>
      <c r="D102" s="466">
        <f t="shared" si="15"/>
        <v>0.002921475000445333</v>
      </c>
      <c r="E102" s="465">
        <f>E24*$F$47/2000/365</f>
        <v>0.009897313976100343</v>
      </c>
      <c r="F102" s="466">
        <f t="shared" si="16"/>
        <v>0.004029620690269424</v>
      </c>
      <c r="G102" s="465">
        <f>G24*$F$47/2000/365</f>
        <v>0.012680933531878562</v>
      </c>
      <c r="H102" s="466">
        <f t="shared" si="17"/>
        <v>0.005162951509407701</v>
      </c>
      <c r="I102" s="468">
        <f t="shared" si="18"/>
        <v>0.04186784734077411</v>
      </c>
    </row>
    <row r="103" spans="2:9" ht="12.75">
      <c r="B103" s="36" t="s">
        <v>46</v>
      </c>
      <c r="C103" s="465">
        <f>C25*$F$47/2000/365</f>
        <v>0.06019103345424465</v>
      </c>
      <c r="D103" s="466">
        <f t="shared" si="15"/>
        <v>0.02450634933494246</v>
      </c>
      <c r="E103" s="465">
        <f>E25*$F$47/2000/365</f>
        <v>0.04261312102955373</v>
      </c>
      <c r="F103" s="466">
        <f t="shared" si="16"/>
        <v>0.017349627847746876</v>
      </c>
      <c r="G103" s="465">
        <f>G25*$F$47/2000/365</f>
        <v>0.0812312619625868</v>
      </c>
      <c r="H103" s="466">
        <f t="shared" si="17"/>
        <v>0.03307272808476748</v>
      </c>
      <c r="I103" s="468">
        <f t="shared" si="18"/>
        <v>0.258964121713842</v>
      </c>
    </row>
    <row r="104" spans="2:9" ht="13.5" thickBot="1">
      <c r="B104" s="418" t="s">
        <v>50</v>
      </c>
      <c r="C104" s="470">
        <f>SUM(C99:C103)</f>
        <v>0.13136158559471323</v>
      </c>
      <c r="D104" s="472">
        <f t="shared" si="15"/>
        <v>0.05348293127784753</v>
      </c>
      <c r="E104" s="470">
        <f>SUM(E99:E103)</f>
        <v>0.1304167691713773</v>
      </c>
      <c r="F104" s="472">
        <f t="shared" si="16"/>
        <v>0.053098256019775025</v>
      </c>
      <c r="G104" s="470">
        <f>SUM(G99:G103)</f>
        <v>0.2015840891654741</v>
      </c>
      <c r="H104" s="472">
        <f t="shared" si="17"/>
        <v>0.0820735220173716</v>
      </c>
      <c r="I104" s="471">
        <f t="shared" si="18"/>
        <v>0.6520171532465588</v>
      </c>
    </row>
    <row r="105" spans="2:9" ht="13.5" thickBot="1">
      <c r="B105" s="430"/>
      <c r="C105" s="425" t="s">
        <v>164</v>
      </c>
      <c r="D105" s="433"/>
      <c r="E105" s="422" t="s">
        <v>166</v>
      </c>
      <c r="F105" s="400"/>
      <c r="G105" s="425" t="s">
        <v>179</v>
      </c>
      <c r="H105" s="432"/>
      <c r="I105" s="435" t="s">
        <v>163</v>
      </c>
    </row>
    <row r="106" spans="2:9" ht="39">
      <c r="B106" s="462" t="s">
        <v>149</v>
      </c>
      <c r="C106" s="439" t="s">
        <v>199</v>
      </c>
      <c r="D106" s="440" t="s">
        <v>200</v>
      </c>
      <c r="E106" s="439" t="s">
        <v>201</v>
      </c>
      <c r="F106" s="443" t="s">
        <v>202</v>
      </c>
      <c r="G106" s="439" t="s">
        <v>203</v>
      </c>
      <c r="H106" s="443" t="s">
        <v>204</v>
      </c>
      <c r="I106" s="417"/>
    </row>
    <row r="107" spans="2:9" ht="12.75">
      <c r="B107" s="36" t="s">
        <v>40</v>
      </c>
      <c r="C107" s="465">
        <f>C29*$F$47/2000/365</f>
        <v>1.1721232091236995</v>
      </c>
      <c r="D107" s="466">
        <f aca="true" t="shared" si="19" ref="D107:D112">D29*$F$48/2000/365</f>
        <v>0.2130453536991417</v>
      </c>
      <c r="E107" s="465">
        <f>E29*$F$47/2000/365</f>
        <v>1.2558462954896776</v>
      </c>
      <c r="F107" s="466">
        <f aca="true" t="shared" si="20" ref="F107:F112">F29*$F$48/2000/365</f>
        <v>0.8521814147965668</v>
      </c>
      <c r="G107" s="465">
        <f>G29*$F$47/2000/365</f>
        <v>0.4186154318298926</v>
      </c>
      <c r="H107" s="466">
        <f aca="true" t="shared" si="21" ref="H107:H112">H29*$F$48/2000/365</f>
        <v>0.1704362829593134</v>
      </c>
      <c r="I107" s="468">
        <f aca="true" t="shared" si="22" ref="I107:I112">SUM(C107:H107)</f>
        <v>4.082247987898292</v>
      </c>
    </row>
    <row r="108" spans="2:9" ht="12.75">
      <c r="B108" s="36" t="s">
        <v>41</v>
      </c>
      <c r="C108" s="465">
        <f>C30*$F$47/2000/365</f>
        <v>0.10331786567851525</v>
      </c>
      <c r="D108" s="466">
        <f t="shared" si="19"/>
        <v>0.01877907635100564</v>
      </c>
      <c r="E108" s="465">
        <f>E30*$F$47/2000/365</f>
        <v>0.11069771322698063</v>
      </c>
      <c r="F108" s="466">
        <f t="shared" si="20"/>
        <v>0.07511630540402256</v>
      </c>
      <c r="G108" s="465">
        <f>G30*$F$47/2000/365</f>
        <v>0.036899237742326875</v>
      </c>
      <c r="H108" s="466">
        <f t="shared" si="21"/>
        <v>0.015023261080804515</v>
      </c>
      <c r="I108" s="468">
        <f t="shared" si="22"/>
        <v>0.3598334594836555</v>
      </c>
    </row>
    <row r="109" spans="2:9" ht="12.75">
      <c r="B109" s="36" t="s">
        <v>43</v>
      </c>
      <c r="C109" s="465">
        <f>C31*$F$47/2000/365</f>
        <v>0.0879197730979415</v>
      </c>
      <c r="D109" s="466">
        <f t="shared" si="19"/>
        <v>0.01598031590109268</v>
      </c>
      <c r="E109" s="465">
        <f>E31*$F$47/2000/365</f>
        <v>0.09419975689065158</v>
      </c>
      <c r="F109" s="466">
        <f t="shared" si="20"/>
        <v>0.06392126360437073</v>
      </c>
      <c r="G109" s="465">
        <f>G31*$F$47/2000/365</f>
        <v>0.03139991896355054</v>
      </c>
      <c r="H109" s="466">
        <f t="shared" si="21"/>
        <v>0.012784252720874145</v>
      </c>
      <c r="I109" s="468">
        <f t="shared" si="22"/>
        <v>0.30620528117848117</v>
      </c>
    </row>
    <row r="110" spans="2:9" ht="12.75">
      <c r="B110" s="36" t="s">
        <v>44</v>
      </c>
      <c r="C110" s="465">
        <f>C32*$F$47/2000/365</f>
        <v>0.17320299458175598</v>
      </c>
      <c r="D110" s="466">
        <f t="shared" si="19"/>
        <v>0.03148141164272988</v>
      </c>
      <c r="E110" s="465">
        <f>E32*$F$47/2000/365</f>
        <v>0.1855746370518814</v>
      </c>
      <c r="F110" s="466">
        <f t="shared" si="20"/>
        <v>0.1259256465709195</v>
      </c>
      <c r="G110" s="465">
        <f>G32*$F$47/2000/365</f>
        <v>0.06185821235062715</v>
      </c>
      <c r="H110" s="466">
        <f t="shared" si="21"/>
        <v>0.025185129314183905</v>
      </c>
      <c r="I110" s="468">
        <f t="shared" si="22"/>
        <v>0.6032280315120979</v>
      </c>
    </row>
    <row r="111" spans="2:9" ht="12.75">
      <c r="B111" s="36" t="s">
        <v>46</v>
      </c>
      <c r="C111" s="465">
        <f>C33*$F$47/2000/365</f>
        <v>0.7457296180171903</v>
      </c>
      <c r="D111" s="466">
        <f t="shared" si="19"/>
        <v>0.13554396756052245</v>
      </c>
      <c r="E111" s="465">
        <f>E33*$F$47/2000/365</f>
        <v>0.7989960193041324</v>
      </c>
      <c r="F111" s="466">
        <f t="shared" si="20"/>
        <v>0.5421758702420898</v>
      </c>
      <c r="G111" s="465">
        <f>G33*$F$47/2000/365</f>
        <v>0.2663320064347109</v>
      </c>
      <c r="H111" s="466">
        <f t="shared" si="21"/>
        <v>0.10843517404841797</v>
      </c>
      <c r="I111" s="468">
        <f t="shared" si="22"/>
        <v>2.5972126556070636</v>
      </c>
    </row>
    <row r="112" spans="2:9" ht="13.5" thickBot="1">
      <c r="B112" s="418" t="s">
        <v>50</v>
      </c>
      <c r="C112" s="470">
        <f>SUM(C107:C111)</f>
        <v>2.2822934604991025</v>
      </c>
      <c r="D112" s="472">
        <f t="shared" si="19"/>
        <v>0.41483012515449236</v>
      </c>
      <c r="E112" s="470">
        <f>SUM(E107:E111)</f>
        <v>2.4453144219633236</v>
      </c>
      <c r="F112" s="472">
        <f t="shared" si="20"/>
        <v>1.6593205006179694</v>
      </c>
      <c r="G112" s="470">
        <f>SUM(G107:G111)</f>
        <v>0.815104807321108</v>
      </c>
      <c r="H112" s="472">
        <f t="shared" si="21"/>
        <v>0.3318641001235939</v>
      </c>
      <c r="I112" s="471">
        <f t="shared" si="22"/>
        <v>7.94872741567959</v>
      </c>
    </row>
    <row r="113" spans="2:9" ht="12.75">
      <c r="B113" s="476" t="s">
        <v>176</v>
      </c>
      <c r="C113" s="401"/>
      <c r="D113" s="401"/>
      <c r="E113" s="401"/>
      <c r="F113" s="401" t="s">
        <v>175</v>
      </c>
      <c r="G113" s="401"/>
      <c r="H113" s="401"/>
      <c r="I113" s="401"/>
    </row>
    <row r="114" ht="13.5" thickBot="1"/>
    <row r="115" spans="2:9" ht="13.5" thickBot="1">
      <c r="B115" s="441" t="s">
        <v>165</v>
      </c>
      <c r="C115" s="445"/>
      <c r="D115" s="445"/>
      <c r="E115" s="445"/>
      <c r="F115" s="445"/>
      <c r="G115" s="445"/>
      <c r="H115" s="445"/>
      <c r="I115" s="473">
        <f>SUM(I88,I96,I104,I112)</f>
        <v>16.44247503450791</v>
      </c>
    </row>
    <row r="116" spans="2:9" ht="13.5" thickBot="1">
      <c r="B116" s="446" t="s">
        <v>173</v>
      </c>
      <c r="C116" s="445"/>
      <c r="D116" s="445"/>
      <c r="E116" s="445"/>
      <c r="F116" s="445"/>
      <c r="G116" s="445"/>
      <c r="H116" s="464" t="s">
        <v>178</v>
      </c>
      <c r="I116" s="474">
        <f>I115-SUM(I84:I85,I92:I93,I100:I101,I108:I109)</f>
        <v>15.083090478333753</v>
      </c>
    </row>
    <row r="120" ht="13.5" thickBot="1">
      <c r="B120" s="49" t="s">
        <v>207</v>
      </c>
    </row>
    <row r="121" spans="2:9" ht="13.5" thickBot="1">
      <c r="B121" s="467"/>
      <c r="C121" s="425" t="s">
        <v>151</v>
      </c>
      <c r="D121" s="432"/>
      <c r="E121" s="425" t="s">
        <v>152</v>
      </c>
      <c r="F121" s="426"/>
      <c r="G121" s="425" t="s">
        <v>153</v>
      </c>
      <c r="H121" s="426"/>
      <c r="I121" s="435" t="s">
        <v>161</v>
      </c>
    </row>
    <row r="122" spans="2:9" ht="66">
      <c r="B122" s="462" t="s">
        <v>149</v>
      </c>
      <c r="C122" s="439" t="s">
        <v>186</v>
      </c>
      <c r="D122" s="440" t="s">
        <v>187</v>
      </c>
      <c r="E122" s="439" t="s">
        <v>183</v>
      </c>
      <c r="F122" s="440" t="s">
        <v>188</v>
      </c>
      <c r="G122" s="439" t="s">
        <v>184</v>
      </c>
      <c r="H122" s="440" t="s">
        <v>185</v>
      </c>
      <c r="I122" s="417"/>
    </row>
    <row r="123" spans="2:9" ht="12.75">
      <c r="B123" s="36" t="s">
        <v>40</v>
      </c>
      <c r="C123" s="465">
        <f aca="true" t="shared" si="23" ref="C123:H127">C5*$G$47/2000/365</f>
        <v>0.376753888646903</v>
      </c>
      <c r="D123" s="465">
        <f t="shared" si="23"/>
        <v>0.3675647694116132</v>
      </c>
      <c r="E123" s="465">
        <f t="shared" si="23"/>
        <v>0.16928808063200854</v>
      </c>
      <c r="F123" s="465">
        <f t="shared" si="23"/>
        <v>0.10157284837920512</v>
      </c>
      <c r="G123" s="465">
        <f t="shared" si="23"/>
        <v>0.07535077772938065</v>
      </c>
      <c r="H123" s="465">
        <f t="shared" si="23"/>
        <v>0.04521046663762838</v>
      </c>
      <c r="I123" s="468">
        <f aca="true" t="shared" si="24" ref="I123:I128">SUM(C123:H123)</f>
        <v>1.1357408314367388</v>
      </c>
    </row>
    <row r="124" spans="2:9" ht="12.75">
      <c r="B124" s="36" t="s">
        <v>41</v>
      </c>
      <c r="C124" s="465">
        <f t="shared" si="23"/>
        <v>0.024299498025434785</v>
      </c>
      <c r="D124" s="465">
        <f t="shared" si="23"/>
        <v>0.026674147765537524</v>
      </c>
      <c r="E124" s="465">
        <f t="shared" si="23"/>
        <v>0.014922051742996992</v>
      </c>
      <c r="F124" s="465">
        <f t="shared" si="23"/>
        <v>0.008953231045798194</v>
      </c>
      <c r="G124" s="465">
        <f t="shared" si="23"/>
        <v>0.011623259888832966</v>
      </c>
      <c r="H124" s="465">
        <f t="shared" si="23"/>
        <v>0.006973955933299779</v>
      </c>
      <c r="I124" s="468">
        <f t="shared" si="24"/>
        <v>0.09344614440190023</v>
      </c>
    </row>
    <row r="125" spans="2:9" ht="12.75">
      <c r="B125" s="36" t="s">
        <v>43</v>
      </c>
      <c r="C125" s="465">
        <f t="shared" si="23"/>
        <v>0.02825992706719546</v>
      </c>
      <c r="D125" s="465">
        <f t="shared" si="23"/>
        <v>0.027570660553361465</v>
      </c>
      <c r="E125" s="465">
        <f t="shared" si="23"/>
        <v>0.012698127228859834</v>
      </c>
      <c r="F125" s="465">
        <f t="shared" si="23"/>
        <v>0.007618876337315899</v>
      </c>
      <c r="G125" s="465">
        <f t="shared" si="23"/>
        <v>0.009890974473518417</v>
      </c>
      <c r="H125" s="465">
        <f t="shared" si="23"/>
        <v>0.005934584684111051</v>
      </c>
      <c r="I125" s="468">
        <f t="shared" si="24"/>
        <v>0.09197315034436213</v>
      </c>
    </row>
    <row r="126" spans="2:9" ht="12.75">
      <c r="B126" s="36" t="s">
        <v>44</v>
      </c>
      <c r="C126" s="465">
        <f t="shared" si="23"/>
        <v>0.05567239111556438</v>
      </c>
      <c r="D126" s="465">
        <f t="shared" si="23"/>
        <v>0.05431452791762386</v>
      </c>
      <c r="E126" s="465">
        <f t="shared" si="23"/>
        <v>0.025015461074593612</v>
      </c>
      <c r="F126" s="465">
        <f t="shared" si="23"/>
        <v>0.015009276644756169</v>
      </c>
      <c r="G126" s="465">
        <f t="shared" si="23"/>
        <v>0.011134478223112882</v>
      </c>
      <c r="H126" s="465">
        <f t="shared" si="23"/>
        <v>0.00668068693386773</v>
      </c>
      <c r="I126" s="468">
        <f t="shared" si="24"/>
        <v>0.16782682190951867</v>
      </c>
    </row>
    <row r="127" spans="2:9" ht="12.75">
      <c r="B127" s="36" t="s">
        <v>46</v>
      </c>
      <c r="C127" s="465">
        <f t="shared" si="23"/>
        <v>0.3424268654160566</v>
      </c>
      <c r="D127" s="465">
        <f t="shared" si="23"/>
        <v>0.23385249345486825</v>
      </c>
      <c r="E127" s="465">
        <f t="shared" si="23"/>
        <v>0.10770466340219706</v>
      </c>
      <c r="F127" s="465">
        <f t="shared" si="23"/>
        <v>0.06462279804131822</v>
      </c>
      <c r="G127" s="465">
        <f t="shared" si="23"/>
        <v>0.08389458202693391</v>
      </c>
      <c r="H127" s="465">
        <f t="shared" si="23"/>
        <v>0.05033674921616034</v>
      </c>
      <c r="I127" s="468">
        <f t="shared" si="24"/>
        <v>0.8828381515575344</v>
      </c>
    </row>
    <row r="128" spans="2:9" ht="13.5" thickBot="1">
      <c r="B128" s="469" t="s">
        <v>50</v>
      </c>
      <c r="C128" s="470">
        <f aca="true" t="shared" si="25" ref="C128:H128">SUM(C123:C127)</f>
        <v>0.8274125702711543</v>
      </c>
      <c r="D128" s="472">
        <f t="shared" si="25"/>
        <v>0.7099765991030043</v>
      </c>
      <c r="E128" s="470">
        <f t="shared" si="25"/>
        <v>0.329628384080656</v>
      </c>
      <c r="F128" s="472">
        <f t="shared" si="25"/>
        <v>0.19777703044839362</v>
      </c>
      <c r="G128" s="470">
        <f t="shared" si="25"/>
        <v>0.1918940723417788</v>
      </c>
      <c r="H128" s="472">
        <f t="shared" si="25"/>
        <v>0.11513644340506728</v>
      </c>
      <c r="I128" s="471">
        <f t="shared" si="24"/>
        <v>2.3718250996500543</v>
      </c>
    </row>
    <row r="129" spans="2:9" ht="13.5" thickBot="1">
      <c r="B129" s="430"/>
      <c r="C129" s="425" t="s">
        <v>154</v>
      </c>
      <c r="D129" s="433"/>
      <c r="E129" s="422" t="s">
        <v>155</v>
      </c>
      <c r="F129" s="400"/>
      <c r="G129" s="425" t="s">
        <v>156</v>
      </c>
      <c r="H129" s="432"/>
      <c r="I129" s="435" t="s">
        <v>160</v>
      </c>
    </row>
    <row r="130" spans="2:9" ht="66">
      <c r="B130" s="429" t="s">
        <v>149</v>
      </c>
      <c r="C130" s="439" t="s">
        <v>189</v>
      </c>
      <c r="D130" s="440" t="s">
        <v>181</v>
      </c>
      <c r="E130" s="439" t="s">
        <v>182</v>
      </c>
      <c r="F130" s="443" t="s">
        <v>190</v>
      </c>
      <c r="G130" s="439" t="s">
        <v>191</v>
      </c>
      <c r="H130" s="443" t="s">
        <v>192</v>
      </c>
      <c r="I130" s="417"/>
    </row>
    <row r="131" spans="2:9" ht="12.75">
      <c r="B131" s="36" t="s">
        <v>40</v>
      </c>
      <c r="C131" s="465">
        <f aca="true" t="shared" si="26" ref="C131:H135">C13*$G$47/2000/365</f>
        <v>0.01883769443234516</v>
      </c>
      <c r="D131" s="465">
        <f t="shared" si="26"/>
        <v>0.011302616659407095</v>
      </c>
      <c r="E131" s="465">
        <f t="shared" si="26"/>
        <v>0.02134938702332452</v>
      </c>
      <c r="F131" s="465">
        <f t="shared" si="26"/>
        <v>0.06404816106997355</v>
      </c>
      <c r="G131" s="465">
        <f t="shared" si="26"/>
        <v>0.03767538886469032</v>
      </c>
      <c r="H131" s="465">
        <f t="shared" si="26"/>
        <v>0.02260523331881419</v>
      </c>
      <c r="I131" s="468">
        <f aca="true" t="shared" si="27" ref="I131:I136">SUM(C131:H131)</f>
        <v>0.17581848136855485</v>
      </c>
    </row>
    <row r="132" spans="2:9" ht="12.75">
      <c r="B132" s="36" t="s">
        <v>41</v>
      </c>
      <c r="C132" s="465">
        <f t="shared" si="26"/>
        <v>0.0019925588380856514</v>
      </c>
      <c r="D132" s="465">
        <f t="shared" si="26"/>
        <v>0.0011955353028513904</v>
      </c>
      <c r="E132" s="465">
        <f t="shared" si="26"/>
        <v>0.0027231637453837233</v>
      </c>
      <c r="F132" s="465">
        <f t="shared" si="26"/>
        <v>0.00816949123615117</v>
      </c>
      <c r="G132" s="465">
        <f t="shared" si="26"/>
        <v>0.0033209313968094187</v>
      </c>
      <c r="H132" s="465">
        <f t="shared" si="26"/>
        <v>0.0019925588380856514</v>
      </c>
      <c r="I132" s="468">
        <f t="shared" si="27"/>
        <v>0.019394239357367005</v>
      </c>
    </row>
    <row r="133" spans="2:9" ht="12.75">
      <c r="B133" s="36" t="s">
        <v>43</v>
      </c>
      <c r="C133" s="465">
        <f t="shared" si="26"/>
        <v>0.0016955956240317287</v>
      </c>
      <c r="D133" s="465">
        <f t="shared" si="26"/>
        <v>0.001017357374419037</v>
      </c>
      <c r="E133" s="465">
        <f t="shared" si="26"/>
        <v>0.002317314019510029</v>
      </c>
      <c r="F133" s="465">
        <f t="shared" si="26"/>
        <v>0.00695194205853009</v>
      </c>
      <c r="G133" s="465">
        <f t="shared" si="26"/>
        <v>0.0028259927067195473</v>
      </c>
      <c r="H133" s="465">
        <f t="shared" si="26"/>
        <v>0.0016955956240317287</v>
      </c>
      <c r="I133" s="468">
        <f t="shared" si="27"/>
        <v>0.01650379740724216</v>
      </c>
    </row>
    <row r="134" spans="2:12" ht="12.75">
      <c r="B134" s="36" t="s">
        <v>44</v>
      </c>
      <c r="C134" s="465">
        <f t="shared" si="26"/>
        <v>0.0035259181039857465</v>
      </c>
      <c r="D134" s="465">
        <f t="shared" si="26"/>
        <v>0.002115550862391448</v>
      </c>
      <c r="E134" s="465">
        <f t="shared" si="26"/>
        <v>0.0031547688298819835</v>
      </c>
      <c r="F134" s="465">
        <f t="shared" si="26"/>
        <v>0.009464306489645951</v>
      </c>
      <c r="G134" s="465">
        <f t="shared" si="26"/>
        <v>0.005567239111556441</v>
      </c>
      <c r="H134" s="465">
        <f t="shared" si="26"/>
        <v>0.003340343466933865</v>
      </c>
      <c r="I134" s="468">
        <f t="shared" si="27"/>
        <v>0.027168126864395434</v>
      </c>
      <c r="L134" s="379"/>
    </row>
    <row r="135" spans="2:9" ht="12.75">
      <c r="B135" s="36" t="s">
        <v>46</v>
      </c>
      <c r="C135" s="465">
        <f t="shared" si="26"/>
        <v>0.014381928347474383</v>
      </c>
      <c r="D135" s="465">
        <f t="shared" si="26"/>
        <v>0.008629157008484628</v>
      </c>
      <c r="E135" s="465">
        <f t="shared" si="26"/>
        <v>0.019655302074881656</v>
      </c>
      <c r="F135" s="465">
        <f t="shared" si="26"/>
        <v>0.05896590622464498</v>
      </c>
      <c r="G135" s="465">
        <f t="shared" si="26"/>
        <v>0.02396988057912397</v>
      </c>
      <c r="H135" s="465">
        <f t="shared" si="26"/>
        <v>0.014381928347474383</v>
      </c>
      <c r="I135" s="468">
        <f t="shared" si="27"/>
        <v>0.139984102582084</v>
      </c>
    </row>
    <row r="136" spans="2:9" ht="13.5" thickBot="1">
      <c r="B136" s="418" t="s">
        <v>50</v>
      </c>
      <c r="C136" s="470">
        <f aca="true" t="shared" si="28" ref="C136:H136">SUM(C131:C135)</f>
        <v>0.04043369534592267</v>
      </c>
      <c r="D136" s="472">
        <f t="shared" si="28"/>
        <v>0.0242602172075536</v>
      </c>
      <c r="E136" s="470">
        <f t="shared" si="28"/>
        <v>0.049199935692981915</v>
      </c>
      <c r="F136" s="472">
        <f t="shared" si="28"/>
        <v>0.14759980707894574</v>
      </c>
      <c r="G136" s="470">
        <f t="shared" si="28"/>
        <v>0.0733594326588997</v>
      </c>
      <c r="H136" s="472">
        <f t="shared" si="28"/>
        <v>0.04401565959533982</v>
      </c>
      <c r="I136" s="471">
        <f t="shared" si="27"/>
        <v>0.37886874757964345</v>
      </c>
    </row>
    <row r="137" spans="2:9" ht="13.5" thickBot="1">
      <c r="B137" s="430"/>
      <c r="C137" s="422" t="s">
        <v>157</v>
      </c>
      <c r="D137" s="400"/>
      <c r="E137" s="425" t="s">
        <v>205</v>
      </c>
      <c r="F137" s="426"/>
      <c r="G137" s="422" t="s">
        <v>206</v>
      </c>
      <c r="H137" s="428"/>
      <c r="I137" s="435" t="s">
        <v>162</v>
      </c>
    </row>
    <row r="138" spans="2:9" ht="53.25" thickBot="1">
      <c r="B138" s="429" t="s">
        <v>149</v>
      </c>
      <c r="C138" s="439" t="s">
        <v>193</v>
      </c>
      <c r="D138" s="443" t="s">
        <v>194</v>
      </c>
      <c r="E138" s="479" t="s">
        <v>195</v>
      </c>
      <c r="F138" s="438" t="s">
        <v>196</v>
      </c>
      <c r="G138" s="439" t="s">
        <v>197</v>
      </c>
      <c r="H138" s="439" t="s">
        <v>198</v>
      </c>
      <c r="I138" s="417"/>
    </row>
    <row r="139" spans="2:9" ht="12.75">
      <c r="B139" s="36" t="s">
        <v>40</v>
      </c>
      <c r="C139" s="465">
        <f aca="true" t="shared" si="29" ref="C139:H143">C21*$G$47/2000/365</f>
        <v>0.014567817027680258</v>
      </c>
      <c r="D139" s="465">
        <f t="shared" si="29"/>
        <v>0.008740690216608156</v>
      </c>
      <c r="E139" s="465">
        <f t="shared" si="29"/>
        <v>0.020093540727834844</v>
      </c>
      <c r="F139" s="465">
        <f t="shared" si="29"/>
        <v>0.012056124436700904</v>
      </c>
      <c r="G139" s="465">
        <f t="shared" si="29"/>
        <v>0.02574484905753839</v>
      </c>
      <c r="H139" s="465">
        <f t="shared" si="29"/>
        <v>0.015446909434523034</v>
      </c>
      <c r="I139" s="468">
        <f aca="true" t="shared" si="30" ref="I139:I144">SUM(C139:H139)</f>
        <v>0.09664993090088558</v>
      </c>
    </row>
    <row r="140" spans="2:9" ht="12.75">
      <c r="B140" s="36" t="s">
        <v>41</v>
      </c>
      <c r="C140" s="465">
        <f t="shared" si="29"/>
        <v>0.0025017683189297616</v>
      </c>
      <c r="D140" s="465">
        <f t="shared" si="29"/>
        <v>0.0015010609913578572</v>
      </c>
      <c r="E140" s="465">
        <f t="shared" si="29"/>
        <v>0.00177116341163169</v>
      </c>
      <c r="F140" s="465">
        <f t="shared" si="29"/>
        <v>0.001062698046979014</v>
      </c>
      <c r="G140" s="465">
        <f t="shared" si="29"/>
        <v>0.00354232682326338</v>
      </c>
      <c r="H140" s="465">
        <f t="shared" si="29"/>
        <v>0.0021253960939580274</v>
      </c>
      <c r="I140" s="468">
        <f t="shared" si="30"/>
        <v>0.01250441368611973</v>
      </c>
    </row>
    <row r="141" spans="2:9" ht="12.75">
      <c r="B141" s="36" t="s">
        <v>43</v>
      </c>
      <c r="C141" s="465">
        <f t="shared" si="29"/>
        <v>0.0021289145057287262</v>
      </c>
      <c r="D141" s="465">
        <f t="shared" si="29"/>
        <v>0.0012773487034372355</v>
      </c>
      <c r="E141" s="465">
        <f t="shared" si="29"/>
        <v>0.0015071961102504257</v>
      </c>
      <c r="F141" s="465">
        <f t="shared" si="29"/>
        <v>0.0009043176661502552</v>
      </c>
      <c r="G141" s="465">
        <f t="shared" si="29"/>
        <v>0.0030143922205008514</v>
      </c>
      <c r="H141" s="465">
        <f t="shared" si="29"/>
        <v>0.0018086353323005103</v>
      </c>
      <c r="I141" s="468">
        <f t="shared" si="30"/>
        <v>0.010640804538368003</v>
      </c>
    </row>
    <row r="142" spans="2:9" ht="12.75">
      <c r="B142" s="36" t="s">
        <v>44</v>
      </c>
      <c r="C142" s="465">
        <f t="shared" si="29"/>
        <v>0.0021526657898018244</v>
      </c>
      <c r="D142" s="465">
        <f t="shared" si="29"/>
        <v>0.0012915994738810946</v>
      </c>
      <c r="E142" s="465">
        <f t="shared" si="29"/>
        <v>0.002969194192830102</v>
      </c>
      <c r="F142" s="465">
        <f t="shared" si="29"/>
        <v>0.0017815165156980612</v>
      </c>
      <c r="G142" s="465">
        <f t="shared" si="29"/>
        <v>0.0038042800595635686</v>
      </c>
      <c r="H142" s="465">
        <f t="shared" si="29"/>
        <v>0.002282568035738141</v>
      </c>
      <c r="I142" s="468">
        <f t="shared" si="30"/>
        <v>0.014281824067512792</v>
      </c>
    </row>
    <row r="143" spans="2:9" ht="12.75">
      <c r="B143" s="36" t="s">
        <v>46</v>
      </c>
      <c r="C143" s="465">
        <f t="shared" si="29"/>
        <v>0.018057310036273387</v>
      </c>
      <c r="D143" s="465">
        <f t="shared" si="29"/>
        <v>0.010834386021764035</v>
      </c>
      <c r="E143" s="465">
        <f t="shared" si="29"/>
        <v>0.012783936308866118</v>
      </c>
      <c r="F143" s="465">
        <f t="shared" si="29"/>
        <v>0.00767036178531967</v>
      </c>
      <c r="G143" s="465">
        <f t="shared" si="29"/>
        <v>0.024369378588776035</v>
      </c>
      <c r="H143" s="465">
        <f t="shared" si="29"/>
        <v>0.014621627153265622</v>
      </c>
      <c r="I143" s="468">
        <f t="shared" si="30"/>
        <v>0.08833699989426487</v>
      </c>
    </row>
    <row r="144" spans="2:9" ht="13.5" thickBot="1">
      <c r="B144" s="418" t="s">
        <v>50</v>
      </c>
      <c r="C144" s="470">
        <f aca="true" t="shared" si="31" ref="C144:H144">SUM(C139:C143)</f>
        <v>0.039408475678413955</v>
      </c>
      <c r="D144" s="472">
        <f t="shared" si="31"/>
        <v>0.023645085407048377</v>
      </c>
      <c r="E144" s="470">
        <f t="shared" si="31"/>
        <v>0.03912503075141318</v>
      </c>
      <c r="F144" s="472">
        <f t="shared" si="31"/>
        <v>0.023475018450847904</v>
      </c>
      <c r="G144" s="470">
        <f t="shared" si="31"/>
        <v>0.06047522674964223</v>
      </c>
      <c r="H144" s="472">
        <f t="shared" si="31"/>
        <v>0.03628513604978533</v>
      </c>
      <c r="I144" s="471">
        <f t="shared" si="30"/>
        <v>0.222413973087151</v>
      </c>
    </row>
    <row r="145" spans="2:9" ht="13.5" thickBot="1">
      <c r="B145" s="430"/>
      <c r="C145" s="425" t="s">
        <v>164</v>
      </c>
      <c r="D145" s="433"/>
      <c r="E145" s="422" t="s">
        <v>166</v>
      </c>
      <c r="F145" s="400"/>
      <c r="G145" s="425" t="s">
        <v>179</v>
      </c>
      <c r="H145" s="432"/>
      <c r="I145" s="435" t="s">
        <v>163</v>
      </c>
    </row>
    <row r="146" spans="2:9" ht="39">
      <c r="B146" s="462" t="s">
        <v>149</v>
      </c>
      <c r="C146" s="439" t="s">
        <v>199</v>
      </c>
      <c r="D146" s="440" t="s">
        <v>200</v>
      </c>
      <c r="E146" s="439" t="s">
        <v>201</v>
      </c>
      <c r="F146" s="443" t="s">
        <v>202</v>
      </c>
      <c r="G146" s="439" t="s">
        <v>203</v>
      </c>
      <c r="H146" s="443" t="s">
        <v>204</v>
      </c>
      <c r="I146" s="417"/>
    </row>
    <row r="147" spans="2:9" ht="12.75">
      <c r="B147" s="36" t="s">
        <v>40</v>
      </c>
      <c r="C147" s="465">
        <f aca="true" t="shared" si="32" ref="C147:H151">C29*$G$47/2000/365</f>
        <v>0.3516369627371098</v>
      </c>
      <c r="D147" s="465">
        <f t="shared" si="32"/>
        <v>0.09418847216172581</v>
      </c>
      <c r="E147" s="465">
        <f t="shared" si="32"/>
        <v>0.37675388864690323</v>
      </c>
      <c r="F147" s="465">
        <f t="shared" si="32"/>
        <v>0.37675388864690323</v>
      </c>
      <c r="G147" s="465">
        <f t="shared" si="32"/>
        <v>0.12558462954896776</v>
      </c>
      <c r="H147" s="465">
        <f t="shared" si="32"/>
        <v>0.07535077772938065</v>
      </c>
      <c r="I147" s="468">
        <f aca="true" t="shared" si="33" ref="I147:I152">SUM(C147:H147)</f>
        <v>1.4002686194709906</v>
      </c>
    </row>
    <row r="148" spans="2:9" ht="12.75">
      <c r="B148" s="36" t="s">
        <v>41</v>
      </c>
      <c r="C148" s="465">
        <f t="shared" si="32"/>
        <v>0.030995359703554576</v>
      </c>
      <c r="D148" s="465">
        <f t="shared" si="32"/>
        <v>0.008302328492023545</v>
      </c>
      <c r="E148" s="465">
        <f t="shared" si="32"/>
        <v>0.03320931396809418</v>
      </c>
      <c r="F148" s="465">
        <f t="shared" si="32"/>
        <v>0.03320931396809418</v>
      </c>
      <c r="G148" s="465">
        <f t="shared" si="32"/>
        <v>0.011069771322698062</v>
      </c>
      <c r="H148" s="465">
        <f t="shared" si="32"/>
        <v>0.006641862793618837</v>
      </c>
      <c r="I148" s="468">
        <f t="shared" si="33"/>
        <v>0.12342795024808337</v>
      </c>
    </row>
    <row r="149" spans="2:9" ht="12.75">
      <c r="B149" s="36" t="s">
        <v>43</v>
      </c>
      <c r="C149" s="465">
        <f t="shared" si="32"/>
        <v>0.026375931929382448</v>
      </c>
      <c r="D149" s="465">
        <f t="shared" si="32"/>
        <v>0.007064981766798869</v>
      </c>
      <c r="E149" s="465">
        <f t="shared" si="32"/>
        <v>0.028259927067195476</v>
      </c>
      <c r="F149" s="465">
        <f t="shared" si="32"/>
        <v>0.028259927067195476</v>
      </c>
      <c r="G149" s="465">
        <f t="shared" si="32"/>
        <v>0.00941997568906516</v>
      </c>
      <c r="H149" s="465">
        <f t="shared" si="32"/>
        <v>0.005651985413439095</v>
      </c>
      <c r="I149" s="468">
        <f t="shared" si="33"/>
        <v>0.10503272893307654</v>
      </c>
    </row>
    <row r="150" spans="2:9" ht="12.75">
      <c r="B150" s="36" t="s">
        <v>44</v>
      </c>
      <c r="C150" s="465">
        <f t="shared" si="32"/>
        <v>0.0519608983745268</v>
      </c>
      <c r="D150" s="465">
        <f t="shared" si="32"/>
        <v>0.013918097778891103</v>
      </c>
      <c r="E150" s="465">
        <f t="shared" si="32"/>
        <v>0.055672391115564414</v>
      </c>
      <c r="F150" s="465">
        <f t="shared" si="32"/>
        <v>0.055672391115564414</v>
      </c>
      <c r="G150" s="465">
        <f t="shared" si="32"/>
        <v>0.01855746370518814</v>
      </c>
      <c r="H150" s="465">
        <f t="shared" si="32"/>
        <v>0.011134478223112882</v>
      </c>
      <c r="I150" s="468">
        <f t="shared" si="33"/>
        <v>0.20691572031284775</v>
      </c>
    </row>
    <row r="151" spans="2:9" ht="12.75">
      <c r="B151" s="36" t="s">
        <v>46</v>
      </c>
      <c r="C151" s="465">
        <f t="shared" si="32"/>
        <v>0.22371888540515708</v>
      </c>
      <c r="D151" s="465">
        <f t="shared" si="32"/>
        <v>0.05992470144780992</v>
      </c>
      <c r="E151" s="465">
        <f t="shared" si="32"/>
        <v>0.23969880579123967</v>
      </c>
      <c r="F151" s="465">
        <f t="shared" si="32"/>
        <v>0.23969880579123967</v>
      </c>
      <c r="G151" s="465">
        <f t="shared" si="32"/>
        <v>0.07989960193041325</v>
      </c>
      <c r="H151" s="465">
        <f t="shared" si="32"/>
        <v>0.04793976115824794</v>
      </c>
      <c r="I151" s="468">
        <f t="shared" si="33"/>
        <v>0.8908805615241076</v>
      </c>
    </row>
    <row r="152" spans="2:9" ht="13.5" thickBot="1">
      <c r="B152" s="418" t="s">
        <v>50</v>
      </c>
      <c r="C152" s="470">
        <f aca="true" t="shared" si="34" ref="C152:H152">SUM(C147:C151)</f>
        <v>0.6846880381497307</v>
      </c>
      <c r="D152" s="472">
        <f t="shared" si="34"/>
        <v>0.18339858164724926</v>
      </c>
      <c r="E152" s="470">
        <f t="shared" si="34"/>
        <v>0.733594326588997</v>
      </c>
      <c r="F152" s="472">
        <f t="shared" si="34"/>
        <v>0.733594326588997</v>
      </c>
      <c r="G152" s="470">
        <f t="shared" si="34"/>
        <v>0.24453144219633238</v>
      </c>
      <c r="H152" s="472">
        <f t="shared" si="34"/>
        <v>0.1467188653177994</v>
      </c>
      <c r="I152" s="471">
        <f t="shared" si="33"/>
        <v>2.7265255804891058</v>
      </c>
    </row>
    <row r="153" spans="2:9" ht="12.75">
      <c r="B153" s="476" t="s">
        <v>176</v>
      </c>
      <c r="C153" s="401"/>
      <c r="D153" s="401"/>
      <c r="E153" s="401"/>
      <c r="F153" s="401" t="s">
        <v>175</v>
      </c>
      <c r="G153" s="401"/>
      <c r="H153" s="401"/>
      <c r="I153" s="401"/>
    </row>
    <row r="154" ht="13.5" thickBot="1"/>
    <row r="155" spans="2:9" ht="13.5" thickBot="1">
      <c r="B155" s="441" t="s">
        <v>165</v>
      </c>
      <c r="C155" s="445"/>
      <c r="D155" s="445"/>
      <c r="E155" s="445"/>
      <c r="F155" s="445"/>
      <c r="G155" s="445"/>
      <c r="H155" s="445"/>
      <c r="I155" s="473">
        <f>SUM(I128,I136,I144,I152)</f>
        <v>5.699633400805954</v>
      </c>
    </row>
    <row r="156" spans="2:9" ht="13.5" thickBot="1">
      <c r="B156" s="446" t="s">
        <v>173</v>
      </c>
      <c r="C156" s="445"/>
      <c r="D156" s="445"/>
      <c r="E156" s="445"/>
      <c r="F156" s="445"/>
      <c r="G156" s="445"/>
      <c r="H156" s="464" t="s">
        <v>178</v>
      </c>
      <c r="I156" s="474">
        <f>I155-SUM(I124:I125,I132:I133,I140:I141,I148:I149)</f>
        <v>5.226710171889435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7"/>
  <sheetViews>
    <sheetView zoomScalePageLayoutView="0" workbookViewId="0" topLeftCell="F1">
      <selection activeCell="N3" sqref="N3"/>
    </sheetView>
  </sheetViews>
  <sheetFormatPr defaultColWidth="9.140625" defaultRowHeight="12.75"/>
  <cols>
    <col min="1" max="1" width="14.8515625" style="0" customWidth="1"/>
    <col min="2" max="2" width="11.140625" style="0" customWidth="1"/>
    <col min="3" max="3" width="13.28125" style="0" customWidth="1"/>
    <col min="4" max="4" width="14.28125" style="0" customWidth="1"/>
    <col min="5" max="6" width="16.8515625" style="0" customWidth="1"/>
    <col min="7" max="7" width="18.28125" style="0" bestFit="1" customWidth="1"/>
    <col min="8" max="8" width="14.421875" style="0" customWidth="1"/>
    <col min="9" max="9" width="16.140625" style="0" customWidth="1"/>
    <col min="10" max="10" width="15.57421875" style="0" customWidth="1"/>
    <col min="11" max="11" width="11.140625" style="0" customWidth="1"/>
    <col min="12" max="12" width="16.7109375" style="0" customWidth="1"/>
    <col min="13" max="13" width="8.140625" style="0" customWidth="1"/>
    <col min="14" max="14" width="11.421875" style="0" bestFit="1" customWidth="1"/>
    <col min="15" max="15" width="12.28125" style="0" customWidth="1"/>
    <col min="16" max="16" width="13.00390625" style="0" customWidth="1"/>
    <col min="17" max="17" width="11.28125" style="0" bestFit="1" customWidth="1"/>
    <col min="21" max="21" width="10.28125" style="0" customWidth="1"/>
    <col min="24" max="24" width="9.57421875" style="0" customWidth="1"/>
  </cols>
  <sheetData>
    <row r="1" spans="1:10" ht="13.5" thickBot="1">
      <c r="A1" s="486" t="s">
        <v>38</v>
      </c>
      <c r="B1" s="486" t="s">
        <v>117</v>
      </c>
      <c r="C1" s="483" t="s">
        <v>79</v>
      </c>
      <c r="D1" s="484"/>
      <c r="E1" s="484"/>
      <c r="F1" s="485"/>
      <c r="G1" s="483" t="s">
        <v>80</v>
      </c>
      <c r="H1" s="484"/>
      <c r="I1" s="484"/>
      <c r="J1" s="485"/>
    </row>
    <row r="2" spans="1:10" s="46" customFormat="1" ht="54" thickBot="1">
      <c r="A2" s="494"/>
      <c r="B2" s="489"/>
      <c r="C2" s="89" t="s">
        <v>81</v>
      </c>
      <c r="D2" s="90" t="s">
        <v>93</v>
      </c>
      <c r="E2" s="90" t="s">
        <v>94</v>
      </c>
      <c r="F2" s="91" t="s">
        <v>84</v>
      </c>
      <c r="G2" s="89" t="s">
        <v>9</v>
      </c>
      <c r="H2" s="90" t="s">
        <v>95</v>
      </c>
      <c r="I2" s="90" t="s">
        <v>86</v>
      </c>
      <c r="J2" s="92" t="s">
        <v>87</v>
      </c>
    </row>
    <row r="3" spans="1:10" ht="12.75">
      <c r="A3" s="34" t="s">
        <v>40</v>
      </c>
      <c r="B3" s="87">
        <v>0.33708609271523177</v>
      </c>
      <c r="C3" s="108" t="s">
        <v>75</v>
      </c>
      <c r="D3" s="58">
        <v>100</v>
      </c>
      <c r="E3" s="83" t="s">
        <v>45</v>
      </c>
      <c r="F3" s="60">
        <v>0.9</v>
      </c>
      <c r="G3" s="61">
        <f>J3/H3</f>
        <v>282.3992992503243</v>
      </c>
      <c r="H3" s="59">
        <f>D3*$H$21*F3</f>
        <v>788400</v>
      </c>
      <c r="I3" s="62">
        <v>35006223.792814</v>
      </c>
      <c r="J3" s="63">
        <f>I3/$G$21*B3</f>
        <v>222643607.5289557</v>
      </c>
    </row>
    <row r="4" spans="1:10" ht="12.75">
      <c r="A4" s="36" t="s">
        <v>41</v>
      </c>
      <c r="B4" s="42">
        <v>0.6392467789890981</v>
      </c>
      <c r="C4" s="38" t="s">
        <v>76</v>
      </c>
      <c r="D4" s="1">
        <v>40</v>
      </c>
      <c r="E4" s="77" t="s">
        <v>42</v>
      </c>
      <c r="F4" s="55">
        <v>0.8</v>
      </c>
      <c r="G4" s="24">
        <f>J4/H4</f>
        <v>70.0097144664684</v>
      </c>
      <c r="H4" s="3">
        <f>D4*$H$21*F4</f>
        <v>280320</v>
      </c>
      <c r="I4" s="6">
        <v>1627120.48246</v>
      </c>
      <c r="J4" s="30">
        <f>I4/$G$21*B4</f>
        <v>19625123.15924042</v>
      </c>
    </row>
    <row r="5" spans="1:10" ht="12.75">
      <c r="A5" s="36" t="s">
        <v>43</v>
      </c>
      <c r="B5" s="42">
        <v>0.7413793103448276</v>
      </c>
      <c r="C5" s="38" t="s">
        <v>77</v>
      </c>
      <c r="D5" s="1">
        <v>60</v>
      </c>
      <c r="E5" s="77" t="s">
        <v>45</v>
      </c>
      <c r="F5" s="55">
        <v>0.8</v>
      </c>
      <c r="G5" s="24">
        <f>J5/H5</f>
        <v>39.71715940330052</v>
      </c>
      <c r="H5" s="3">
        <f>D5*$H$21*F5</f>
        <v>420480</v>
      </c>
      <c r="I5" s="6">
        <v>1193875.2005919998</v>
      </c>
      <c r="J5" s="30">
        <f>I5/$G$21*B5</f>
        <v>16700271.185899803</v>
      </c>
    </row>
    <row r="6" spans="1:10" ht="12.75">
      <c r="A6" s="36" t="s">
        <v>44</v>
      </c>
      <c r="B6" s="42">
        <v>0.6818369880016549</v>
      </c>
      <c r="C6" s="38" t="s">
        <v>77</v>
      </c>
      <c r="D6" s="1">
        <v>60</v>
      </c>
      <c r="E6" s="77" t="s">
        <v>45</v>
      </c>
      <c r="F6" s="55">
        <v>0.85</v>
      </c>
      <c r="G6" s="24">
        <f>J6/H6</f>
        <v>73.64072898884181</v>
      </c>
      <c r="H6" s="3">
        <f>D6*$H$21*F6</f>
        <v>446760</v>
      </c>
      <c r="I6" s="6">
        <v>2557335.3031380004</v>
      </c>
      <c r="J6" s="30">
        <f>I6/$G$21*B6</f>
        <v>32899732.08305497</v>
      </c>
    </row>
    <row r="7" spans="1:10" ht="13.5" thickBot="1">
      <c r="A7" s="44" t="s">
        <v>46</v>
      </c>
      <c r="B7" s="45">
        <v>0.7</v>
      </c>
      <c r="C7" s="111" t="s">
        <v>78</v>
      </c>
      <c r="D7" s="21">
        <v>65</v>
      </c>
      <c r="E7" s="80" t="s">
        <v>47</v>
      </c>
      <c r="F7" s="56">
        <v>0.85</v>
      </c>
      <c r="G7" s="25">
        <f>J7/H7</f>
        <v>292.6725345436382</v>
      </c>
      <c r="H7" s="20">
        <f>D7*$H$21*F7</f>
        <v>483990</v>
      </c>
      <c r="I7" s="27">
        <v>10724972.485242998</v>
      </c>
      <c r="J7" s="31">
        <f>I7/$G$21*B7</f>
        <v>141650579.99377546</v>
      </c>
    </row>
    <row r="8" spans="17:26" ht="12.75">
      <c r="Q8" s="46"/>
      <c r="R8" s="46"/>
      <c r="S8" s="46"/>
      <c r="T8" s="46"/>
      <c r="U8" s="46"/>
      <c r="V8" s="46"/>
      <c r="W8" s="46"/>
      <c r="X8" s="46"/>
      <c r="Y8" s="46"/>
      <c r="Z8" s="46"/>
    </row>
    <row r="9" ht="13.5" thickBot="1"/>
    <row r="10" spans="1:15" ht="13.5" thickBot="1">
      <c r="A10" s="488" t="s">
        <v>38</v>
      </c>
      <c r="B10" s="491" t="s">
        <v>0</v>
      </c>
      <c r="C10" s="492"/>
      <c r="D10" s="492"/>
      <c r="E10" s="492"/>
      <c r="F10" s="492"/>
      <c r="G10" s="492"/>
      <c r="H10" s="493"/>
      <c r="I10" s="490" t="s">
        <v>1</v>
      </c>
      <c r="J10" s="484"/>
      <c r="K10" s="484"/>
      <c r="L10" s="484"/>
      <c r="M10" s="484"/>
      <c r="N10" s="484"/>
      <c r="O10" s="485"/>
    </row>
    <row r="11" spans="1:26" s="52" customFormat="1" ht="67.5" thickBot="1">
      <c r="A11" s="489"/>
      <c r="B11" s="89" t="s">
        <v>96</v>
      </c>
      <c r="C11" s="90" t="s">
        <v>97</v>
      </c>
      <c r="D11" s="90" t="s">
        <v>98</v>
      </c>
      <c r="E11" s="94" t="s">
        <v>99</v>
      </c>
      <c r="F11" s="90" t="s">
        <v>48</v>
      </c>
      <c r="G11" s="90" t="s">
        <v>100</v>
      </c>
      <c r="H11" s="91" t="s">
        <v>101</v>
      </c>
      <c r="I11" s="95" t="s">
        <v>96</v>
      </c>
      <c r="J11" s="90" t="s">
        <v>102</v>
      </c>
      <c r="K11" s="90" t="s">
        <v>98</v>
      </c>
      <c r="L11" s="94" t="s">
        <v>103</v>
      </c>
      <c r="M11" s="90" t="s">
        <v>48</v>
      </c>
      <c r="N11" s="90" t="s">
        <v>100</v>
      </c>
      <c r="O11" s="91" t="s">
        <v>101</v>
      </c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.75">
      <c r="A12" s="73" t="s">
        <v>40</v>
      </c>
      <c r="B12" s="65">
        <v>0.15</v>
      </c>
      <c r="C12" s="66">
        <v>0.8</v>
      </c>
      <c r="D12" s="66">
        <v>0.88</v>
      </c>
      <c r="E12" s="66">
        <f>(D12-C12)/C12</f>
        <v>0.09999999999999995</v>
      </c>
      <c r="F12" s="58">
        <f>G3*B12</f>
        <v>42.35989488754864</v>
      </c>
      <c r="G12" s="62">
        <f>E12*H3*F12</f>
        <v>3339654.112934333</v>
      </c>
      <c r="H12" s="63">
        <f>G12*$G$21</f>
        <v>177001.66798551963</v>
      </c>
      <c r="I12" s="72">
        <v>0.2</v>
      </c>
      <c r="J12" s="66">
        <v>0.82</v>
      </c>
      <c r="K12" s="66">
        <v>0.88</v>
      </c>
      <c r="L12" s="66">
        <f>(K12-J12)/J12</f>
        <v>0.07317073170731714</v>
      </c>
      <c r="M12" s="58">
        <f>G3*I12</f>
        <v>56.47985985006486</v>
      </c>
      <c r="N12" s="62">
        <f>L12*H3*M12</f>
        <v>3258199.134570086</v>
      </c>
      <c r="O12" s="63">
        <f>N12*$G$21</f>
        <v>172684.55413221454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15" ht="12.75">
      <c r="A13" s="37" t="s">
        <v>41</v>
      </c>
      <c r="B13" s="53">
        <v>0.15</v>
      </c>
      <c r="C13" s="15">
        <v>0.82</v>
      </c>
      <c r="D13" s="15">
        <v>0.88</v>
      </c>
      <c r="E13" s="15">
        <f>(D13-C13)/C13</f>
        <v>0.07317073170731714</v>
      </c>
      <c r="F13" s="1">
        <f>G4*B13</f>
        <v>10.501457169970259</v>
      </c>
      <c r="G13" s="6">
        <f>E13*H4*F13</f>
        <v>215397.69321117553</v>
      </c>
      <c r="H13" s="30">
        <f>G13*$G$21</f>
        <v>11416.077740192302</v>
      </c>
      <c r="I13" s="71">
        <v>0.2</v>
      </c>
      <c r="J13" s="15">
        <v>0.83</v>
      </c>
      <c r="K13" s="15">
        <v>0.88</v>
      </c>
      <c r="L13" s="15">
        <f>(K13-J13)/J13</f>
        <v>0.06024096385542174</v>
      </c>
      <c r="M13" s="1">
        <f>G4*I13</f>
        <v>14.00194289329368</v>
      </c>
      <c r="N13" s="6">
        <f>L13*H4*M13</f>
        <v>236447.26697880047</v>
      </c>
      <c r="O13" s="30">
        <f>N13*$G$21</f>
        <v>12531.705149876425</v>
      </c>
    </row>
    <row r="14" spans="1:15" ht="12.75">
      <c r="A14" s="37" t="s">
        <v>43</v>
      </c>
      <c r="B14" s="53">
        <v>0.15</v>
      </c>
      <c r="C14" s="15">
        <v>0.8</v>
      </c>
      <c r="D14" s="15">
        <v>0.88</v>
      </c>
      <c r="E14" s="15">
        <f>(D14-C14)/C14</f>
        <v>0.09999999999999995</v>
      </c>
      <c r="F14" s="1">
        <f>G5*B14</f>
        <v>5.957573910495078</v>
      </c>
      <c r="G14" s="6">
        <f>E14*H5*F14</f>
        <v>250504.0677884969</v>
      </c>
      <c r="H14" s="30">
        <f>G14*$G$21</f>
        <v>13276.715592790335</v>
      </c>
      <c r="I14" s="71">
        <v>0.2</v>
      </c>
      <c r="J14" s="15">
        <v>0.82</v>
      </c>
      <c r="K14" s="15">
        <v>0.88</v>
      </c>
      <c r="L14" s="15">
        <f>(K14-J14)/J14</f>
        <v>0.07317073170731714</v>
      </c>
      <c r="M14" s="1">
        <f>G5*I14</f>
        <v>7.943431880660104</v>
      </c>
      <c r="N14" s="6">
        <f>L14*H5*M14</f>
        <v>244394.2124765827</v>
      </c>
      <c r="O14" s="30">
        <f>N14*$G$21</f>
        <v>12952.893261258883</v>
      </c>
    </row>
    <row r="15" spans="1:15" ht="12.75">
      <c r="A15" s="37" t="s">
        <v>44</v>
      </c>
      <c r="B15" s="53">
        <v>0.15</v>
      </c>
      <c r="C15" s="15">
        <v>0.8</v>
      </c>
      <c r="D15" s="15">
        <v>0.88</v>
      </c>
      <c r="E15" s="15">
        <f>(D15-C15)/C15</f>
        <v>0.09999999999999995</v>
      </c>
      <c r="F15" s="1">
        <f>G6*B15</f>
        <v>11.046109348326272</v>
      </c>
      <c r="G15" s="6">
        <f>E15*H6*F15</f>
        <v>493495.9812458243</v>
      </c>
      <c r="H15" s="30">
        <f>G15*$G$21</f>
        <v>26155.287006028688</v>
      </c>
      <c r="I15" s="71">
        <v>0.2</v>
      </c>
      <c r="J15" s="15">
        <v>0.82</v>
      </c>
      <c r="K15" s="15">
        <v>0.88</v>
      </c>
      <c r="L15" s="15">
        <f>(K15-J15)/J15</f>
        <v>0.07317073170731714</v>
      </c>
      <c r="M15" s="1">
        <f>G6*I15</f>
        <v>14.728145797768363</v>
      </c>
      <c r="N15" s="6">
        <f>L15*H6*M15</f>
        <v>481459.4938983658</v>
      </c>
      <c r="O15" s="30">
        <f>N15*$G$21</f>
        <v>25517.35317661339</v>
      </c>
    </row>
    <row r="16" spans="1:15" ht="13.5" thickBot="1">
      <c r="A16" s="221" t="s">
        <v>46</v>
      </c>
      <c r="B16" s="222">
        <v>0.15</v>
      </c>
      <c r="C16" s="67">
        <v>0.77</v>
      </c>
      <c r="D16" s="67">
        <v>0.88</v>
      </c>
      <c r="E16" s="67">
        <f>(D16-C16)/C16</f>
        <v>0.14285714285714285</v>
      </c>
      <c r="F16" s="68">
        <f>G7*B16</f>
        <v>43.90088018154573</v>
      </c>
      <c r="G16" s="69">
        <f>E16*H7*F16</f>
        <v>3035369.571295188</v>
      </c>
      <c r="H16" s="70">
        <f>G16*$G$21</f>
        <v>160874.58727864496</v>
      </c>
      <c r="I16" s="220">
        <v>0.2</v>
      </c>
      <c r="J16" s="67">
        <v>0.82</v>
      </c>
      <c r="K16" s="67">
        <v>0.88</v>
      </c>
      <c r="L16" s="67">
        <f>(K16-J16)/J16</f>
        <v>0.07317073170731714</v>
      </c>
      <c r="M16" s="68">
        <f>G7*I16</f>
        <v>58.53450690872765</v>
      </c>
      <c r="N16" s="69">
        <f>L16*H7*M16</f>
        <v>2072935.316982082</v>
      </c>
      <c r="O16" s="70">
        <f>N16*$G$21</f>
        <v>109865.57180005035</v>
      </c>
    </row>
    <row r="17" spans="1:26" s="49" customFormat="1" ht="13.5" thickBot="1">
      <c r="A17" s="223" t="s">
        <v>50</v>
      </c>
      <c r="B17" s="227"/>
      <c r="C17" s="228"/>
      <c r="D17" s="228"/>
      <c r="E17" s="228"/>
      <c r="F17" s="228"/>
      <c r="G17" s="219">
        <f>SUM(G12:G16)</f>
        <v>7334421.426475017</v>
      </c>
      <c r="H17" s="209">
        <f>SUM(H12:H16)</f>
        <v>388724.3356031759</v>
      </c>
      <c r="I17" s="226"/>
      <c r="J17" s="224"/>
      <c r="K17" s="224"/>
      <c r="L17" s="224"/>
      <c r="M17" s="225"/>
      <c r="N17" s="219">
        <f>SUM(N12:N16)</f>
        <v>6293435.424905917</v>
      </c>
      <c r="O17" s="209">
        <f>SUM(O12:O16)</f>
        <v>333552.07752001355</v>
      </c>
      <c r="P17" s="398">
        <f>F17*'CBE Total REDUX added'!I52</f>
        <v>0</v>
      </c>
      <c r="Q17"/>
      <c r="R17"/>
      <c r="S17"/>
      <c r="T17"/>
      <c r="U17"/>
      <c r="V17"/>
      <c r="W17"/>
      <c r="X17"/>
      <c r="Y17"/>
      <c r="Z17"/>
    </row>
    <row r="18" spans="1:13" ht="12.75">
      <c r="A18" s="7"/>
      <c r="B18" s="7"/>
      <c r="C18" s="8"/>
      <c r="D18" s="11"/>
      <c r="E18" s="11"/>
      <c r="F18" s="11"/>
      <c r="G18" s="8"/>
      <c r="H18" s="8"/>
      <c r="I18" s="8"/>
      <c r="J18" s="8"/>
      <c r="K18" s="11"/>
      <c r="L18" s="11"/>
      <c r="M18" s="8"/>
    </row>
    <row r="19" spans="1:5" ht="13.5" thickBot="1">
      <c r="A19" s="7"/>
      <c r="C19" s="4"/>
      <c r="D19" s="4"/>
      <c r="E19" s="4"/>
    </row>
    <row r="20" spans="1:12" ht="42" thickBot="1">
      <c r="A20" s="349" t="s">
        <v>93</v>
      </c>
      <c r="B20" s="123" t="s">
        <v>36</v>
      </c>
      <c r="C20" s="123" t="s">
        <v>35</v>
      </c>
      <c r="D20" s="123" t="s">
        <v>34</v>
      </c>
      <c r="E20" s="123" t="s">
        <v>51</v>
      </c>
      <c r="F20" s="123" t="s">
        <v>116</v>
      </c>
      <c r="G20" s="90" t="s">
        <v>104</v>
      </c>
      <c r="H20" s="91" t="s">
        <v>32</v>
      </c>
      <c r="K20" s="4"/>
      <c r="L20" s="4"/>
    </row>
    <row r="21" spans="1:8" ht="13.5" thickBot="1">
      <c r="A21" s="271">
        <v>50</v>
      </c>
      <c r="B21" s="272">
        <v>1500000</v>
      </c>
      <c r="C21" s="273">
        <v>0.3</v>
      </c>
      <c r="D21" s="125">
        <v>20</v>
      </c>
      <c r="E21" s="126">
        <f>C21/(1-1/(1+C21)^D21)</f>
        <v>0.30158688481804236</v>
      </c>
      <c r="F21" s="274">
        <v>7.69</v>
      </c>
      <c r="G21" s="126">
        <f>5.3*10^(-2)</f>
        <v>0.053</v>
      </c>
      <c r="H21" s="127">
        <v>8760</v>
      </c>
    </row>
    <row r="22" spans="1:4" ht="12.75">
      <c r="A22" s="17"/>
      <c r="B22" s="2"/>
      <c r="D22" s="16"/>
    </row>
    <row r="23" spans="1:4" ht="13.5" thickBot="1">
      <c r="A23" s="17"/>
      <c r="B23" s="2"/>
      <c r="D23" s="16"/>
    </row>
    <row r="24" spans="1:9" ht="13.5" thickBot="1">
      <c r="A24" s="488" t="s">
        <v>38</v>
      </c>
      <c r="B24" s="483" t="s">
        <v>0</v>
      </c>
      <c r="C24" s="484"/>
      <c r="D24" s="484"/>
      <c r="E24" s="485"/>
      <c r="F24" s="483" t="s">
        <v>1</v>
      </c>
      <c r="G24" s="484"/>
      <c r="H24" s="484"/>
      <c r="I24" s="485"/>
    </row>
    <row r="25" spans="1:9" s="46" customFormat="1" ht="29.25" thickBot="1">
      <c r="A25" s="489"/>
      <c r="B25" s="96" t="s">
        <v>2</v>
      </c>
      <c r="C25" s="97" t="s">
        <v>10</v>
      </c>
      <c r="D25" s="97" t="s">
        <v>11</v>
      </c>
      <c r="E25" s="115" t="s">
        <v>105</v>
      </c>
      <c r="F25" s="96" t="s">
        <v>2</v>
      </c>
      <c r="G25" s="97" t="s">
        <v>10</v>
      </c>
      <c r="H25" s="97" t="s">
        <v>11</v>
      </c>
      <c r="I25" s="115" t="s">
        <v>105</v>
      </c>
    </row>
    <row r="26" spans="1:11" ht="12.75">
      <c r="A26" s="34" t="s">
        <v>40</v>
      </c>
      <c r="B26" s="310">
        <f>$B$21/$A$21*D3</f>
        <v>3000000</v>
      </c>
      <c r="C26" s="311">
        <f>B26*$E$21*F12</f>
        <v>38325566.22106654</v>
      </c>
      <c r="D26" s="311">
        <f>G12*$F$21</f>
        <v>25681940.12846502</v>
      </c>
      <c r="E26" s="312">
        <f>(C26-D26)/H12</f>
        <v>71.43224262517056</v>
      </c>
      <c r="F26" s="310">
        <f>$B$21/$A$21*D3</f>
        <v>3000000</v>
      </c>
      <c r="G26" s="311">
        <f>F26*$E$21*M12</f>
        <v>51100754.96142206</v>
      </c>
      <c r="H26" s="311">
        <f>N12*$F$21</f>
        <v>25055551.34484396</v>
      </c>
      <c r="I26" s="312">
        <f>(G26-H26)/O12</f>
        <v>150.82532278270122</v>
      </c>
      <c r="J26" s="13"/>
      <c r="K26" s="13"/>
    </row>
    <row r="27" spans="1:11" ht="12.75">
      <c r="A27" s="36" t="s">
        <v>41</v>
      </c>
      <c r="B27" s="297">
        <f>$B$21/$A$21*D4</f>
        <v>1200000</v>
      </c>
      <c r="C27" s="298">
        <f>B27*$E$21*F13</f>
        <v>3800522.1047297106</v>
      </c>
      <c r="D27" s="298">
        <f>G13*$F$21</f>
        <v>1656408.26079394</v>
      </c>
      <c r="E27" s="299">
        <f>(C27-D27)/H13</f>
        <v>187.81528058336906</v>
      </c>
      <c r="F27" s="297">
        <f>$B$21/$A$21*D4</f>
        <v>1200000</v>
      </c>
      <c r="G27" s="298">
        <f>F27*$E$21*M13</f>
        <v>5067362.806306281</v>
      </c>
      <c r="H27" s="298">
        <f>N13*$F$21</f>
        <v>1818279.4830669756</v>
      </c>
      <c r="I27" s="299">
        <f>(G27-H27)/O13</f>
        <v>259.2690527251469</v>
      </c>
      <c r="J27" s="12"/>
      <c r="K27" s="14"/>
    </row>
    <row r="28" spans="1:11" ht="12.75">
      <c r="A28" s="36" t="s">
        <v>43</v>
      </c>
      <c r="B28" s="297">
        <f>$B$21/$A$21*D5</f>
        <v>1800000</v>
      </c>
      <c r="C28" s="298">
        <f>B28*$E$21*F14</f>
        <v>3234107.0821310156</v>
      </c>
      <c r="D28" s="298">
        <f>G14*$F$21</f>
        <v>1926376.2812935412</v>
      </c>
      <c r="E28" s="299">
        <f>(C28-D28)/H14</f>
        <v>98.49806540614702</v>
      </c>
      <c r="F28" s="297">
        <f>$B$21/$A$21*D5</f>
        <v>1800000</v>
      </c>
      <c r="G28" s="298">
        <f>F28*$E$21*M14</f>
        <v>4312142.776174688</v>
      </c>
      <c r="H28" s="298">
        <f>N14*$F$21</f>
        <v>1879391.493944921</v>
      </c>
      <c r="I28" s="299">
        <f>(G28-H28)/O14</f>
        <v>187.815280583369</v>
      </c>
      <c r="J28" s="12"/>
      <c r="K28" s="14"/>
    </row>
    <row r="29" spans="1:11" ht="12.75">
      <c r="A29" s="36" t="s">
        <v>44</v>
      </c>
      <c r="B29" s="297">
        <f>$B$21/$A$21*D6</f>
        <v>1800000</v>
      </c>
      <c r="C29" s="298">
        <f>B29*$E$21*F15</f>
        <v>5996451.073898117</v>
      </c>
      <c r="D29" s="298">
        <f>G15*$F$21</f>
        <v>3794984.095780389</v>
      </c>
      <c r="E29" s="299">
        <f>(C29-D29)/H15</f>
        <v>84.16910040445356</v>
      </c>
      <c r="F29" s="297">
        <f>$B$21/$A$21*D6</f>
        <v>1800000</v>
      </c>
      <c r="G29" s="298">
        <f>F29*$E$21*M15</f>
        <v>7995268.098530823</v>
      </c>
      <c r="H29" s="298">
        <f>N15*$F$21</f>
        <v>3702423.5080784336</v>
      </c>
      <c r="I29" s="299">
        <f>(G29-H29)/O15</f>
        <v>168.23236174772134</v>
      </c>
      <c r="J29" s="12"/>
      <c r="K29" s="14"/>
    </row>
    <row r="30" spans="1:11" ht="13.5" thickBot="1">
      <c r="A30" s="74" t="s">
        <v>46</v>
      </c>
      <c r="B30" s="300">
        <f>$B$21/$A$21*D7</f>
        <v>1950000</v>
      </c>
      <c r="C30" s="301">
        <f>B30*$E$21*F16</f>
        <v>25817862.904708896</v>
      </c>
      <c r="D30" s="301">
        <f>G16*$F$21</f>
        <v>23341992.003259994</v>
      </c>
      <c r="E30" s="302">
        <f>(C30-D30)/H16</f>
        <v>15.390068396325</v>
      </c>
      <c r="F30" s="313">
        <f>$B$21/$A$21*D7</f>
        <v>1950000</v>
      </c>
      <c r="G30" s="314">
        <f>F30*$E$21*M16</f>
        <v>34423817.20627853</v>
      </c>
      <c r="H30" s="314">
        <f>N16*$F$21</f>
        <v>15940872.587592212</v>
      </c>
      <c r="I30" s="315">
        <f>(G30-H30)/O16</f>
        <v>168.23236174772128</v>
      </c>
      <c r="J30" s="12"/>
      <c r="K30" s="14"/>
    </row>
    <row r="31" spans="1:11" s="49" customFormat="1" ht="13.5" thickBot="1">
      <c r="A31" s="210" t="s">
        <v>50</v>
      </c>
      <c r="B31" s="316"/>
      <c r="C31" s="317">
        <f>SUM(C26:C30)</f>
        <v>77174509.38653427</v>
      </c>
      <c r="D31" s="317">
        <f>SUM(D26:D30)</f>
        <v>56401700.76959288</v>
      </c>
      <c r="E31" s="318"/>
      <c r="F31" s="316"/>
      <c r="G31" s="317">
        <f>SUM(G26:G30)</f>
        <v>102899345.84871238</v>
      </c>
      <c r="H31" s="317">
        <f>SUM(H26:H30)</f>
        <v>48396518.417526506</v>
      </c>
      <c r="I31" s="318"/>
      <c r="J31" s="50"/>
      <c r="K31" s="51"/>
    </row>
    <row r="32" spans="1:5" ht="12.75">
      <c r="A32" s="8"/>
      <c r="B32" s="9"/>
      <c r="C32" s="9"/>
      <c r="D32" s="9"/>
      <c r="E32" s="9"/>
    </row>
    <row r="33" spans="1:5" ht="12.75">
      <c r="A33" s="8"/>
      <c r="B33" s="9"/>
      <c r="C33" s="9"/>
      <c r="D33" s="9"/>
      <c r="E33" s="9"/>
    </row>
    <row r="34" spans="1:8" ht="12.75">
      <c r="A34" s="379"/>
      <c r="B34" s="379" t="s">
        <v>147</v>
      </c>
      <c r="C34" s="379"/>
      <c r="D34" s="379"/>
      <c r="E34" s="379"/>
      <c r="F34" s="379"/>
      <c r="G34" s="379"/>
      <c r="H34" s="379"/>
    </row>
    <row r="35" spans="1:8" ht="13.5" thickBot="1">
      <c r="A35" s="380"/>
      <c r="B35" s="380"/>
      <c r="C35" s="380"/>
      <c r="D35" s="380"/>
      <c r="E35" s="380" t="s">
        <v>131</v>
      </c>
      <c r="F35" s="380"/>
      <c r="G35" s="380"/>
      <c r="H35" s="380"/>
    </row>
    <row r="36" spans="1:8" ht="52.5">
      <c r="A36" s="381" t="s">
        <v>132</v>
      </c>
      <c r="B36" s="382" t="s">
        <v>133</v>
      </c>
      <c r="C36" s="383" t="s">
        <v>134</v>
      </c>
      <c r="D36" s="384" t="s">
        <v>135</v>
      </c>
      <c r="E36" s="385" t="s">
        <v>136</v>
      </c>
      <c r="F36" s="383" t="s">
        <v>137</v>
      </c>
      <c r="G36" s="384" t="s">
        <v>138</v>
      </c>
      <c r="H36" s="385" t="s">
        <v>139</v>
      </c>
    </row>
    <row r="37" spans="1:8" ht="39">
      <c r="A37" s="386" t="s">
        <v>140</v>
      </c>
      <c r="B37" s="382" t="s">
        <v>141</v>
      </c>
      <c r="C37" s="387">
        <v>280</v>
      </c>
      <c r="D37" s="388">
        <v>84</v>
      </c>
      <c r="E37" s="389">
        <v>120000</v>
      </c>
      <c r="F37" s="390">
        <f aca="true" t="shared" si="0" ref="F37:G40">C37/1020</f>
        <v>0.27450980392156865</v>
      </c>
      <c r="G37" s="391">
        <f t="shared" si="0"/>
        <v>0.08235294117647059</v>
      </c>
      <c r="H37" s="392">
        <f>E37/1020/2200</f>
        <v>0.053475935828877004</v>
      </c>
    </row>
    <row r="38" spans="1:8" ht="39">
      <c r="A38" s="380"/>
      <c r="B38" s="382" t="s">
        <v>142</v>
      </c>
      <c r="C38" s="387">
        <v>190</v>
      </c>
      <c r="D38" s="388">
        <v>84</v>
      </c>
      <c r="E38" s="389">
        <v>120000</v>
      </c>
      <c r="F38" s="390">
        <f t="shared" si="0"/>
        <v>0.18627450980392157</v>
      </c>
      <c r="G38" s="391">
        <f t="shared" si="0"/>
        <v>0.08235294117647059</v>
      </c>
      <c r="H38" s="392">
        <f>E38/1020/2200</f>
        <v>0.053475935828877004</v>
      </c>
    </row>
    <row r="39" spans="1:8" ht="39">
      <c r="A39" s="380"/>
      <c r="B39" s="382" t="s">
        <v>143</v>
      </c>
      <c r="C39" s="387">
        <v>140</v>
      </c>
      <c r="D39" s="388">
        <v>84</v>
      </c>
      <c r="E39" s="389">
        <v>120000</v>
      </c>
      <c r="F39" s="390">
        <f t="shared" si="0"/>
        <v>0.13725490196078433</v>
      </c>
      <c r="G39" s="391">
        <f t="shared" si="0"/>
        <v>0.08235294117647059</v>
      </c>
      <c r="H39" s="392">
        <f>E39/1020/2200</f>
        <v>0.053475935828877004</v>
      </c>
    </row>
    <row r="40" spans="1:8" ht="39.75" thickBot="1">
      <c r="A40" s="380"/>
      <c r="B40" s="382" t="s">
        <v>144</v>
      </c>
      <c r="C40" s="393">
        <v>100</v>
      </c>
      <c r="D40" s="394">
        <v>84</v>
      </c>
      <c r="E40" s="395">
        <v>120000</v>
      </c>
      <c r="F40" s="390">
        <f t="shared" si="0"/>
        <v>0.09803921568627451</v>
      </c>
      <c r="G40" s="391">
        <f t="shared" si="0"/>
        <v>0.08235294117647059</v>
      </c>
      <c r="H40" s="392">
        <f>E40/1020/2200</f>
        <v>0.053475935828877004</v>
      </c>
    </row>
    <row r="41" spans="1:8" ht="12.75">
      <c r="A41" s="379"/>
      <c r="B41" s="379"/>
      <c r="C41" s="379"/>
      <c r="D41" s="379"/>
      <c r="E41" s="379"/>
      <c r="F41" s="379"/>
      <c r="G41" s="379"/>
      <c r="H41" s="379"/>
    </row>
    <row r="42" spans="1:8" ht="12.75">
      <c r="A42" s="379"/>
      <c r="B42" s="396" t="s">
        <v>145</v>
      </c>
      <c r="C42" s="379" t="s">
        <v>146</v>
      </c>
      <c r="D42" s="379"/>
      <c r="E42" s="379"/>
      <c r="F42" s="379"/>
      <c r="G42" s="379"/>
      <c r="H42" s="379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91" ht="12.75">
      <c r="I91" s="444"/>
    </row>
    <row r="92" spans="3:9" ht="12.75">
      <c r="C92" t="e">
        <f>C6*$F$50/2000/365</f>
        <v>#VALUE!</v>
      </c>
      <c r="D92">
        <f aca="true" t="shared" si="1" ref="D92:D97">D6*$F$51/2000/365</f>
        <v>0</v>
      </c>
      <c r="E92" t="e">
        <f>E6*$F$50/2000/365</f>
        <v>#VALUE!</v>
      </c>
      <c r="F92">
        <f aca="true" t="shared" si="2" ref="F92:F97">F6*$F$51/2000/365</f>
        <v>0</v>
      </c>
      <c r="G92" s="3"/>
      <c r="H92" s="3"/>
      <c r="I92" s="3"/>
    </row>
    <row r="93" spans="3:9" ht="12.75">
      <c r="C93" t="e">
        <f>C7*$F$50/2000/365</f>
        <v>#VALUE!</v>
      </c>
      <c r="D93">
        <f t="shared" si="1"/>
        <v>0</v>
      </c>
      <c r="E93" t="e">
        <f>E7*$F$50/2000/365</f>
        <v>#VALUE!</v>
      </c>
      <c r="F93">
        <f t="shared" si="2"/>
        <v>0</v>
      </c>
      <c r="G93" s="3"/>
      <c r="H93" s="3"/>
      <c r="I93" s="3"/>
    </row>
    <row r="94" spans="3:9" ht="12.75">
      <c r="C94">
        <f>C8*$F$50/2000/365</f>
        <v>0</v>
      </c>
      <c r="D94">
        <f t="shared" si="1"/>
        <v>0</v>
      </c>
      <c r="E94">
        <f>E8*$F$50/2000/365</f>
        <v>0</v>
      </c>
      <c r="F94">
        <f t="shared" si="2"/>
        <v>0</v>
      </c>
      <c r="G94" s="3"/>
      <c r="H94" s="3"/>
      <c r="I94" s="3"/>
    </row>
    <row r="95" spans="3:9" ht="12.75">
      <c r="C95">
        <f>C9*$F$50/2000/365</f>
        <v>0</v>
      </c>
      <c r="D95">
        <f t="shared" si="1"/>
        <v>0</v>
      </c>
      <c r="E95">
        <f>E9*$F$50/2000/365</f>
        <v>0</v>
      </c>
      <c r="F95">
        <f t="shared" si="2"/>
        <v>0</v>
      </c>
      <c r="G95" s="3"/>
      <c r="H95" s="3"/>
      <c r="I95" s="3"/>
    </row>
    <row r="96" spans="3:9" ht="12.75">
      <c r="C96">
        <f>C10*$F$50/2000/365</f>
        <v>0</v>
      </c>
      <c r="D96">
        <f t="shared" si="1"/>
        <v>0</v>
      </c>
      <c r="E96">
        <f>E10*$F$50/2000/365</f>
        <v>0</v>
      </c>
      <c r="F96">
        <f t="shared" si="2"/>
        <v>0</v>
      </c>
      <c r="G96" s="3"/>
      <c r="H96" s="3"/>
      <c r="I96" s="3"/>
    </row>
    <row r="97" spans="4:9" ht="12.75">
      <c r="D97" t="e">
        <f t="shared" si="1"/>
        <v>#VALUE!</v>
      </c>
      <c r="F97" t="e">
        <f t="shared" si="2"/>
        <v>#VALUE!</v>
      </c>
      <c r="G97" s="3"/>
      <c r="H97" s="3"/>
      <c r="I97" s="3"/>
    </row>
  </sheetData>
  <sheetProtection/>
  <mergeCells count="10">
    <mergeCell ref="F24:I24"/>
    <mergeCell ref="B24:E24"/>
    <mergeCell ref="A24:A25"/>
    <mergeCell ref="B1:B2"/>
    <mergeCell ref="I10:O10"/>
    <mergeCell ref="G1:J1"/>
    <mergeCell ref="B10:H10"/>
    <mergeCell ref="A10:A11"/>
    <mergeCell ref="C1:F1"/>
    <mergeCell ref="A1:A2"/>
  </mergeCells>
  <printOptions/>
  <pageMargins left="0.56" right="0.25" top="0.73" bottom="0.5" header="0.25" footer="0.25"/>
  <pageSetup horizontalDpi="600" verticalDpi="600" orientation="landscape" scale="60" r:id="rId1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3">
      <selection activeCell="J20" sqref="J20"/>
    </sheetView>
  </sheetViews>
  <sheetFormatPr defaultColWidth="9.140625" defaultRowHeight="12.75"/>
  <cols>
    <col min="1" max="1" width="16.140625" style="46" customWidth="1"/>
    <col min="2" max="2" width="13.7109375" style="46" customWidth="1"/>
    <col min="3" max="3" width="15.28125" style="46" customWidth="1"/>
    <col min="4" max="4" width="15.7109375" style="46" customWidth="1"/>
    <col min="5" max="5" width="18.28125" style="46" customWidth="1"/>
    <col min="6" max="6" width="15.00390625" style="46" customWidth="1"/>
    <col min="7" max="7" width="12.140625" style="46" bestFit="1" customWidth="1"/>
    <col min="8" max="8" width="16.7109375" style="46" customWidth="1"/>
    <col min="9" max="9" width="13.00390625" style="46" customWidth="1"/>
    <col min="10" max="10" width="18.00390625" style="46" customWidth="1"/>
    <col min="11" max="11" width="16.00390625" style="46" customWidth="1"/>
    <col min="12" max="13" width="11.7109375" style="46" customWidth="1"/>
    <col min="14" max="16384" width="9.140625" style="46" customWidth="1"/>
  </cols>
  <sheetData>
    <row r="1" spans="1:10" ht="13.5" thickBot="1">
      <c r="A1" s="486" t="s">
        <v>38</v>
      </c>
      <c r="B1" s="486" t="s">
        <v>117</v>
      </c>
      <c r="C1" s="495" t="s">
        <v>79</v>
      </c>
      <c r="D1" s="496"/>
      <c r="E1" s="496"/>
      <c r="F1" s="497"/>
      <c r="G1" s="495" t="s">
        <v>80</v>
      </c>
      <c r="H1" s="496"/>
      <c r="I1" s="496"/>
      <c r="J1" s="497"/>
    </row>
    <row r="2" spans="1:10" s="52" customFormat="1" ht="54" thickBot="1">
      <c r="A2" s="498"/>
      <c r="B2" s="494"/>
      <c r="C2" s="89" t="s">
        <v>81</v>
      </c>
      <c r="D2" s="90" t="s">
        <v>93</v>
      </c>
      <c r="E2" s="90" t="s">
        <v>94</v>
      </c>
      <c r="F2" s="91" t="s">
        <v>106</v>
      </c>
      <c r="G2" s="89" t="s">
        <v>9</v>
      </c>
      <c r="H2" s="90" t="s">
        <v>107</v>
      </c>
      <c r="I2" s="90" t="s">
        <v>86</v>
      </c>
      <c r="J2" s="92" t="s">
        <v>87</v>
      </c>
    </row>
    <row r="3" spans="1:10" ht="12.75">
      <c r="A3" s="185" t="s">
        <v>40</v>
      </c>
      <c r="B3" s="332">
        <v>0.33708609271523177</v>
      </c>
      <c r="C3" s="267" t="s">
        <v>75</v>
      </c>
      <c r="D3" s="268">
        <v>100</v>
      </c>
      <c r="E3" s="269" t="s">
        <v>45</v>
      </c>
      <c r="F3" s="270">
        <v>0.9</v>
      </c>
      <c r="G3" s="319">
        <f>J3/H3</f>
        <v>282.3992992503243</v>
      </c>
      <c r="H3" s="320">
        <f>D3*$F$21*F3</f>
        <v>788400</v>
      </c>
      <c r="I3" s="135">
        <v>35006223.792814</v>
      </c>
      <c r="J3" s="136">
        <f>I3/$E$21*B3</f>
        <v>222643607.5289557</v>
      </c>
    </row>
    <row r="4" spans="1:10" ht="12.75">
      <c r="A4" s="191" t="s">
        <v>41</v>
      </c>
      <c r="B4" s="333">
        <v>0.6392467789890981</v>
      </c>
      <c r="C4" s="230" t="s">
        <v>76</v>
      </c>
      <c r="D4" s="231">
        <v>40</v>
      </c>
      <c r="E4" s="232" t="s">
        <v>42</v>
      </c>
      <c r="F4" s="177">
        <v>0.8</v>
      </c>
      <c r="G4" s="178">
        <f>J4/H4</f>
        <v>70.0097144664684</v>
      </c>
      <c r="H4" s="176">
        <f>D4*$F$21*F4</f>
        <v>280320</v>
      </c>
      <c r="I4" s="138">
        <v>1627120.48246</v>
      </c>
      <c r="J4" s="139">
        <f>I4/$E$21*B4</f>
        <v>19625123.15924042</v>
      </c>
    </row>
    <row r="5" spans="1:10" ht="12.75">
      <c r="A5" s="191" t="s">
        <v>43</v>
      </c>
      <c r="B5" s="333">
        <v>0.7413793103448276</v>
      </c>
      <c r="C5" s="230" t="s">
        <v>77</v>
      </c>
      <c r="D5" s="231">
        <v>60</v>
      </c>
      <c r="E5" s="232" t="s">
        <v>45</v>
      </c>
      <c r="F5" s="177">
        <v>0.8</v>
      </c>
      <c r="G5" s="178">
        <f>J5/H5</f>
        <v>39.71715940330052</v>
      </c>
      <c r="H5" s="176">
        <f>D5*$F$21*F5</f>
        <v>420480</v>
      </c>
      <c r="I5" s="138">
        <v>1193875.2005919998</v>
      </c>
      <c r="J5" s="139">
        <f>I5/$E$21*B5</f>
        <v>16700271.185899803</v>
      </c>
    </row>
    <row r="6" spans="1:10" ht="12.75">
      <c r="A6" s="191" t="s">
        <v>44</v>
      </c>
      <c r="B6" s="333">
        <v>0.6818369880016549</v>
      </c>
      <c r="C6" s="230" t="s">
        <v>77</v>
      </c>
      <c r="D6" s="231">
        <v>60</v>
      </c>
      <c r="E6" s="232" t="s">
        <v>45</v>
      </c>
      <c r="F6" s="177">
        <v>0.85</v>
      </c>
      <c r="G6" s="178">
        <f>J6/H6</f>
        <v>73.64072898884181</v>
      </c>
      <c r="H6" s="176">
        <f>D6*$F$21*F6</f>
        <v>446760</v>
      </c>
      <c r="I6" s="138">
        <v>2557335.3031380004</v>
      </c>
      <c r="J6" s="139">
        <f>I6/$E$21*B6</f>
        <v>32899732.08305497</v>
      </c>
    </row>
    <row r="7" spans="1:10" ht="13.5" thickBot="1">
      <c r="A7" s="194" t="s">
        <v>46</v>
      </c>
      <c r="B7" s="334">
        <v>0.7</v>
      </c>
      <c r="C7" s="233" t="s">
        <v>78</v>
      </c>
      <c r="D7" s="234">
        <v>65</v>
      </c>
      <c r="E7" s="235" t="s">
        <v>47</v>
      </c>
      <c r="F7" s="183">
        <v>0.85</v>
      </c>
      <c r="G7" s="184">
        <f>J7/H7</f>
        <v>292.6725345436382</v>
      </c>
      <c r="H7" s="182">
        <f>D7*$F$21*F7</f>
        <v>483990</v>
      </c>
      <c r="I7" s="140">
        <v>10724972.485242998</v>
      </c>
      <c r="J7" s="141">
        <f>I7/$E$21*B7</f>
        <v>141650579.99377546</v>
      </c>
    </row>
    <row r="8" spans="13:23" ht="12.75">
      <c r="M8"/>
      <c r="N8"/>
      <c r="O8"/>
      <c r="P8"/>
      <c r="Q8"/>
      <c r="R8"/>
      <c r="S8"/>
      <c r="T8"/>
      <c r="U8"/>
      <c r="V8"/>
      <c r="W8"/>
    </row>
    <row r="9" ht="13.5" thickBot="1">
      <c r="W9"/>
    </row>
    <row r="10" spans="1:23" s="52" customFormat="1" ht="13.5" customHeight="1" thickBot="1">
      <c r="A10" s="486" t="s">
        <v>38</v>
      </c>
      <c r="B10" s="499" t="s">
        <v>52</v>
      </c>
      <c r="C10" s="496"/>
      <c r="D10" s="496"/>
      <c r="E10" s="496"/>
      <c r="F10" s="497"/>
      <c r="G10" s="499" t="s">
        <v>53</v>
      </c>
      <c r="H10" s="496"/>
      <c r="I10" s="496"/>
      <c r="J10" s="496"/>
      <c r="K10" s="497"/>
      <c r="M10"/>
      <c r="N10"/>
      <c r="O10"/>
      <c r="P10"/>
      <c r="Q10"/>
      <c r="R10"/>
      <c r="S10"/>
      <c r="T10"/>
      <c r="U10"/>
      <c r="V10"/>
      <c r="W10"/>
    </row>
    <row r="11" spans="1:23" s="52" customFormat="1" ht="41.25" thickBot="1">
      <c r="A11" s="494"/>
      <c r="B11" s="96" t="s">
        <v>118</v>
      </c>
      <c r="C11" s="131" t="s">
        <v>109</v>
      </c>
      <c r="D11" s="114" t="s">
        <v>48</v>
      </c>
      <c r="E11" s="114" t="s">
        <v>100</v>
      </c>
      <c r="F11" s="115" t="s">
        <v>101</v>
      </c>
      <c r="G11" s="113" t="s">
        <v>96</v>
      </c>
      <c r="H11" s="131" t="s">
        <v>108</v>
      </c>
      <c r="I11" s="114" t="s">
        <v>48</v>
      </c>
      <c r="J11" s="114" t="s">
        <v>100</v>
      </c>
      <c r="K11" s="115" t="s">
        <v>101</v>
      </c>
      <c r="M11"/>
      <c r="N11"/>
      <c r="O11"/>
      <c r="P11"/>
      <c r="Q11"/>
      <c r="R11"/>
      <c r="S11"/>
      <c r="T11"/>
      <c r="U11"/>
      <c r="V11"/>
      <c r="W11"/>
    </row>
    <row r="12" spans="1:23" ht="12.75">
      <c r="A12" s="250" t="s">
        <v>40</v>
      </c>
      <c r="B12" s="327">
        <v>0.337</v>
      </c>
      <c r="C12" s="253">
        <v>0.02</v>
      </c>
      <c r="D12" s="187">
        <f>G3*B12</f>
        <v>95.1685638473593</v>
      </c>
      <c r="E12" s="188">
        <f>C12*H3*D12</f>
        <v>1500617.9147451613</v>
      </c>
      <c r="F12" s="189">
        <f>E12*$E$21</f>
        <v>79532.74948149355</v>
      </c>
      <c r="G12" s="190">
        <f>B12*1.2</f>
        <v>0.40440000000000004</v>
      </c>
      <c r="H12" s="186">
        <f>C12/2</f>
        <v>0.01</v>
      </c>
      <c r="I12" s="187">
        <f>G3*G12</f>
        <v>114.20227661683116</v>
      </c>
      <c r="J12" s="188">
        <f>H12*H3*I12</f>
        <v>900370.7488470968</v>
      </c>
      <c r="K12" s="189">
        <f>J12*$E$21</f>
        <v>47719.64968889613</v>
      </c>
      <c r="W12" s="52"/>
    </row>
    <row r="13" spans="1:23" ht="12.75">
      <c r="A13" s="146" t="s">
        <v>41</v>
      </c>
      <c r="B13" s="328">
        <v>0.337</v>
      </c>
      <c r="C13" s="254">
        <v>0.02</v>
      </c>
      <c r="D13" s="175">
        <f>G4*B13</f>
        <v>23.59327377519985</v>
      </c>
      <c r="E13" s="138">
        <f>C13*H4*D13</f>
        <v>132273.33009328047</v>
      </c>
      <c r="F13" s="139">
        <f>E13*$E$21</f>
        <v>7010.486494943865</v>
      </c>
      <c r="G13" s="193">
        <f>B13*1.2</f>
        <v>0.40440000000000004</v>
      </c>
      <c r="H13" s="192">
        <f>C13/2</f>
        <v>0.01</v>
      </c>
      <c r="I13" s="175">
        <f>G4*G13</f>
        <v>28.311928530239822</v>
      </c>
      <c r="J13" s="138">
        <f>H13*H4*I13</f>
        <v>79363.99805596827</v>
      </c>
      <c r="K13" s="139">
        <f>J13*$E$21</f>
        <v>4206.291896966319</v>
      </c>
      <c r="W13"/>
    </row>
    <row r="14" spans="1:23" ht="12.75">
      <c r="A14" s="146" t="s">
        <v>43</v>
      </c>
      <c r="B14" s="328">
        <v>0.337</v>
      </c>
      <c r="C14" s="254">
        <v>0.02</v>
      </c>
      <c r="D14" s="175">
        <f>G5*B14</f>
        <v>13.384682718912277</v>
      </c>
      <c r="E14" s="138">
        <f>C14*H5*D14</f>
        <v>112559.82779296469</v>
      </c>
      <c r="F14" s="139">
        <f>E14*$E$21</f>
        <v>5965.670873027128</v>
      </c>
      <c r="G14" s="193">
        <f>B14*1.2</f>
        <v>0.40440000000000004</v>
      </c>
      <c r="H14" s="192">
        <f>C14/2</f>
        <v>0.01</v>
      </c>
      <c r="I14" s="175">
        <f>G5*G14</f>
        <v>16.06161926269473</v>
      </c>
      <c r="J14" s="138">
        <f>H14*H5*I14</f>
        <v>67535.8966757788</v>
      </c>
      <c r="K14" s="139">
        <f>J14*$E$21</f>
        <v>3579.4025238162762</v>
      </c>
      <c r="M14"/>
      <c r="N14"/>
      <c r="O14"/>
      <c r="P14"/>
      <c r="Q14"/>
      <c r="R14"/>
      <c r="S14"/>
      <c r="T14"/>
      <c r="U14"/>
      <c r="V14"/>
      <c r="W14"/>
    </row>
    <row r="15" spans="1:23" ht="12.75">
      <c r="A15" s="146" t="s">
        <v>44</v>
      </c>
      <c r="B15" s="328">
        <v>0.337</v>
      </c>
      <c r="C15" s="254">
        <v>0.02</v>
      </c>
      <c r="D15" s="175">
        <f>G6*B15</f>
        <v>24.816925669239694</v>
      </c>
      <c r="E15" s="138">
        <f>C15*H6*D15</f>
        <v>221744.19423979052</v>
      </c>
      <c r="F15" s="139">
        <f>E15*$E$21</f>
        <v>11752.442294708897</v>
      </c>
      <c r="G15" s="193">
        <f>B15*1.2</f>
        <v>0.40440000000000004</v>
      </c>
      <c r="H15" s="192">
        <f>C15/2</f>
        <v>0.01</v>
      </c>
      <c r="I15" s="175">
        <f>G6*G15</f>
        <v>29.780310803087634</v>
      </c>
      <c r="J15" s="138">
        <f>H15*H6*I15</f>
        <v>133046.5165438743</v>
      </c>
      <c r="K15" s="139">
        <f>J15*$E$21</f>
        <v>7051.465376825338</v>
      </c>
      <c r="M15"/>
      <c r="N15"/>
      <c r="O15"/>
      <c r="P15"/>
      <c r="Q15"/>
      <c r="R15"/>
      <c r="S15"/>
      <c r="T15"/>
      <c r="U15"/>
      <c r="V15"/>
      <c r="W15"/>
    </row>
    <row r="16" spans="1:23" ht="13.5" thickBot="1">
      <c r="A16" s="251" t="s">
        <v>46</v>
      </c>
      <c r="B16" s="329">
        <v>0.337</v>
      </c>
      <c r="C16" s="255">
        <v>0.02</v>
      </c>
      <c r="D16" s="181">
        <f>G7*B16</f>
        <v>98.63064414120609</v>
      </c>
      <c r="E16" s="140">
        <f>C16*H7*D16</f>
        <v>954724.9091580468</v>
      </c>
      <c r="F16" s="141">
        <f>E16*$E$21</f>
        <v>50600.42018537648</v>
      </c>
      <c r="G16" s="196">
        <f>B16*1.2</f>
        <v>0.40440000000000004</v>
      </c>
      <c r="H16" s="195">
        <f>C16/2</f>
        <v>0.01</v>
      </c>
      <c r="I16" s="181">
        <f>G7*G16</f>
        <v>118.3567729694473</v>
      </c>
      <c r="J16" s="140">
        <f>H16*H7*I16</f>
        <v>572834.945494828</v>
      </c>
      <c r="K16" s="141">
        <f>J16*$E$21</f>
        <v>30360.252111225887</v>
      </c>
      <c r="M16"/>
      <c r="N16"/>
      <c r="O16"/>
      <c r="P16"/>
      <c r="Q16"/>
      <c r="R16"/>
      <c r="S16"/>
      <c r="T16"/>
      <c r="U16"/>
      <c r="V16"/>
      <c r="W16"/>
    </row>
    <row r="17" spans="1:23" ht="13.5" thickBot="1">
      <c r="A17" s="197" t="s">
        <v>50</v>
      </c>
      <c r="B17" s="252"/>
      <c r="C17" s="236"/>
      <c r="D17" s="237"/>
      <c r="E17" s="155">
        <f>SUM(E12:E16)</f>
        <v>2921920.1760292435</v>
      </c>
      <c r="F17" s="156">
        <f>SUM(F12:F16)</f>
        <v>154861.76932954992</v>
      </c>
      <c r="G17" s="133"/>
      <c r="H17" s="142"/>
      <c r="I17" s="142"/>
      <c r="J17" s="155">
        <f>SUM(J12:J16)</f>
        <v>1753152.1056175462</v>
      </c>
      <c r="K17" s="156">
        <f>SUM(K12:K16)</f>
        <v>92917.06159772995</v>
      </c>
      <c r="M17"/>
      <c r="N17"/>
      <c r="O17"/>
      <c r="P17"/>
      <c r="Q17"/>
      <c r="R17"/>
      <c r="S17"/>
      <c r="T17"/>
      <c r="U17"/>
      <c r="V17"/>
      <c r="W17"/>
    </row>
    <row r="18" spans="13:23" ht="12.75">
      <c r="M18"/>
      <c r="N18"/>
      <c r="O18"/>
      <c r="P18"/>
      <c r="Q18"/>
      <c r="R18"/>
      <c r="S18"/>
      <c r="T18"/>
      <c r="U18"/>
      <c r="V18"/>
      <c r="W18" s="49"/>
    </row>
    <row r="19" spans="13:23" ht="13.5" thickBot="1">
      <c r="M19"/>
      <c r="N19"/>
      <c r="O19"/>
      <c r="P19"/>
      <c r="Q19"/>
      <c r="R19"/>
      <c r="S19"/>
      <c r="T19"/>
      <c r="U19"/>
      <c r="V19"/>
      <c r="W19"/>
    </row>
    <row r="20" spans="1:10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104</v>
      </c>
      <c r="F20" s="91" t="s">
        <v>32</v>
      </c>
      <c r="I20" s="157"/>
      <c r="J20" s="157"/>
    </row>
    <row r="21" spans="1:11" ht="13.5" thickBot="1">
      <c r="A21" s="158">
        <v>0.3</v>
      </c>
      <c r="B21" s="159">
        <v>20</v>
      </c>
      <c r="C21" s="160">
        <f>A21/(1-1/(1+A21)^B21)</f>
        <v>0.30158688481804236</v>
      </c>
      <c r="D21" s="322">
        <v>7.69</v>
      </c>
      <c r="E21" s="160">
        <f>5.3*10^(-2)</f>
        <v>0.053</v>
      </c>
      <c r="F21" s="161">
        <v>8760</v>
      </c>
      <c r="G21" s="373"/>
      <c r="H21" s="374"/>
      <c r="I21" s="374"/>
      <c r="J21" s="374"/>
      <c r="K21" s="374"/>
    </row>
    <row r="22" spans="1:11" ht="12.75">
      <c r="A22" s="199"/>
      <c r="B22" s="163"/>
      <c r="D22" s="199"/>
      <c r="G22" s="172"/>
      <c r="H22" s="208"/>
      <c r="I22" s="208"/>
      <c r="J22" s="208"/>
      <c r="K22" s="208"/>
    </row>
    <row r="23" spans="1:11" ht="13.5" thickBot="1">
      <c r="A23" s="199"/>
      <c r="B23" s="163"/>
      <c r="D23" s="199"/>
      <c r="G23" s="172"/>
      <c r="H23" s="208"/>
      <c r="I23" s="208"/>
      <c r="J23" s="208"/>
      <c r="K23" s="208"/>
    </row>
    <row r="24" spans="1:9" s="52" customFormat="1" ht="13.5" thickBot="1">
      <c r="A24" s="486" t="s">
        <v>38</v>
      </c>
      <c r="B24" s="495" t="s">
        <v>52</v>
      </c>
      <c r="C24" s="496"/>
      <c r="D24" s="496"/>
      <c r="E24" s="497"/>
      <c r="F24" s="495" t="s">
        <v>53</v>
      </c>
      <c r="G24" s="496"/>
      <c r="H24" s="496"/>
      <c r="I24" s="497"/>
    </row>
    <row r="25" spans="1:9" s="52" customFormat="1" ht="42" thickBot="1">
      <c r="A25" s="494"/>
      <c r="B25" s="113" t="s">
        <v>49</v>
      </c>
      <c r="C25" s="114" t="s">
        <v>10</v>
      </c>
      <c r="D25" s="114" t="s">
        <v>11</v>
      </c>
      <c r="E25" s="115" t="s">
        <v>105</v>
      </c>
      <c r="F25" s="113" t="s">
        <v>8</v>
      </c>
      <c r="G25" s="114" t="s">
        <v>10</v>
      </c>
      <c r="H25" s="114" t="s">
        <v>11</v>
      </c>
      <c r="I25" s="115" t="s">
        <v>105</v>
      </c>
    </row>
    <row r="26" spans="1:9" ht="12.75">
      <c r="A26" s="185" t="s">
        <v>40</v>
      </c>
      <c r="B26" s="238">
        <f>D26/(D12)/1</f>
        <v>121255.92000000001</v>
      </c>
      <c r="C26" s="239">
        <f>B26*$C$21*D12</f>
        <v>3480237.786195976</v>
      </c>
      <c r="D26" s="239">
        <f>E12*$D$21</f>
        <v>11539751.764390292</v>
      </c>
      <c r="E26" s="240">
        <f>(C26-D26)/F12</f>
        <v>-101.33578973111801</v>
      </c>
      <c r="F26" s="238">
        <f>B26*1.5</f>
        <v>181883.88</v>
      </c>
      <c r="G26" s="239">
        <f>F26*$C$21*D12</f>
        <v>5220356.679293964</v>
      </c>
      <c r="H26" s="239">
        <f>J12*$D$21</f>
        <v>6923851.058634175</v>
      </c>
      <c r="I26" s="240">
        <f>(G26-H26)/K12</f>
        <v>-35.697964893832754</v>
      </c>
    </row>
    <row r="27" spans="1:9" ht="12.75">
      <c r="A27" s="191" t="s">
        <v>41</v>
      </c>
      <c r="B27" s="241">
        <f>D27/(D13)/1</f>
        <v>43113.21600000001</v>
      </c>
      <c r="C27" s="242">
        <f>B27*$C$21*D13</f>
        <v>306768.72305285285</v>
      </c>
      <c r="D27" s="242">
        <f>E13*$D$21</f>
        <v>1017181.9084173269</v>
      </c>
      <c r="E27" s="243">
        <f>(C27-D27)/F13</f>
        <v>-101.33578973111801</v>
      </c>
      <c r="F27" s="241">
        <f>B27*1.5</f>
        <v>64669.82400000001</v>
      </c>
      <c r="G27" s="242">
        <f>F27*$C$21*D13</f>
        <v>460153.08457927924</v>
      </c>
      <c r="H27" s="242">
        <f>J13*$D$21</f>
        <v>610309.1450503961</v>
      </c>
      <c r="I27" s="243">
        <f>(G27-H27)/K13</f>
        <v>-35.69796489383276</v>
      </c>
    </row>
    <row r="28" spans="1:9" ht="12.75">
      <c r="A28" s="191" t="s">
        <v>43</v>
      </c>
      <c r="B28" s="241">
        <f>D28/(D14)/1</f>
        <v>64669.82400000001</v>
      </c>
      <c r="C28" s="242">
        <f>B28*$C$21*D14</f>
        <v>261049.10653376623</v>
      </c>
      <c r="D28" s="242">
        <f>E14*$D$21</f>
        <v>865585.0757278985</v>
      </c>
      <c r="E28" s="243">
        <f>(C28-D28)/F14</f>
        <v>-101.335789731118</v>
      </c>
      <c r="F28" s="241">
        <f>B28*1.5</f>
        <v>97004.736</v>
      </c>
      <c r="G28" s="242">
        <f>F28*$C$21*D14</f>
        <v>391573.6598006493</v>
      </c>
      <c r="H28" s="242">
        <f>J14*$D$21</f>
        <v>519351.045436739</v>
      </c>
      <c r="I28" s="243">
        <f>(G28-H28)/K14</f>
        <v>-35.69796489383273</v>
      </c>
    </row>
    <row r="29" spans="1:9" ht="12.75">
      <c r="A29" s="191" t="s">
        <v>44</v>
      </c>
      <c r="B29" s="241">
        <f>D29/(D15)/1</f>
        <v>68711.68800000001</v>
      </c>
      <c r="C29" s="242">
        <f>B29*$C$21*D15</f>
        <v>514269.8325002704</v>
      </c>
      <c r="D29" s="242">
        <f>E15*$D$21</f>
        <v>1705212.8537039892</v>
      </c>
      <c r="E29" s="243">
        <f>(C29-D29)/F15</f>
        <v>-101.33578973111801</v>
      </c>
      <c r="F29" s="241">
        <f>B29*1.5</f>
        <v>103067.532</v>
      </c>
      <c r="G29" s="242">
        <f>F29*$C$21*D15</f>
        <v>771404.7487504055</v>
      </c>
      <c r="H29" s="242">
        <f>J15*$D$21</f>
        <v>1023127.7122223935</v>
      </c>
      <c r="I29" s="243">
        <f>(G29-H29)/K15</f>
        <v>-35.69796489383274</v>
      </c>
    </row>
    <row r="30" spans="1:9" ht="13.5" thickBot="1">
      <c r="A30" s="200" t="s">
        <v>46</v>
      </c>
      <c r="B30" s="244">
        <f>D30/(D16)/1</f>
        <v>74437.66200000001</v>
      </c>
      <c r="C30" s="245">
        <f>B30*$C$21*D16</f>
        <v>2214201.01121385</v>
      </c>
      <c r="D30" s="245">
        <f>E16*$D$21</f>
        <v>7341834.551425381</v>
      </c>
      <c r="E30" s="246">
        <f>(C30-D30)/F16</f>
        <v>-101.33578973111801</v>
      </c>
      <c r="F30" s="244">
        <f>B30*1.5</f>
        <v>111656.49300000002</v>
      </c>
      <c r="G30" s="245">
        <f>F30*$C$21*D16</f>
        <v>3321301.516820775</v>
      </c>
      <c r="H30" s="245">
        <f>J16*$D$21</f>
        <v>4405100.730855227</v>
      </c>
      <c r="I30" s="246">
        <f>(G30-H30)/K16</f>
        <v>-35.697964893832726</v>
      </c>
    </row>
    <row r="31" spans="1:9" ht="13.5" thickBot="1">
      <c r="A31" s="197" t="s">
        <v>50</v>
      </c>
      <c r="B31" s="247"/>
      <c r="C31" s="248">
        <f>SUM(C26:C30)</f>
        <v>6776526.459496716</v>
      </c>
      <c r="D31" s="248">
        <f>SUM(D26:D30)</f>
        <v>22469566.153664887</v>
      </c>
      <c r="E31" s="249"/>
      <c r="F31" s="247"/>
      <c r="G31" s="248">
        <f>SUM(G26:G30)</f>
        <v>10164789.689245073</v>
      </c>
      <c r="H31" s="248">
        <f>SUM(H26:H30)</f>
        <v>13481739.692198932</v>
      </c>
      <c r="I31" s="249"/>
    </row>
    <row r="32" spans="3:11" ht="12.75">
      <c r="C32" s="132"/>
      <c r="D32" s="168"/>
      <c r="E32" s="168"/>
      <c r="F32" s="168"/>
      <c r="G32" s="168"/>
      <c r="I32" s="163"/>
      <c r="K32" s="157"/>
    </row>
    <row r="33" spans="1:6" ht="15">
      <c r="A33" s="372" t="s">
        <v>7</v>
      </c>
      <c r="B33" s="132"/>
      <c r="C33" s="168"/>
      <c r="D33" s="168"/>
      <c r="E33" s="168"/>
      <c r="F33" s="168"/>
    </row>
    <row r="36" spans="1:8" ht="12.75">
      <c r="A36" s="379"/>
      <c r="B36" s="379" t="s">
        <v>147</v>
      </c>
      <c r="C36" s="379"/>
      <c r="D36" s="379"/>
      <c r="E36" s="379"/>
      <c r="F36" s="379"/>
      <c r="G36" s="379"/>
      <c r="H36" s="379"/>
    </row>
    <row r="37" spans="1:8" ht="13.5" thickBot="1">
      <c r="A37" s="380"/>
      <c r="B37" s="380"/>
      <c r="C37" s="380"/>
      <c r="D37" s="380"/>
      <c r="E37" s="380" t="s">
        <v>131</v>
      </c>
      <c r="F37" s="380"/>
      <c r="G37" s="380"/>
      <c r="H37" s="380"/>
    </row>
    <row r="38" spans="1:8" ht="39">
      <c r="A38" s="381" t="s">
        <v>132</v>
      </c>
      <c r="B38" s="382" t="s">
        <v>133</v>
      </c>
      <c r="C38" s="383" t="s">
        <v>134</v>
      </c>
      <c r="D38" s="384" t="s">
        <v>135</v>
      </c>
      <c r="E38" s="385" t="s">
        <v>136</v>
      </c>
      <c r="F38" s="383" t="s">
        <v>137</v>
      </c>
      <c r="G38" s="384" t="s">
        <v>138</v>
      </c>
      <c r="H38" s="385" t="s">
        <v>139</v>
      </c>
    </row>
    <row r="39" spans="1:8" ht="26.25">
      <c r="A39" s="386" t="s">
        <v>140</v>
      </c>
      <c r="B39" s="382" t="s">
        <v>141</v>
      </c>
      <c r="C39" s="387">
        <v>280</v>
      </c>
      <c r="D39" s="388">
        <v>84</v>
      </c>
      <c r="E39" s="389">
        <v>120000</v>
      </c>
      <c r="F39" s="390">
        <f aca="true" t="shared" si="0" ref="F39:G42">C39/1020</f>
        <v>0.27450980392156865</v>
      </c>
      <c r="G39" s="391">
        <f t="shared" si="0"/>
        <v>0.08235294117647059</v>
      </c>
      <c r="H39" s="392">
        <f>E39/1020/2200</f>
        <v>0.053475935828877004</v>
      </c>
    </row>
    <row r="40" spans="1:8" ht="26.25">
      <c r="A40" s="380"/>
      <c r="B40" s="382" t="s">
        <v>142</v>
      </c>
      <c r="C40" s="387">
        <v>190</v>
      </c>
      <c r="D40" s="388">
        <v>84</v>
      </c>
      <c r="E40" s="389">
        <v>120000</v>
      </c>
      <c r="F40" s="390">
        <f t="shared" si="0"/>
        <v>0.18627450980392157</v>
      </c>
      <c r="G40" s="391">
        <f t="shared" si="0"/>
        <v>0.08235294117647059</v>
      </c>
      <c r="H40" s="392">
        <f>E40/1020/2200</f>
        <v>0.053475935828877004</v>
      </c>
    </row>
    <row r="41" spans="1:8" ht="39">
      <c r="A41" s="380"/>
      <c r="B41" s="382" t="s">
        <v>143</v>
      </c>
      <c r="C41" s="387">
        <v>140</v>
      </c>
      <c r="D41" s="388">
        <v>84</v>
      </c>
      <c r="E41" s="389">
        <v>120000</v>
      </c>
      <c r="F41" s="390">
        <f t="shared" si="0"/>
        <v>0.13725490196078433</v>
      </c>
      <c r="G41" s="391">
        <f t="shared" si="0"/>
        <v>0.08235294117647059</v>
      </c>
      <c r="H41" s="392">
        <f>E41/1020/2200</f>
        <v>0.053475935828877004</v>
      </c>
    </row>
    <row r="42" spans="1:8" ht="39.75" thickBot="1">
      <c r="A42" s="380"/>
      <c r="B42" s="382" t="s">
        <v>144</v>
      </c>
      <c r="C42" s="393">
        <v>100</v>
      </c>
      <c r="D42" s="394">
        <v>84</v>
      </c>
      <c r="E42" s="395">
        <v>120000</v>
      </c>
      <c r="F42" s="390">
        <f t="shared" si="0"/>
        <v>0.09803921568627451</v>
      </c>
      <c r="G42" s="391">
        <f t="shared" si="0"/>
        <v>0.08235294117647059</v>
      </c>
      <c r="H42" s="392">
        <f>E42/1020/2200</f>
        <v>0.053475935828877004</v>
      </c>
    </row>
    <row r="43" spans="1:8" ht="12.75">
      <c r="A43" s="379"/>
      <c r="B43" s="379"/>
      <c r="C43" s="379"/>
      <c r="D43" s="379"/>
      <c r="E43" s="379"/>
      <c r="F43" s="379"/>
      <c r="G43" s="379"/>
      <c r="H43" s="379"/>
    </row>
    <row r="44" spans="1:8" ht="12.75">
      <c r="A44" s="379"/>
      <c r="B44" s="396" t="s">
        <v>145</v>
      </c>
      <c r="C44" s="379" t="s">
        <v>146</v>
      </c>
      <c r="D44" s="379"/>
      <c r="E44" s="379"/>
      <c r="F44" s="379"/>
      <c r="G44" s="379"/>
      <c r="H44" s="379"/>
    </row>
    <row r="45" spans="1:8" ht="12.75">
      <c r="A45" s="8"/>
      <c r="B45" s="8"/>
      <c r="C45"/>
      <c r="D45"/>
      <c r="E45"/>
      <c r="F45"/>
      <c r="G45"/>
      <c r="H45"/>
    </row>
    <row r="46" spans="1:3" ht="12.75">
      <c r="A46" s="132"/>
      <c r="B46" s="132"/>
      <c r="C46" s="132"/>
    </row>
    <row r="47" spans="1:3" ht="12.75">
      <c r="A47" s="132"/>
      <c r="B47" s="132"/>
      <c r="C47" s="132"/>
    </row>
    <row r="48" spans="1:3" ht="12.75">
      <c r="A48" s="132"/>
      <c r="B48" s="132"/>
      <c r="C48" s="132"/>
    </row>
    <row r="49" spans="1:3" ht="12.75">
      <c r="A49" s="132"/>
      <c r="B49" s="132"/>
      <c r="C49" s="132"/>
    </row>
    <row r="50" spans="1:3" ht="12.75">
      <c r="A50" s="132"/>
      <c r="B50" s="132"/>
      <c r="C50" s="132"/>
    </row>
    <row r="51" spans="1:3" ht="12.75">
      <c r="A51" s="132"/>
      <c r="B51" s="132"/>
      <c r="C51" s="132"/>
    </row>
    <row r="52" spans="1:3" ht="12.75">
      <c r="A52" s="132"/>
      <c r="B52" s="132"/>
      <c r="C52" s="132"/>
    </row>
    <row r="53" spans="1:3" ht="12.75">
      <c r="A53" s="132"/>
      <c r="B53" s="132"/>
      <c r="C53" s="132"/>
    </row>
    <row r="54" spans="1:3" ht="12.75">
      <c r="A54" s="132"/>
      <c r="B54" s="132"/>
      <c r="C54" s="132"/>
    </row>
    <row r="55" spans="1:3" ht="12.75">
      <c r="A55" s="132"/>
      <c r="B55" s="132"/>
      <c r="C55" s="132"/>
    </row>
    <row r="56" spans="1:3" ht="12.75">
      <c r="A56" s="132"/>
      <c r="B56" s="132"/>
      <c r="C56" s="132"/>
    </row>
    <row r="57" spans="1:3" ht="12.75">
      <c r="A57" s="132"/>
      <c r="B57" s="132"/>
      <c r="C57" s="132"/>
    </row>
    <row r="58" spans="1:3" ht="12.75">
      <c r="A58" s="132"/>
      <c r="B58" s="132"/>
      <c r="C58" s="132"/>
    </row>
    <row r="59" spans="1:3" ht="12.75">
      <c r="A59" s="132"/>
      <c r="B59" s="132"/>
      <c r="C59" s="132"/>
    </row>
    <row r="60" spans="1:3" ht="12.75">
      <c r="A60" s="132"/>
      <c r="B60" s="132"/>
      <c r="C60" s="132"/>
    </row>
  </sheetData>
  <sheetProtection/>
  <mergeCells count="10">
    <mergeCell ref="C1:F1"/>
    <mergeCell ref="B1:B2"/>
    <mergeCell ref="A1:A2"/>
    <mergeCell ref="G1:J1"/>
    <mergeCell ref="F24:I24"/>
    <mergeCell ref="B24:E24"/>
    <mergeCell ref="A24:A25"/>
    <mergeCell ref="G10:K10"/>
    <mergeCell ref="B10:F10"/>
    <mergeCell ref="A10:A11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16.28125" style="46" customWidth="1"/>
    <col min="2" max="2" width="12.00390625" style="46" customWidth="1"/>
    <col min="3" max="3" width="15.00390625" style="46" customWidth="1"/>
    <col min="4" max="4" width="15.7109375" style="46" customWidth="1"/>
    <col min="5" max="5" width="13.7109375" style="46" customWidth="1"/>
    <col min="6" max="6" width="16.00390625" style="46" customWidth="1"/>
    <col min="7" max="7" width="17.7109375" style="46" customWidth="1"/>
    <col min="8" max="8" width="13.8515625" style="46" customWidth="1"/>
    <col min="9" max="9" width="14.7109375" style="46" customWidth="1"/>
    <col min="10" max="10" width="17.421875" style="46" customWidth="1"/>
    <col min="11" max="14" width="11.7109375" style="46" customWidth="1"/>
    <col min="15" max="16384" width="9.140625" style="46" customWidth="1"/>
  </cols>
  <sheetData>
    <row r="1" spans="1:10" ht="13.5" thickBot="1">
      <c r="A1" s="486" t="s">
        <v>38</v>
      </c>
      <c r="B1" s="486" t="s">
        <v>117</v>
      </c>
      <c r="C1" s="495" t="s">
        <v>79</v>
      </c>
      <c r="D1" s="496"/>
      <c r="E1" s="496"/>
      <c r="F1" s="497"/>
      <c r="G1" s="495" t="s">
        <v>80</v>
      </c>
      <c r="H1" s="496"/>
      <c r="I1" s="496"/>
      <c r="J1" s="497"/>
    </row>
    <row r="2" spans="1:10" ht="54" thickBot="1">
      <c r="A2" s="498"/>
      <c r="B2" s="494"/>
      <c r="C2" s="89" t="s">
        <v>81</v>
      </c>
      <c r="D2" s="90" t="s">
        <v>93</v>
      </c>
      <c r="E2" s="90" t="s">
        <v>83</v>
      </c>
      <c r="F2" s="91" t="s">
        <v>84</v>
      </c>
      <c r="G2" s="89" t="s">
        <v>9</v>
      </c>
      <c r="H2" s="90" t="s">
        <v>107</v>
      </c>
      <c r="I2" s="90" t="s">
        <v>86</v>
      </c>
      <c r="J2" s="92" t="s">
        <v>87</v>
      </c>
    </row>
    <row r="3" spans="1:10" ht="12.75">
      <c r="A3" s="185" t="s">
        <v>40</v>
      </c>
      <c r="B3" s="332">
        <v>0.33708609271523177</v>
      </c>
      <c r="C3" s="267" t="s">
        <v>75</v>
      </c>
      <c r="D3" s="268">
        <v>100</v>
      </c>
      <c r="E3" s="269" t="s">
        <v>45</v>
      </c>
      <c r="F3" s="323">
        <v>0.9</v>
      </c>
      <c r="G3" s="324">
        <f>J3/H3</f>
        <v>282.3992992503243</v>
      </c>
      <c r="H3" s="269">
        <f>D3*$H$21*F3</f>
        <v>788400</v>
      </c>
      <c r="I3" s="325">
        <v>35006223.792814</v>
      </c>
      <c r="J3" s="326">
        <f>I3/$G$21*B3</f>
        <v>222643607.5289557</v>
      </c>
    </row>
    <row r="4" spans="1:10" ht="12.75">
      <c r="A4" s="191" t="s">
        <v>41</v>
      </c>
      <c r="B4" s="333">
        <v>0.6392467789890981</v>
      </c>
      <c r="C4" s="230" t="s">
        <v>76</v>
      </c>
      <c r="D4" s="231">
        <v>40</v>
      </c>
      <c r="E4" s="232" t="s">
        <v>42</v>
      </c>
      <c r="F4" s="259">
        <v>0.8</v>
      </c>
      <c r="G4" s="260">
        <f>J4/H4</f>
        <v>70.0097144664684</v>
      </c>
      <c r="H4" s="232">
        <f>D4*$H$21*F4</f>
        <v>280320</v>
      </c>
      <c r="I4" s="261">
        <v>1627120.48246</v>
      </c>
      <c r="J4" s="262">
        <f>I4/$G$21*B4</f>
        <v>19625123.15924042</v>
      </c>
    </row>
    <row r="5" spans="1:10" ht="12.75">
      <c r="A5" s="191" t="s">
        <v>43</v>
      </c>
      <c r="B5" s="333">
        <v>0.7413793103448276</v>
      </c>
      <c r="C5" s="230" t="s">
        <v>77</v>
      </c>
      <c r="D5" s="231">
        <v>60</v>
      </c>
      <c r="E5" s="232" t="s">
        <v>45</v>
      </c>
      <c r="F5" s="259">
        <v>0.8</v>
      </c>
      <c r="G5" s="260">
        <f>J5/H5</f>
        <v>39.71715940330052</v>
      </c>
      <c r="H5" s="232">
        <f>D5*$H$21*F5</f>
        <v>420480</v>
      </c>
      <c r="I5" s="261">
        <v>1193875.2005919998</v>
      </c>
      <c r="J5" s="262">
        <f>I5/$G$21*B5</f>
        <v>16700271.185899803</v>
      </c>
    </row>
    <row r="6" spans="1:10" ht="12.75">
      <c r="A6" s="191" t="s">
        <v>44</v>
      </c>
      <c r="B6" s="333">
        <v>0.6818369880016549</v>
      </c>
      <c r="C6" s="230" t="s">
        <v>77</v>
      </c>
      <c r="D6" s="231">
        <v>60</v>
      </c>
      <c r="E6" s="232" t="s">
        <v>45</v>
      </c>
      <c r="F6" s="259">
        <v>0.85</v>
      </c>
      <c r="G6" s="260">
        <f>J6/H6</f>
        <v>73.64072898884181</v>
      </c>
      <c r="H6" s="232">
        <f>D6*$H$21*F6</f>
        <v>446760</v>
      </c>
      <c r="I6" s="261">
        <v>2557335.3031380004</v>
      </c>
      <c r="J6" s="262">
        <f>I6/$G$21*B6</f>
        <v>32899732.08305497</v>
      </c>
    </row>
    <row r="7" spans="1:23" ht="13.5" thickBot="1">
      <c r="A7" s="194" t="s">
        <v>46</v>
      </c>
      <c r="B7" s="334">
        <v>0.7</v>
      </c>
      <c r="C7" s="233" t="s">
        <v>78</v>
      </c>
      <c r="D7" s="234">
        <v>65</v>
      </c>
      <c r="E7" s="235" t="s">
        <v>47</v>
      </c>
      <c r="F7" s="263">
        <v>0.85</v>
      </c>
      <c r="G7" s="264">
        <f>J7/H7</f>
        <v>292.6725345436382</v>
      </c>
      <c r="H7" s="235">
        <f>D7*$H$21*F7</f>
        <v>483990</v>
      </c>
      <c r="I7" s="265">
        <v>10724972.485242998</v>
      </c>
      <c r="J7" s="266">
        <f>I7/$G$21*B7</f>
        <v>141650579.99377546</v>
      </c>
      <c r="M7"/>
      <c r="N7"/>
      <c r="O7"/>
      <c r="P7"/>
      <c r="Q7"/>
      <c r="R7"/>
      <c r="S7"/>
      <c r="T7"/>
      <c r="U7"/>
      <c r="V7"/>
      <c r="W7"/>
    </row>
    <row r="8" ht="12.75">
      <c r="W8"/>
    </row>
    <row r="9" spans="13:23" ht="13.5" thickBot="1">
      <c r="M9"/>
      <c r="N9"/>
      <c r="O9"/>
      <c r="P9"/>
      <c r="Q9"/>
      <c r="R9"/>
      <c r="S9"/>
      <c r="T9"/>
      <c r="U9"/>
      <c r="V9"/>
      <c r="W9"/>
    </row>
    <row r="10" spans="1:23" ht="13.5" thickBot="1">
      <c r="A10" s="486" t="s">
        <v>38</v>
      </c>
      <c r="B10" s="499" t="s">
        <v>54</v>
      </c>
      <c r="C10" s="496"/>
      <c r="D10" s="496"/>
      <c r="E10" s="496"/>
      <c r="F10" s="497"/>
      <c r="G10" s="499" t="s">
        <v>55</v>
      </c>
      <c r="H10" s="496"/>
      <c r="I10" s="496"/>
      <c r="J10" s="496"/>
      <c r="K10" s="497"/>
      <c r="M10"/>
      <c r="N10"/>
      <c r="O10"/>
      <c r="P10"/>
      <c r="Q10"/>
      <c r="R10"/>
      <c r="S10"/>
      <c r="T10"/>
      <c r="U10"/>
      <c r="V10"/>
      <c r="W10"/>
    </row>
    <row r="11" spans="1:23" ht="42" thickBot="1">
      <c r="A11" s="494"/>
      <c r="B11" s="96" t="s">
        <v>96</v>
      </c>
      <c r="C11" s="131" t="s">
        <v>109</v>
      </c>
      <c r="D11" s="114" t="s">
        <v>48</v>
      </c>
      <c r="E11" s="114" t="s">
        <v>100</v>
      </c>
      <c r="F11" s="115" t="s">
        <v>101</v>
      </c>
      <c r="G11" s="113" t="s">
        <v>96</v>
      </c>
      <c r="H11" s="131" t="s">
        <v>109</v>
      </c>
      <c r="I11" s="114" t="s">
        <v>48</v>
      </c>
      <c r="J11" s="114" t="s">
        <v>100</v>
      </c>
      <c r="K11" s="115" t="s">
        <v>101</v>
      </c>
      <c r="W11" s="52"/>
    </row>
    <row r="12" spans="1:23" ht="12.75">
      <c r="A12" s="250" t="s">
        <v>40</v>
      </c>
      <c r="B12" s="327">
        <v>0.15</v>
      </c>
      <c r="C12" s="253">
        <v>0.02</v>
      </c>
      <c r="D12" s="187">
        <f>G3*$B$12</f>
        <v>42.35989488754864</v>
      </c>
      <c r="E12" s="188">
        <f>C12*H3*D12</f>
        <v>667930.822586867</v>
      </c>
      <c r="F12" s="189">
        <f>E12*$G$21</f>
        <v>35400.33359710395</v>
      </c>
      <c r="G12" s="190">
        <f>B12*1.2</f>
        <v>0.18</v>
      </c>
      <c r="H12" s="186">
        <f>C12/2</f>
        <v>0.01</v>
      </c>
      <c r="I12" s="187">
        <f>G3*$G$12</f>
        <v>50.83187386505837</v>
      </c>
      <c r="J12" s="188">
        <f>H12*H3*I12</f>
        <v>400758.49355212017</v>
      </c>
      <c r="K12" s="189">
        <f>J12*$G$21</f>
        <v>21240.200158262367</v>
      </c>
      <c r="W12"/>
    </row>
    <row r="13" spans="1:23" ht="12.75">
      <c r="A13" s="146" t="s">
        <v>41</v>
      </c>
      <c r="B13" s="328">
        <v>0.15</v>
      </c>
      <c r="C13" s="254">
        <v>0.035</v>
      </c>
      <c r="D13" s="175">
        <f>G4*$B$12</f>
        <v>10.501457169970259</v>
      </c>
      <c r="E13" s="138">
        <f>C13*H4*D13</f>
        <v>103031.89658601221</v>
      </c>
      <c r="F13" s="139">
        <f>E13*$G$21</f>
        <v>5460.690519058647</v>
      </c>
      <c r="G13" s="193">
        <f>B13*1.2</f>
        <v>0.18</v>
      </c>
      <c r="H13" s="192">
        <f>C13/2</f>
        <v>0.0175</v>
      </c>
      <c r="I13" s="175">
        <f>G4*$G$12</f>
        <v>12.60174860396431</v>
      </c>
      <c r="J13" s="138">
        <f>H13*H4*I13</f>
        <v>61819.13795160733</v>
      </c>
      <c r="K13" s="139">
        <f>J13*$G$21</f>
        <v>3276.414311435188</v>
      </c>
      <c r="M13"/>
      <c r="N13"/>
      <c r="O13"/>
      <c r="P13"/>
      <c r="Q13"/>
      <c r="R13"/>
      <c r="S13"/>
      <c r="T13"/>
      <c r="U13"/>
      <c r="V13"/>
      <c r="W13"/>
    </row>
    <row r="14" spans="1:23" ht="12.75">
      <c r="A14" s="146" t="s">
        <v>43</v>
      </c>
      <c r="B14" s="328">
        <v>0.15</v>
      </c>
      <c r="C14" s="254">
        <v>0.035</v>
      </c>
      <c r="D14" s="175">
        <f>G5*$B$12</f>
        <v>5.957573910495078</v>
      </c>
      <c r="E14" s="138">
        <f>C14*H5*D14</f>
        <v>87676.42372597396</v>
      </c>
      <c r="F14" s="139">
        <f>E14*$G$21</f>
        <v>4646.850457476619</v>
      </c>
      <c r="G14" s="193">
        <f>B14*1.2</f>
        <v>0.18</v>
      </c>
      <c r="H14" s="192">
        <f>C14/2</f>
        <v>0.0175</v>
      </c>
      <c r="I14" s="175">
        <f>G5*$G$12</f>
        <v>7.149088692594093</v>
      </c>
      <c r="J14" s="138">
        <f>H14*H5*I14</f>
        <v>52605.85423558438</v>
      </c>
      <c r="K14" s="139">
        <f>J14*$G$21</f>
        <v>2788.1102744859722</v>
      </c>
      <c r="M14"/>
      <c r="N14"/>
      <c r="O14"/>
      <c r="P14"/>
      <c r="Q14"/>
      <c r="R14"/>
      <c r="S14"/>
      <c r="T14"/>
      <c r="U14"/>
      <c r="V14"/>
      <c r="W14"/>
    </row>
    <row r="15" spans="1:23" ht="12.75">
      <c r="A15" s="146" t="s">
        <v>44</v>
      </c>
      <c r="B15" s="328">
        <v>0.15</v>
      </c>
      <c r="C15" s="254">
        <v>0.02</v>
      </c>
      <c r="D15" s="175">
        <f>G6*$B$12</f>
        <v>11.046109348326272</v>
      </c>
      <c r="E15" s="138">
        <f>C15*H6*D15</f>
        <v>98699.19624916492</v>
      </c>
      <c r="F15" s="139">
        <f>E15*$G$21</f>
        <v>5231.0574012057405</v>
      </c>
      <c r="G15" s="193">
        <f>B15*1.2</f>
        <v>0.18</v>
      </c>
      <c r="H15" s="192">
        <f>C15/2</f>
        <v>0.01</v>
      </c>
      <c r="I15" s="175">
        <f>G6*$G$12</f>
        <v>13.255331217991527</v>
      </c>
      <c r="J15" s="138">
        <f>H15*H6*I15</f>
        <v>59219.51774949895</v>
      </c>
      <c r="K15" s="139">
        <f>J15*$G$21</f>
        <v>3138.634440723444</v>
      </c>
      <c r="M15"/>
      <c r="N15"/>
      <c r="O15"/>
      <c r="P15"/>
      <c r="Q15"/>
      <c r="R15"/>
      <c r="S15"/>
      <c r="T15"/>
      <c r="U15"/>
      <c r="V15"/>
      <c r="W15"/>
    </row>
    <row r="16" spans="1:23" ht="13.5" thickBot="1">
      <c r="A16" s="251" t="s">
        <v>46</v>
      </c>
      <c r="B16" s="329">
        <v>0.15</v>
      </c>
      <c r="C16" s="255">
        <v>0.035</v>
      </c>
      <c r="D16" s="181">
        <f>G7*$B$12</f>
        <v>43.90088018154573</v>
      </c>
      <c r="E16" s="140">
        <f>C16*H7*D16</f>
        <v>743665.5449673212</v>
      </c>
      <c r="F16" s="141">
        <f>E16*$G$21</f>
        <v>39414.273883268026</v>
      </c>
      <c r="G16" s="196">
        <f>B16*1.2</f>
        <v>0.18</v>
      </c>
      <c r="H16" s="195">
        <f>C16/2</f>
        <v>0.0175</v>
      </c>
      <c r="I16" s="181">
        <f>G7*$G$12</f>
        <v>52.68105621785488</v>
      </c>
      <c r="J16" s="140">
        <f>H16*H7*I16</f>
        <v>446199.32698039274</v>
      </c>
      <c r="K16" s="141">
        <f>J16*$G$21</f>
        <v>23648.564329960813</v>
      </c>
      <c r="M16"/>
      <c r="N16"/>
      <c r="O16"/>
      <c r="P16"/>
      <c r="Q16"/>
      <c r="R16"/>
      <c r="S16"/>
      <c r="T16"/>
      <c r="U16"/>
      <c r="V16"/>
      <c r="W16"/>
    </row>
    <row r="17" spans="1:23" ht="13.5" thickBot="1">
      <c r="A17" s="197" t="s">
        <v>50</v>
      </c>
      <c r="B17" s="252"/>
      <c r="C17" s="236"/>
      <c r="D17" s="237"/>
      <c r="E17" s="155">
        <f>SUM(E12:E16)</f>
        <v>1701003.8841153393</v>
      </c>
      <c r="F17" s="156">
        <f>SUM(F12:F16)</f>
        <v>90153.20585811298</v>
      </c>
      <c r="G17" s="133"/>
      <c r="H17" s="142"/>
      <c r="I17" s="142"/>
      <c r="J17" s="155">
        <f>SUM(J12:J16)</f>
        <v>1020602.3304692036</v>
      </c>
      <c r="K17" s="156">
        <f>SUM(K12:K16)</f>
        <v>54091.92351486778</v>
      </c>
      <c r="M17"/>
      <c r="N17"/>
      <c r="O17"/>
      <c r="P17"/>
      <c r="Q17"/>
      <c r="R17"/>
      <c r="S17"/>
      <c r="T17"/>
      <c r="U17"/>
      <c r="V17"/>
      <c r="W17" s="49"/>
    </row>
    <row r="18" spans="13:23" ht="12.75">
      <c r="M18"/>
      <c r="N18"/>
      <c r="O18"/>
      <c r="P18"/>
      <c r="Q18"/>
      <c r="R18"/>
      <c r="S18"/>
      <c r="T18"/>
      <c r="U18"/>
      <c r="V18"/>
      <c r="W18"/>
    </row>
    <row r="19" spans="1:3" ht="13.5" thickBot="1">
      <c r="A19" s="132"/>
      <c r="B19" s="132"/>
      <c r="C19" s="132"/>
    </row>
    <row r="20" spans="1:13" ht="42" thickBot="1">
      <c r="A20" s="349" t="s">
        <v>93</v>
      </c>
      <c r="B20" s="123" t="s">
        <v>36</v>
      </c>
      <c r="C20" s="123" t="s">
        <v>35</v>
      </c>
      <c r="D20" s="123" t="s">
        <v>34</v>
      </c>
      <c r="E20" s="123" t="s">
        <v>51</v>
      </c>
      <c r="F20" s="123" t="s">
        <v>116</v>
      </c>
      <c r="G20" s="90" t="s">
        <v>104</v>
      </c>
      <c r="H20" s="91" t="s">
        <v>32</v>
      </c>
      <c r="L20" s="157"/>
      <c r="M20" s="157"/>
    </row>
    <row r="21" spans="1:8" ht="13.5" thickBot="1">
      <c r="A21" s="335">
        <v>50</v>
      </c>
      <c r="B21" s="330">
        <v>250000</v>
      </c>
      <c r="C21" s="331">
        <v>0.3</v>
      </c>
      <c r="D21" s="159">
        <v>20</v>
      </c>
      <c r="E21" s="160">
        <f>C21/(1-1/(1+C21)^D21)</f>
        <v>0.30158688481804236</v>
      </c>
      <c r="F21" s="321">
        <v>7.6851</v>
      </c>
      <c r="G21" s="160">
        <f>5.3*10^(-2)</f>
        <v>0.053</v>
      </c>
      <c r="H21" s="161">
        <v>8760</v>
      </c>
    </row>
    <row r="22" spans="1:6" ht="12.75">
      <c r="A22" s="199"/>
      <c r="B22" s="163"/>
      <c r="C22" s="199"/>
      <c r="D22" s="163"/>
      <c r="F22" s="199"/>
    </row>
    <row r="23" spans="1:6" ht="13.5" thickBot="1">
      <c r="A23" s="199"/>
      <c r="B23" s="163"/>
      <c r="C23" s="199"/>
      <c r="D23" s="163"/>
      <c r="F23" s="199"/>
    </row>
    <row r="24" spans="1:9" ht="13.5" thickBot="1">
      <c r="A24" s="486" t="s">
        <v>38</v>
      </c>
      <c r="B24" s="495" t="s">
        <v>54</v>
      </c>
      <c r="C24" s="496"/>
      <c r="D24" s="496"/>
      <c r="E24" s="497"/>
      <c r="F24" s="495" t="s">
        <v>55</v>
      </c>
      <c r="G24" s="496"/>
      <c r="H24" s="496"/>
      <c r="I24" s="497"/>
    </row>
    <row r="25" spans="1:9" ht="40.5" customHeight="1" thickBot="1">
      <c r="A25" s="494"/>
      <c r="B25" s="113" t="s">
        <v>2</v>
      </c>
      <c r="C25" s="114" t="s">
        <v>10</v>
      </c>
      <c r="D25" s="114" t="s">
        <v>11</v>
      </c>
      <c r="E25" s="115" t="s">
        <v>105</v>
      </c>
      <c r="F25" s="113" t="s">
        <v>2</v>
      </c>
      <c r="G25" s="114" t="s">
        <v>10</v>
      </c>
      <c r="H25" s="114" t="s">
        <v>11</v>
      </c>
      <c r="I25" s="115" t="s">
        <v>105</v>
      </c>
    </row>
    <row r="26" spans="1:9" ht="12.75">
      <c r="A26" s="185" t="s">
        <v>40</v>
      </c>
      <c r="B26" s="238">
        <f>$B$21/$A$21*D3</f>
        <v>500000</v>
      </c>
      <c r="C26" s="239">
        <f>B26*$E$21*D12</f>
        <v>6387594.370177756</v>
      </c>
      <c r="D26" s="239">
        <f>E12*$F$21</f>
        <v>5133115.164662332</v>
      </c>
      <c r="E26" s="240">
        <f>(C26-D26)/F12</f>
        <v>35.436931747390396</v>
      </c>
      <c r="F26" s="238">
        <f>$B$21/$A$21*D3</f>
        <v>500000</v>
      </c>
      <c r="G26" s="239">
        <f>F26*$E$21*D12</f>
        <v>6387594.370177756</v>
      </c>
      <c r="H26" s="239">
        <f>J12*$F$21</f>
        <v>3079869.0987973986</v>
      </c>
      <c r="I26" s="240">
        <f>(G26-H26)/K12</f>
        <v>155.7294774406193</v>
      </c>
    </row>
    <row r="27" spans="1:9" ht="12.75">
      <c r="A27" s="191" t="s">
        <v>41</v>
      </c>
      <c r="B27" s="241">
        <f>$B$21/$A$21*D4</f>
        <v>200000</v>
      </c>
      <c r="C27" s="242">
        <f>B27*$E$21*D13</f>
        <v>633420.350788285</v>
      </c>
      <c r="D27" s="242">
        <f>E13*$F$21</f>
        <v>791810.4284531624</v>
      </c>
      <c r="E27" s="243">
        <f>(C27-D27)/F13</f>
        <v>-29.005503445410753</v>
      </c>
      <c r="F27" s="241">
        <f>$B$21/$A$21*D4</f>
        <v>200000</v>
      </c>
      <c r="G27" s="242">
        <f>F27*$E$21*D13</f>
        <v>633420.350788285</v>
      </c>
      <c r="H27" s="242">
        <f>J13*$F$21</f>
        <v>475086.2570718975</v>
      </c>
      <c r="I27" s="243">
        <f>(G27-H27)/K13</f>
        <v>48.325418785950625</v>
      </c>
    </row>
    <row r="28" spans="1:9" ht="12.75">
      <c r="A28" s="191" t="s">
        <v>43</v>
      </c>
      <c r="B28" s="241">
        <f>$B$21/$A$21*D5</f>
        <v>300000</v>
      </c>
      <c r="C28" s="242">
        <f>B28*$E$21*D14</f>
        <v>539017.847021836</v>
      </c>
      <c r="D28" s="242">
        <f>E14*$F$21</f>
        <v>673802.0839764825</v>
      </c>
      <c r="E28" s="243">
        <f>(C28-D28)/F14</f>
        <v>-29.005503445410735</v>
      </c>
      <c r="F28" s="241">
        <f>$B$21/$A$21*D5</f>
        <v>300000</v>
      </c>
      <c r="G28" s="242">
        <f>F28*$E$21*D14</f>
        <v>539017.847021836</v>
      </c>
      <c r="H28" s="242">
        <f>J14*$F$21</f>
        <v>404281.25038588955</v>
      </c>
      <c r="I28" s="243">
        <f>(G28-H28)/K14</f>
        <v>48.325418785950646</v>
      </c>
    </row>
    <row r="29" spans="1:9" ht="12.75">
      <c r="A29" s="191" t="s">
        <v>44</v>
      </c>
      <c r="B29" s="241">
        <f>$B$21/$A$21*D6</f>
        <v>300000</v>
      </c>
      <c r="C29" s="242">
        <f>B29*$E$21*D15</f>
        <v>999408.5123163529</v>
      </c>
      <c r="D29" s="242">
        <f>E15*$F$21</f>
        <v>758513.1930944574</v>
      </c>
      <c r="E29" s="243">
        <f>(C29-D29)/F15</f>
        <v>46.05097989679295</v>
      </c>
      <c r="F29" s="241">
        <f>$B$21/$A$21*D6</f>
        <v>300000</v>
      </c>
      <c r="G29" s="242">
        <f>F29*$E$21*D15</f>
        <v>999408.5123163529</v>
      </c>
      <c r="H29" s="242">
        <f>J15*$F$21</f>
        <v>455107.9158566744</v>
      </c>
      <c r="I29" s="243">
        <f>(G29-H29)/K15</f>
        <v>173.41955768962353</v>
      </c>
    </row>
    <row r="30" spans="1:9" ht="13.5" thickBot="1">
      <c r="A30" s="200" t="s">
        <v>46</v>
      </c>
      <c r="B30" s="244">
        <f>$B$21/$A$21*D7</f>
        <v>325000</v>
      </c>
      <c r="C30" s="245">
        <f>B30*$E$21*D16</f>
        <v>4302977.150784816</v>
      </c>
      <c r="D30" s="245">
        <f>E16*$F$21</f>
        <v>5715144.07962836</v>
      </c>
      <c r="E30" s="246">
        <f>(C30-D30)/F16</f>
        <v>-35.82882011288382</v>
      </c>
      <c r="F30" s="244">
        <f>$B$21/$A$21*D7</f>
        <v>325000</v>
      </c>
      <c r="G30" s="245">
        <f>F30*$E$21*D16</f>
        <v>4302977.150784816</v>
      </c>
      <c r="H30" s="245">
        <f>J16*$F$21</f>
        <v>3429086.4477770166</v>
      </c>
      <c r="I30" s="246">
        <f>(G30-H30)/K16</f>
        <v>36.95322434016219</v>
      </c>
    </row>
    <row r="31" spans="1:9" ht="13.5" thickBot="1">
      <c r="A31" s="197" t="s">
        <v>50</v>
      </c>
      <c r="B31" s="247"/>
      <c r="C31" s="248">
        <f>SUM(C26:C30)</f>
        <v>12862418.231089044</v>
      </c>
      <c r="D31" s="248">
        <f>SUM(D26:D30)</f>
        <v>13072384.949814795</v>
      </c>
      <c r="E31" s="249"/>
      <c r="F31" s="247"/>
      <c r="G31" s="248">
        <f>SUM(G26:G30)</f>
        <v>12862418.231089044</v>
      </c>
      <c r="H31" s="248">
        <f>SUM(H26:H30)</f>
        <v>7843430.969888877</v>
      </c>
      <c r="I31" s="249"/>
    </row>
    <row r="32" spans="2:5" ht="12.75">
      <c r="B32" s="168"/>
      <c r="C32" s="168"/>
      <c r="D32" s="168"/>
      <c r="E32" s="168"/>
    </row>
    <row r="33" spans="2:5" ht="12.75">
      <c r="B33" s="168"/>
      <c r="C33" s="168"/>
      <c r="D33" s="168"/>
      <c r="E33" s="168"/>
    </row>
    <row r="34" ht="12.75">
      <c r="E34" s="169"/>
    </row>
    <row r="35" ht="12.75">
      <c r="E35" s="169"/>
    </row>
    <row r="40" ht="12.75">
      <c r="A40" s="132"/>
    </row>
    <row r="41" spans="1:4" ht="12.75">
      <c r="A41" s="132"/>
      <c r="B41" s="132"/>
      <c r="C41" s="132"/>
      <c r="D41" s="132"/>
    </row>
    <row r="42" spans="1:4" ht="12.75">
      <c r="A42" s="132"/>
      <c r="B42" s="132"/>
      <c r="C42" s="132"/>
      <c r="D42" s="132"/>
    </row>
    <row r="43" spans="1:4" ht="12.75">
      <c r="A43" s="132"/>
      <c r="B43" s="132"/>
      <c r="C43" s="132"/>
      <c r="D43" s="132"/>
    </row>
    <row r="44" spans="1:4" ht="12.75">
      <c r="A44" s="132"/>
      <c r="B44" s="132"/>
      <c r="C44" s="132"/>
      <c r="D44" s="132"/>
    </row>
    <row r="45" spans="1:4" ht="12.75">
      <c r="A45" s="132"/>
      <c r="B45" s="132"/>
      <c r="C45" s="132"/>
      <c r="D45" s="132"/>
    </row>
    <row r="46" spans="1:4" ht="12.75">
      <c r="A46" s="132"/>
      <c r="B46" s="132"/>
      <c r="C46" s="132"/>
      <c r="D46" s="132"/>
    </row>
    <row r="47" spans="1:4" ht="12.75">
      <c r="A47" s="132"/>
      <c r="B47" s="132"/>
      <c r="C47" s="132"/>
      <c r="D47" s="132"/>
    </row>
    <row r="48" spans="1:4" ht="12.75">
      <c r="A48" s="132"/>
      <c r="B48" s="132"/>
      <c r="C48" s="132"/>
      <c r="D48" s="132"/>
    </row>
    <row r="49" spans="1:4" ht="12.75">
      <c r="A49" s="132"/>
      <c r="B49" s="132"/>
      <c r="C49" s="132"/>
      <c r="D49" s="132"/>
    </row>
    <row r="50" spans="1:4" ht="12.75">
      <c r="A50" s="132"/>
      <c r="B50" s="132"/>
      <c r="C50" s="132"/>
      <c r="D50" s="132"/>
    </row>
    <row r="51" spans="1:4" ht="12.75">
      <c r="A51" s="132"/>
      <c r="B51" s="132"/>
      <c r="C51" s="132"/>
      <c r="D51" s="132"/>
    </row>
    <row r="52" spans="1:4" ht="12.75">
      <c r="A52" s="132"/>
      <c r="B52" s="132"/>
      <c r="C52" s="132"/>
      <c r="D52" s="132"/>
    </row>
    <row r="53" spans="1:4" ht="12.75">
      <c r="A53" s="132"/>
      <c r="B53" s="132"/>
      <c r="C53" s="132"/>
      <c r="D53" s="132"/>
    </row>
    <row r="54" spans="1:4" ht="12.75">
      <c r="A54" s="132"/>
      <c r="B54" s="132"/>
      <c r="C54" s="132"/>
      <c r="D54" s="132"/>
    </row>
    <row r="55" spans="1:4" ht="12.75">
      <c r="A55" s="132"/>
      <c r="B55" s="132"/>
      <c r="C55" s="132"/>
      <c r="D55" s="132"/>
    </row>
    <row r="56" spans="1:4" ht="12.75">
      <c r="A56" s="132"/>
      <c r="B56" s="132"/>
      <c r="C56" s="132"/>
      <c r="D56" s="132"/>
    </row>
    <row r="57" spans="1:4" ht="12.75">
      <c r="A57" s="132"/>
      <c r="B57" s="132"/>
      <c r="C57" s="132"/>
      <c r="D57" s="132"/>
    </row>
    <row r="58" spans="1:4" ht="12.75">
      <c r="A58" s="132"/>
      <c r="B58" s="132"/>
      <c r="C58" s="132"/>
      <c r="D58" s="132"/>
    </row>
    <row r="59" ht="12.75">
      <c r="A59" s="132"/>
    </row>
    <row r="60" ht="12.75">
      <c r="A60" s="132"/>
    </row>
  </sheetData>
  <sheetProtection/>
  <mergeCells count="10">
    <mergeCell ref="A24:A25"/>
    <mergeCell ref="B24:E24"/>
    <mergeCell ref="F24:I24"/>
    <mergeCell ref="G1:J1"/>
    <mergeCell ref="A1:A2"/>
    <mergeCell ref="B1:B2"/>
    <mergeCell ref="C1:F1"/>
    <mergeCell ref="A10:A11"/>
    <mergeCell ref="B10:F10"/>
    <mergeCell ref="G10:K10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6.421875" style="0" customWidth="1"/>
    <col min="2" max="2" width="12.28125" style="0" customWidth="1"/>
    <col min="3" max="3" width="15.140625" style="0" customWidth="1"/>
    <col min="4" max="4" width="15.8515625" style="0" customWidth="1"/>
    <col min="5" max="5" width="19.28125" style="0" customWidth="1"/>
    <col min="6" max="6" width="14.421875" style="0" customWidth="1"/>
    <col min="7" max="7" width="11.7109375" style="0" customWidth="1"/>
    <col min="8" max="8" width="17.28125" style="0" customWidth="1"/>
    <col min="9" max="9" width="14.421875" style="0" customWidth="1"/>
    <col min="10" max="10" width="17.421875" style="0" customWidth="1"/>
    <col min="11" max="11" width="16.28125" style="0" customWidth="1"/>
    <col min="12" max="13" width="11.7109375" style="0" customWidth="1"/>
  </cols>
  <sheetData>
    <row r="1" spans="1:10" ht="13.5" thickBot="1">
      <c r="A1" s="486" t="s">
        <v>38</v>
      </c>
      <c r="B1" s="486" t="s">
        <v>117</v>
      </c>
      <c r="C1" s="483" t="s">
        <v>79</v>
      </c>
      <c r="D1" s="484"/>
      <c r="E1" s="484"/>
      <c r="F1" s="485"/>
      <c r="G1" s="483" t="s">
        <v>80</v>
      </c>
      <c r="H1" s="484"/>
      <c r="I1" s="484"/>
      <c r="J1" s="485"/>
    </row>
    <row r="2" spans="1:10" ht="54" thickBot="1">
      <c r="A2" s="498"/>
      <c r="B2" s="494"/>
      <c r="C2" s="89" t="s">
        <v>81</v>
      </c>
      <c r="D2" s="90" t="s">
        <v>93</v>
      </c>
      <c r="E2" s="90" t="s">
        <v>83</v>
      </c>
      <c r="F2" s="91" t="s">
        <v>84</v>
      </c>
      <c r="G2" s="89" t="s">
        <v>9</v>
      </c>
      <c r="H2" s="90" t="s">
        <v>107</v>
      </c>
      <c r="I2" s="90" t="s">
        <v>86</v>
      </c>
      <c r="J2" s="92" t="s">
        <v>87</v>
      </c>
    </row>
    <row r="3" spans="1:10" ht="12.75">
      <c r="A3" s="34" t="s">
        <v>40</v>
      </c>
      <c r="B3" s="336">
        <v>0.33708609271523177</v>
      </c>
      <c r="C3" s="108" t="s">
        <v>75</v>
      </c>
      <c r="D3" s="82">
        <v>100</v>
      </c>
      <c r="E3" s="83" t="s">
        <v>45</v>
      </c>
      <c r="F3" s="344">
        <v>0.9</v>
      </c>
      <c r="G3" s="345">
        <f>J3/H3</f>
        <v>282.3992992503243</v>
      </c>
      <c r="H3" s="346">
        <f>D3*$F$21*F3</f>
        <v>788400</v>
      </c>
      <c r="I3" s="347">
        <v>35006223.792814</v>
      </c>
      <c r="J3" s="348">
        <f>I3/$E$21*B3</f>
        <v>222643607.5289557</v>
      </c>
    </row>
    <row r="4" spans="1:10" ht="12.75">
      <c r="A4" s="36" t="s">
        <v>41</v>
      </c>
      <c r="B4" s="337">
        <v>0.6392467789890981</v>
      </c>
      <c r="C4" s="38" t="s">
        <v>76</v>
      </c>
      <c r="D4" s="76">
        <v>40</v>
      </c>
      <c r="E4" s="77" t="s">
        <v>42</v>
      </c>
      <c r="F4" s="277">
        <v>0.8</v>
      </c>
      <c r="G4" s="278">
        <f>J4/H4</f>
        <v>70.0097144664684</v>
      </c>
      <c r="H4" s="339">
        <f>D4*$F$21*F4</f>
        <v>280320</v>
      </c>
      <c r="I4" s="279">
        <v>1627120.48246</v>
      </c>
      <c r="J4" s="280">
        <f>I4/$E$21*B4</f>
        <v>19625123.15924042</v>
      </c>
    </row>
    <row r="5" spans="1:10" ht="12.75">
      <c r="A5" s="36" t="s">
        <v>43</v>
      </c>
      <c r="B5" s="337">
        <v>0.7413793103448276</v>
      </c>
      <c r="C5" s="38" t="s">
        <v>77</v>
      </c>
      <c r="D5" s="76">
        <v>60</v>
      </c>
      <c r="E5" s="77" t="s">
        <v>45</v>
      </c>
      <c r="F5" s="277">
        <v>0.8</v>
      </c>
      <c r="G5" s="278">
        <f>J5/H5</f>
        <v>39.71715940330052</v>
      </c>
      <c r="H5" s="339">
        <f>D5*$F$21*F5</f>
        <v>420480</v>
      </c>
      <c r="I5" s="279">
        <v>1193875.2005919998</v>
      </c>
      <c r="J5" s="280">
        <f>I5/$E$21*B5</f>
        <v>16700271.185899803</v>
      </c>
    </row>
    <row r="6" spans="1:10" ht="12.75">
      <c r="A6" s="36" t="s">
        <v>44</v>
      </c>
      <c r="B6" s="337">
        <v>0.6818369880016549</v>
      </c>
      <c r="C6" s="38" t="s">
        <v>77</v>
      </c>
      <c r="D6" s="76">
        <v>60</v>
      </c>
      <c r="E6" s="77" t="s">
        <v>45</v>
      </c>
      <c r="F6" s="277">
        <v>0.85</v>
      </c>
      <c r="G6" s="278">
        <f>J6/H6</f>
        <v>73.64072898884181</v>
      </c>
      <c r="H6" s="339">
        <f>D6*$F$21*F6</f>
        <v>446760</v>
      </c>
      <c r="I6" s="279">
        <v>2557335.3031380004</v>
      </c>
      <c r="J6" s="280">
        <f>I6/$E$21*B6</f>
        <v>32899732.08305497</v>
      </c>
    </row>
    <row r="7" spans="1:10" ht="13.5" thickBot="1">
      <c r="A7" s="44" t="s">
        <v>46</v>
      </c>
      <c r="B7" s="338">
        <v>0.7</v>
      </c>
      <c r="C7" s="111" t="s">
        <v>78</v>
      </c>
      <c r="D7" s="79">
        <v>65</v>
      </c>
      <c r="E7" s="80" t="s">
        <v>47</v>
      </c>
      <c r="F7" s="281">
        <v>0.85</v>
      </c>
      <c r="G7" s="282">
        <f>J7/H7</f>
        <v>292.6725345436382</v>
      </c>
      <c r="H7" s="340">
        <f>D7*$F$21*F7</f>
        <v>483990</v>
      </c>
      <c r="I7" s="283">
        <v>10724972.485242998</v>
      </c>
      <c r="J7" s="284">
        <f>I7/$E$21*B7</f>
        <v>141650579.99377546</v>
      </c>
    </row>
    <row r="9" spans="13:22" ht="13.5" thickBot="1"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11" ht="13.5" customHeight="1" thickBot="1">
      <c r="A10" s="486" t="s">
        <v>38</v>
      </c>
      <c r="B10" s="499" t="s">
        <v>56</v>
      </c>
      <c r="C10" s="496"/>
      <c r="D10" s="496"/>
      <c r="E10" s="496"/>
      <c r="F10" s="497"/>
      <c r="G10" s="499" t="s">
        <v>57</v>
      </c>
      <c r="H10" s="496"/>
      <c r="I10" s="496"/>
      <c r="J10" s="496"/>
      <c r="K10" s="497"/>
    </row>
    <row r="11" spans="1:11" ht="41.25" thickBot="1">
      <c r="A11" s="494"/>
      <c r="B11" s="96" t="s">
        <v>96</v>
      </c>
      <c r="C11" s="131" t="s">
        <v>109</v>
      </c>
      <c r="D11" s="114" t="s">
        <v>48</v>
      </c>
      <c r="E11" s="114" t="s">
        <v>100</v>
      </c>
      <c r="F11" s="115" t="s">
        <v>101</v>
      </c>
      <c r="G11" s="113" t="s">
        <v>96</v>
      </c>
      <c r="H11" s="131" t="s">
        <v>109</v>
      </c>
      <c r="I11" s="114" t="s">
        <v>48</v>
      </c>
      <c r="J11" s="114" t="s">
        <v>100</v>
      </c>
      <c r="K11" s="115" t="s">
        <v>101</v>
      </c>
    </row>
    <row r="12" spans="1:23" ht="12.75">
      <c r="A12" s="285" t="s">
        <v>40</v>
      </c>
      <c r="B12" s="341">
        <v>0.05</v>
      </c>
      <c r="C12" s="286">
        <v>0.015</v>
      </c>
      <c r="D12" s="117">
        <f>G3*B12</f>
        <v>14.119964962516216</v>
      </c>
      <c r="E12" s="118">
        <f>C12*H3*D12</f>
        <v>166982.70564671676</v>
      </c>
      <c r="F12" s="119">
        <f>E12*$E$21</f>
        <v>8850.083399275987</v>
      </c>
      <c r="G12" s="128">
        <f>B12*1.2</f>
        <v>0.06</v>
      </c>
      <c r="H12" s="116">
        <f>C12/2</f>
        <v>0.0075</v>
      </c>
      <c r="I12" s="117">
        <f>G3*G12</f>
        <v>16.943957955019457</v>
      </c>
      <c r="J12" s="118">
        <f>H12*H3*I12</f>
        <v>100189.62338803004</v>
      </c>
      <c r="K12" s="119">
        <f>J12*$E$21</f>
        <v>5310.050039565592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52"/>
    </row>
    <row r="13" spans="1:22" ht="12.75">
      <c r="A13" s="35" t="s">
        <v>41</v>
      </c>
      <c r="B13" s="342">
        <v>0.05</v>
      </c>
      <c r="C13" s="287">
        <v>0.018</v>
      </c>
      <c r="D13" s="1">
        <f>G4*B13</f>
        <v>3.50048572332342</v>
      </c>
      <c r="E13" s="6">
        <f>C13*H4*D13</f>
        <v>17662.61084331638</v>
      </c>
      <c r="F13" s="30">
        <f>E13*$E$21</f>
        <v>936.118374695768</v>
      </c>
      <c r="G13" s="129">
        <f>B13*1.2</f>
        <v>0.06</v>
      </c>
      <c r="H13" s="15">
        <f>C13/2</f>
        <v>0.009</v>
      </c>
      <c r="I13" s="1">
        <f>G4*G13</f>
        <v>4.200582867988103</v>
      </c>
      <c r="J13" s="6">
        <f>H13*H4*I13</f>
        <v>10597.566505989826</v>
      </c>
      <c r="K13" s="30">
        <f>J13*$E$21</f>
        <v>561.6710248174608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11" ht="12.75">
      <c r="A14" s="35" t="s">
        <v>43</v>
      </c>
      <c r="B14" s="342">
        <v>0.05</v>
      </c>
      <c r="C14" s="287">
        <v>0.018</v>
      </c>
      <c r="D14" s="1">
        <f>G5*B14</f>
        <v>1.985857970165026</v>
      </c>
      <c r="E14" s="6">
        <f>C14*H5*D14</f>
        <v>15030.244067309823</v>
      </c>
      <c r="F14" s="30">
        <f>E14*$E$21</f>
        <v>796.6029355674206</v>
      </c>
      <c r="G14" s="129">
        <f>B14*1.2</f>
        <v>0.06</v>
      </c>
      <c r="H14" s="15">
        <f>C14/2</f>
        <v>0.009</v>
      </c>
      <c r="I14" s="1">
        <f>G5*G14</f>
        <v>2.383029564198031</v>
      </c>
      <c r="J14" s="6">
        <f>H14*H5*I14</f>
        <v>9018.146440385892</v>
      </c>
      <c r="K14" s="30">
        <f>J14*$E$21</f>
        <v>477.96176134045226</v>
      </c>
    </row>
    <row r="15" spans="1:11" ht="12.75">
      <c r="A15" s="35" t="s">
        <v>44</v>
      </c>
      <c r="B15" s="342">
        <v>0.05</v>
      </c>
      <c r="C15" s="287">
        <v>0.019</v>
      </c>
      <c r="D15" s="1">
        <f>G6*B15</f>
        <v>3.6820364494420907</v>
      </c>
      <c r="E15" s="6">
        <f>C15*H6*D15</f>
        <v>31254.745478902223</v>
      </c>
      <c r="F15" s="30">
        <f>E15*$E$21</f>
        <v>1656.5015103818178</v>
      </c>
      <c r="G15" s="129">
        <f>B15*1.2</f>
        <v>0.06</v>
      </c>
      <c r="H15" s="15">
        <f>C15/2</f>
        <v>0.0095</v>
      </c>
      <c r="I15" s="1">
        <f>G6*G15</f>
        <v>4.418443739330509</v>
      </c>
      <c r="J15" s="6">
        <f>H15*H6*I15</f>
        <v>18752.847287341334</v>
      </c>
      <c r="K15" s="30">
        <f>J15*$E$21</f>
        <v>993.9009062290907</v>
      </c>
    </row>
    <row r="16" spans="1:11" ht="13.5" thickBot="1">
      <c r="A16" s="43" t="s">
        <v>46</v>
      </c>
      <c r="B16" s="343">
        <v>0.05</v>
      </c>
      <c r="C16" s="288">
        <v>0.018</v>
      </c>
      <c r="D16" s="21">
        <f>G7*B16</f>
        <v>14.633626727181912</v>
      </c>
      <c r="E16" s="27">
        <f>C16*H7*D16</f>
        <v>127485.52199439792</v>
      </c>
      <c r="F16" s="31">
        <f>E16*$E$21</f>
        <v>6756.73266570309</v>
      </c>
      <c r="G16" s="130">
        <f>B16*1.2</f>
        <v>0.06</v>
      </c>
      <c r="H16" s="54">
        <f>C16/2</f>
        <v>0.009</v>
      </c>
      <c r="I16" s="21">
        <f>G7*G16</f>
        <v>17.560352072618294</v>
      </c>
      <c r="J16" s="27">
        <f>H16*H7*I16</f>
        <v>76491.31319663874</v>
      </c>
      <c r="K16" s="31">
        <f>J16*$E$21</f>
        <v>4054.0395994218534</v>
      </c>
    </row>
    <row r="17" spans="1:11" ht="13.5" thickBot="1">
      <c r="A17" s="112" t="s">
        <v>50</v>
      </c>
      <c r="B17" s="289"/>
      <c r="C17" s="290"/>
      <c r="D17" s="291"/>
      <c r="E17" s="120">
        <f>SUM(E12:E16)</f>
        <v>358415.8280306431</v>
      </c>
      <c r="F17" s="121">
        <f>SUM(F12:F16)</f>
        <v>18996.038885624082</v>
      </c>
      <c r="G17" s="292"/>
      <c r="H17" s="293"/>
      <c r="I17" s="293"/>
      <c r="J17" s="120">
        <f>SUM(J12:J16)</f>
        <v>215049.49681838584</v>
      </c>
      <c r="K17" s="121">
        <f>SUM(K12:K16)</f>
        <v>11397.623331374449</v>
      </c>
    </row>
    <row r="18" ht="12.75">
      <c r="W18" s="49"/>
    </row>
    <row r="19" ht="13.5" thickBot="1"/>
    <row r="20" spans="1:10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104</v>
      </c>
      <c r="F20" s="91" t="s">
        <v>32</v>
      </c>
      <c r="I20" s="4"/>
      <c r="J20" s="4"/>
    </row>
    <row r="21" spans="1:6" ht="13.5" thickBot="1">
      <c r="A21" s="124">
        <v>0.3</v>
      </c>
      <c r="B21" s="125">
        <v>20</v>
      </c>
      <c r="C21" s="126">
        <f>A21/(1-1/(1+A21)^B21)</f>
        <v>0.30158688481804236</v>
      </c>
      <c r="D21" s="274">
        <v>7.6851</v>
      </c>
      <c r="E21" s="126">
        <f>5.3*10^(-2)</f>
        <v>0.053</v>
      </c>
      <c r="F21" s="127">
        <v>8760</v>
      </c>
    </row>
    <row r="22" spans="1:4" ht="12.75">
      <c r="A22" s="5"/>
      <c r="B22" s="2"/>
      <c r="D22" s="5"/>
    </row>
    <row r="23" spans="1:4" ht="13.5" thickBot="1">
      <c r="A23" s="5"/>
      <c r="B23" s="2"/>
      <c r="D23" s="5"/>
    </row>
    <row r="24" spans="1:9" ht="13.5" thickBot="1">
      <c r="A24" s="486" t="s">
        <v>38</v>
      </c>
      <c r="B24" s="495" t="s">
        <v>56</v>
      </c>
      <c r="C24" s="496"/>
      <c r="D24" s="496"/>
      <c r="E24" s="497"/>
      <c r="F24" s="495" t="s">
        <v>57</v>
      </c>
      <c r="G24" s="496"/>
      <c r="H24" s="496"/>
      <c r="I24" s="497"/>
    </row>
    <row r="25" spans="1:9" ht="29.25" thickBot="1">
      <c r="A25" s="494"/>
      <c r="B25" s="113" t="s">
        <v>119</v>
      </c>
      <c r="C25" s="114" t="s">
        <v>10</v>
      </c>
      <c r="D25" s="114" t="s">
        <v>11</v>
      </c>
      <c r="E25" s="115" t="s">
        <v>105</v>
      </c>
      <c r="F25" s="113" t="s">
        <v>49</v>
      </c>
      <c r="G25" s="114" t="s">
        <v>10</v>
      </c>
      <c r="H25" s="114" t="s">
        <v>11</v>
      </c>
      <c r="I25" s="115" t="s">
        <v>105</v>
      </c>
    </row>
    <row r="26" spans="1:9" ht="12.75">
      <c r="A26" s="34" t="s">
        <v>40</v>
      </c>
      <c r="B26" s="294">
        <f>D26/D12*2</f>
        <v>181767.9852</v>
      </c>
      <c r="C26" s="295">
        <f>B26*$C$21*D12</f>
        <v>774040.1059613826</v>
      </c>
      <c r="D26" s="295">
        <f>E12*$D$21</f>
        <v>1283278.791165583</v>
      </c>
      <c r="E26" s="296">
        <f>(C26-D26)/F12</f>
        <v>-57.54055213150427</v>
      </c>
      <c r="F26" s="294">
        <f>B26</f>
        <v>181767.9852</v>
      </c>
      <c r="G26" s="295">
        <f>F26*$C$21*I12</f>
        <v>928848.127153659</v>
      </c>
      <c r="H26" s="295">
        <f>J12*$D$21</f>
        <v>769967.2746993497</v>
      </c>
      <c r="I26" s="296">
        <f>(G26-H26)/K12</f>
        <v>29.920782529444335</v>
      </c>
    </row>
    <row r="27" spans="1:9" ht="12.75">
      <c r="A27" s="36" t="s">
        <v>41</v>
      </c>
      <c r="B27" s="297">
        <f>D27/D13*2.4</f>
        <v>93065.2084224</v>
      </c>
      <c r="C27" s="298">
        <f>B27*$C$21*D13</f>
        <v>98248.9949418358</v>
      </c>
      <c r="D27" s="298">
        <f>E13*$D$21</f>
        <v>135738.9305919707</v>
      </c>
      <c r="E27" s="299">
        <f>(C27-D27)/F13</f>
        <v>-40.04828519931454</v>
      </c>
      <c r="F27" s="297">
        <f>B27</f>
        <v>93065.2084224</v>
      </c>
      <c r="G27" s="298">
        <f>F27*$C$21*I13</f>
        <v>117898.79393020294</v>
      </c>
      <c r="H27" s="298">
        <f>J13*$D$21</f>
        <v>81443.35835518241</v>
      </c>
      <c r="I27" s="299">
        <f>(G27-H27)/K13</f>
        <v>64.90531639382377</v>
      </c>
    </row>
    <row r="28" spans="1:9" ht="12.75">
      <c r="A28" s="36" t="s">
        <v>43</v>
      </c>
      <c r="B28" s="297">
        <f>D28/D14*2.4</f>
        <v>139597.8126336</v>
      </c>
      <c r="C28" s="298">
        <f>B28*$C$21*D14</f>
        <v>83606.34712746748</v>
      </c>
      <c r="D28" s="298">
        <f>E14*$D$21</f>
        <v>115508.92868168272</v>
      </c>
      <c r="E28" s="299">
        <f>(C28-D28)/F14</f>
        <v>-40.048285199314535</v>
      </c>
      <c r="F28" s="297">
        <f>B28</f>
        <v>139597.8126336</v>
      </c>
      <c r="G28" s="298">
        <f>F28*$C$21*I14</f>
        <v>100327.61655296096</v>
      </c>
      <c r="H28" s="298">
        <f>J14*$D$21</f>
        <v>69305.35720900961</v>
      </c>
      <c r="I28" s="299">
        <f>(G28-H28)/K14</f>
        <v>64.90531639382378</v>
      </c>
    </row>
    <row r="29" spans="1:9" ht="12.75">
      <c r="A29" s="36" t="s">
        <v>44</v>
      </c>
      <c r="B29" s="297">
        <f>D29/D15*2.6</f>
        <v>169609.72663440002</v>
      </c>
      <c r="C29" s="298">
        <f>B29*$C$21*D15</f>
        <v>188343.78285563225</v>
      </c>
      <c r="D29" s="298">
        <f>E15*$D$21</f>
        <v>240195.8444799115</v>
      </c>
      <c r="E29" s="299">
        <f>(C29-D29)/F15</f>
        <v>-31.302151733219688</v>
      </c>
      <c r="F29" s="297">
        <f>B29</f>
        <v>169609.72663440002</v>
      </c>
      <c r="G29" s="298">
        <f>F29*$C$21*I15</f>
        <v>226012.53942675868</v>
      </c>
      <c r="H29" s="298">
        <f>J15*$D$21</f>
        <v>144117.50668794688</v>
      </c>
      <c r="I29" s="299">
        <f>(G29-H29)/K15</f>
        <v>82.39758332601347</v>
      </c>
    </row>
    <row r="30" spans="1:9" ht="13.5" thickBot="1">
      <c r="A30" s="74" t="s">
        <v>46</v>
      </c>
      <c r="B30" s="300">
        <f>D30/D16*2.4</f>
        <v>160682.8989168</v>
      </c>
      <c r="C30" s="301">
        <f>B30*$C$21*D16</f>
        <v>709143.4282675454</v>
      </c>
      <c r="D30" s="301">
        <f>E16*$D$21</f>
        <v>979738.9850791475</v>
      </c>
      <c r="E30" s="302">
        <f>(C30-D30)/F16</f>
        <v>-40.048285199314535</v>
      </c>
      <c r="F30" s="300">
        <f>B30</f>
        <v>160682.8989168</v>
      </c>
      <c r="G30" s="301">
        <f>F30*$C$21*I16</f>
        <v>850972.1139210545</v>
      </c>
      <c r="H30" s="301">
        <f>J16*$D$21</f>
        <v>587843.3910474884</v>
      </c>
      <c r="I30" s="302">
        <f>(G30-H30)/K16</f>
        <v>64.9053163938238</v>
      </c>
    </row>
    <row r="31" spans="1:9" ht="13.5" thickBot="1">
      <c r="A31" s="112" t="s">
        <v>50</v>
      </c>
      <c r="B31" s="303"/>
      <c r="C31" s="304">
        <f>SUM(C26:C30)</f>
        <v>1853382.6591538638</v>
      </c>
      <c r="D31" s="304">
        <f>SUM(D26:D30)</f>
        <v>2754461.4799982957</v>
      </c>
      <c r="E31" s="305"/>
      <c r="F31" s="303"/>
      <c r="G31" s="304">
        <f>SUM(G26:G30)</f>
        <v>2224059.190984636</v>
      </c>
      <c r="H31" s="304">
        <f>SUM(H26:H30)</f>
        <v>1652676.887998977</v>
      </c>
      <c r="I31" s="305"/>
    </row>
    <row r="32" spans="2:5" ht="12.75">
      <c r="B32" s="9"/>
      <c r="C32" s="9"/>
      <c r="D32" s="9"/>
      <c r="E32" s="9"/>
    </row>
    <row r="33" spans="2:5" ht="12.75">
      <c r="B33" s="9"/>
      <c r="C33" s="9"/>
      <c r="D33" s="9"/>
      <c r="E33" s="9"/>
    </row>
    <row r="40" spans="1:4" ht="12.75">
      <c r="A40" s="8"/>
      <c r="B40" s="8"/>
      <c r="C40" s="8"/>
      <c r="D40" s="8"/>
    </row>
    <row r="41" spans="1:4" ht="12.75">
      <c r="A41" s="8"/>
      <c r="B41" s="8"/>
      <c r="C41" s="8"/>
      <c r="D41" s="8"/>
    </row>
    <row r="42" spans="1:4" ht="12.75">
      <c r="A42" s="8"/>
      <c r="B42" s="8"/>
      <c r="C42" s="8"/>
      <c r="D42" s="8"/>
    </row>
    <row r="43" spans="1:4" ht="12.75">
      <c r="A43" s="8"/>
      <c r="B43" s="8"/>
      <c r="C43" s="8"/>
      <c r="D43" s="8"/>
    </row>
    <row r="44" spans="1:4" ht="12.75">
      <c r="A44" s="8"/>
      <c r="B44" s="8"/>
      <c r="C44" s="8"/>
      <c r="D44" s="8"/>
    </row>
    <row r="45" spans="1:4" ht="12.75">
      <c r="A45" s="8"/>
      <c r="B45" s="8"/>
      <c r="C45" s="8"/>
      <c r="D45" s="8"/>
    </row>
    <row r="46" spans="1:4" ht="12.75">
      <c r="A46" s="8"/>
      <c r="B46" s="8"/>
      <c r="C46" s="8"/>
      <c r="D46" s="8"/>
    </row>
    <row r="47" spans="1:4" ht="12.75">
      <c r="A47" s="8"/>
      <c r="B47" s="8"/>
      <c r="C47" s="8"/>
      <c r="D47" s="8"/>
    </row>
    <row r="48" spans="1:4" ht="12.75">
      <c r="A48" s="8"/>
      <c r="B48" s="8"/>
      <c r="C48" s="8"/>
      <c r="D48" s="8"/>
    </row>
    <row r="49" spans="1:4" ht="12.75">
      <c r="A49" s="8"/>
      <c r="B49" s="8"/>
      <c r="C49" s="8"/>
      <c r="D49" s="8"/>
    </row>
    <row r="50" spans="1:4" ht="12.75">
      <c r="A50" s="8"/>
      <c r="B50" s="8"/>
      <c r="C50" s="8"/>
      <c r="D50" s="8"/>
    </row>
    <row r="51" spans="1:4" ht="12.75">
      <c r="A51" s="8"/>
      <c r="B51" s="8"/>
      <c r="C51" s="8"/>
      <c r="D51" s="8"/>
    </row>
    <row r="52" spans="1:4" ht="12.75">
      <c r="A52" s="8"/>
      <c r="B52" s="8"/>
      <c r="C52" s="8"/>
      <c r="D52" s="8"/>
    </row>
    <row r="53" spans="1:4" ht="12.75">
      <c r="A53" s="8"/>
      <c r="B53" s="8"/>
      <c r="C53" s="8"/>
      <c r="D53" s="8"/>
    </row>
    <row r="54" spans="1:4" ht="12.75">
      <c r="A54" s="8"/>
      <c r="B54" s="8"/>
      <c r="C54" s="8"/>
      <c r="D54" s="8"/>
    </row>
    <row r="55" spans="1:4" ht="12.75">
      <c r="A55" s="8"/>
      <c r="B55" s="8"/>
      <c r="C55" s="8"/>
      <c r="D55" s="8"/>
    </row>
    <row r="56" spans="1:4" ht="12.75">
      <c r="A56" s="8"/>
      <c r="B56" s="8"/>
      <c r="C56" s="8"/>
      <c r="D56" s="8"/>
    </row>
    <row r="57" spans="1:4" ht="12.75">
      <c r="A57" s="8"/>
      <c r="B57" s="8"/>
      <c r="C57" s="8"/>
      <c r="D57" s="8"/>
    </row>
    <row r="58" ht="12.75">
      <c r="A58" s="8"/>
    </row>
    <row r="59" ht="12.75">
      <c r="A59" s="8"/>
    </row>
    <row r="60" ht="12.75">
      <c r="A60" s="8"/>
    </row>
  </sheetData>
  <sheetProtection/>
  <mergeCells count="10">
    <mergeCell ref="A1:A2"/>
    <mergeCell ref="A10:A11"/>
    <mergeCell ref="B10:F10"/>
    <mergeCell ref="A24:A25"/>
    <mergeCell ref="B24:E24"/>
    <mergeCell ref="B1:B2"/>
    <mergeCell ref="C1:F1"/>
    <mergeCell ref="F24:I24"/>
    <mergeCell ref="G1:J1"/>
    <mergeCell ref="G10:K10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7">
      <selection activeCell="A8" sqref="A8"/>
    </sheetView>
  </sheetViews>
  <sheetFormatPr defaultColWidth="9.140625" defaultRowHeight="12.75"/>
  <cols>
    <col min="1" max="1" width="15.421875" style="46" customWidth="1"/>
    <col min="2" max="2" width="11.7109375" style="46" customWidth="1"/>
    <col min="3" max="3" width="16.140625" style="46" customWidth="1"/>
    <col min="4" max="4" width="15.8515625" style="46" customWidth="1"/>
    <col min="5" max="5" width="21.8515625" style="46" customWidth="1"/>
    <col min="6" max="6" width="13.421875" style="46" customWidth="1"/>
    <col min="7" max="8" width="12.140625" style="46" bestFit="1" customWidth="1"/>
    <col min="9" max="9" width="14.8515625" style="46" customWidth="1"/>
    <col min="10" max="10" width="19.7109375" style="46" customWidth="1"/>
    <col min="11" max="12" width="11.7109375" style="46" customWidth="1"/>
    <col min="13" max="16384" width="9.140625" style="46" customWidth="1"/>
  </cols>
  <sheetData>
    <row r="1" spans="1:12" ht="13.5" thickBot="1">
      <c r="A1" s="486" t="s">
        <v>38</v>
      </c>
      <c r="B1" s="486" t="s">
        <v>117</v>
      </c>
      <c r="C1" s="495" t="s">
        <v>79</v>
      </c>
      <c r="D1" s="496"/>
      <c r="E1" s="496"/>
      <c r="F1" s="497"/>
      <c r="G1" s="495" t="s">
        <v>80</v>
      </c>
      <c r="H1" s="496"/>
      <c r="I1" s="496"/>
      <c r="J1" s="497"/>
      <c r="L1" s="132"/>
    </row>
    <row r="2" spans="1:10" ht="54" thickBot="1">
      <c r="A2" s="498"/>
      <c r="B2" s="494"/>
      <c r="C2" s="89" t="s">
        <v>81</v>
      </c>
      <c r="D2" s="90" t="s">
        <v>93</v>
      </c>
      <c r="E2" s="90" t="s">
        <v>83</v>
      </c>
      <c r="F2" s="91" t="s">
        <v>84</v>
      </c>
      <c r="G2" s="89" t="s">
        <v>9</v>
      </c>
      <c r="H2" s="90" t="s">
        <v>85</v>
      </c>
      <c r="I2" s="90" t="s">
        <v>86</v>
      </c>
      <c r="J2" s="92" t="s">
        <v>87</v>
      </c>
    </row>
    <row r="3" spans="1:10" ht="12.75">
      <c r="A3" s="185" t="s">
        <v>40</v>
      </c>
      <c r="B3" s="352">
        <v>0.33708609271523177</v>
      </c>
      <c r="C3" s="267" t="s">
        <v>75</v>
      </c>
      <c r="D3" s="268">
        <v>100</v>
      </c>
      <c r="E3" s="269" t="s">
        <v>45</v>
      </c>
      <c r="F3" s="323">
        <v>0.9</v>
      </c>
      <c r="G3" s="324">
        <f>J3/H3</f>
        <v>282.3992992503243</v>
      </c>
      <c r="H3" s="353">
        <f>D3*$F$21*F3</f>
        <v>788400</v>
      </c>
      <c r="I3" s="325">
        <v>35006223.792814</v>
      </c>
      <c r="J3" s="326">
        <f>I3/$E$21*B3</f>
        <v>222643607.5289557</v>
      </c>
    </row>
    <row r="4" spans="1:10" ht="12.75">
      <c r="A4" s="191" t="s">
        <v>41</v>
      </c>
      <c r="B4" s="350">
        <v>0.6392467789890981</v>
      </c>
      <c r="C4" s="230" t="s">
        <v>76</v>
      </c>
      <c r="D4" s="231">
        <v>40</v>
      </c>
      <c r="E4" s="232" t="s">
        <v>42</v>
      </c>
      <c r="F4" s="259">
        <v>0.8</v>
      </c>
      <c r="G4" s="260">
        <f>J4/H4</f>
        <v>70.0097144664684</v>
      </c>
      <c r="H4" s="354">
        <f>D4*$F$21*F4</f>
        <v>280320</v>
      </c>
      <c r="I4" s="261">
        <v>1627120.48246</v>
      </c>
      <c r="J4" s="262">
        <f>I4/$E$21*B4</f>
        <v>19625123.15924042</v>
      </c>
    </row>
    <row r="5" spans="1:10" ht="12.75">
      <c r="A5" s="191" t="s">
        <v>43</v>
      </c>
      <c r="B5" s="350">
        <v>0.7413793103448276</v>
      </c>
      <c r="C5" s="230" t="s">
        <v>77</v>
      </c>
      <c r="D5" s="231">
        <v>60</v>
      </c>
      <c r="E5" s="232" t="s">
        <v>45</v>
      </c>
      <c r="F5" s="259">
        <v>0.8</v>
      </c>
      <c r="G5" s="260">
        <f>J5/H5</f>
        <v>39.71715940330052</v>
      </c>
      <c r="H5" s="354">
        <f>D5*$F$21*F5</f>
        <v>420480</v>
      </c>
      <c r="I5" s="261">
        <v>1193875.2005919998</v>
      </c>
      <c r="J5" s="262">
        <f>I5/$E$21*B5</f>
        <v>16700271.185899803</v>
      </c>
    </row>
    <row r="6" spans="1:10" ht="12.75">
      <c r="A6" s="191" t="s">
        <v>44</v>
      </c>
      <c r="B6" s="350">
        <v>0.6818369880016549</v>
      </c>
      <c r="C6" s="230" t="s">
        <v>77</v>
      </c>
      <c r="D6" s="231">
        <v>60</v>
      </c>
      <c r="E6" s="232" t="s">
        <v>45</v>
      </c>
      <c r="F6" s="259">
        <v>0.85</v>
      </c>
      <c r="G6" s="260">
        <f>J6/H6</f>
        <v>73.64072898884181</v>
      </c>
      <c r="H6" s="354">
        <f>D6*$F$21*F6</f>
        <v>446760</v>
      </c>
      <c r="I6" s="261">
        <v>2557335.3031380004</v>
      </c>
      <c r="J6" s="262">
        <f>I6/$E$21*B6</f>
        <v>32899732.08305497</v>
      </c>
    </row>
    <row r="7" spans="1:10" ht="13.5" thickBot="1">
      <c r="A7" s="194" t="s">
        <v>46</v>
      </c>
      <c r="B7" s="351">
        <v>0.7</v>
      </c>
      <c r="C7" s="233" t="s">
        <v>78</v>
      </c>
      <c r="D7" s="234">
        <v>65</v>
      </c>
      <c r="E7" s="235" t="s">
        <v>47</v>
      </c>
      <c r="F7" s="263">
        <v>0.85</v>
      </c>
      <c r="G7" s="264">
        <f>J7/H7</f>
        <v>292.6725345436382</v>
      </c>
      <c r="H7" s="355">
        <f>D7*$F$21*F7</f>
        <v>483990</v>
      </c>
      <c r="I7" s="265">
        <v>10724972.485242998</v>
      </c>
      <c r="J7" s="266">
        <f>I7/$E$21*B7</f>
        <v>141650579.99377546</v>
      </c>
    </row>
    <row r="8" spans="13:23" ht="12.75">
      <c r="M8"/>
      <c r="N8"/>
      <c r="O8"/>
      <c r="P8"/>
      <c r="Q8"/>
      <c r="R8"/>
      <c r="S8"/>
      <c r="T8"/>
      <c r="U8"/>
      <c r="V8"/>
      <c r="W8"/>
    </row>
    <row r="9" ht="13.5" thickBot="1">
      <c r="W9"/>
    </row>
    <row r="10" spans="1:23" ht="13.5" thickBot="1">
      <c r="A10" s="486" t="s">
        <v>38</v>
      </c>
      <c r="B10" s="499" t="s">
        <v>58</v>
      </c>
      <c r="C10" s="496"/>
      <c r="D10" s="496"/>
      <c r="E10" s="496"/>
      <c r="F10" s="497"/>
      <c r="G10" s="499" t="s">
        <v>59</v>
      </c>
      <c r="H10" s="496"/>
      <c r="I10" s="496"/>
      <c r="J10" s="496"/>
      <c r="K10" s="497"/>
      <c r="M10"/>
      <c r="N10"/>
      <c r="O10"/>
      <c r="P10"/>
      <c r="Q10"/>
      <c r="R10"/>
      <c r="S10"/>
      <c r="T10"/>
      <c r="U10"/>
      <c r="V10"/>
      <c r="W10"/>
    </row>
    <row r="11" spans="1:23" ht="42" thickBot="1">
      <c r="A11" s="494"/>
      <c r="B11" s="96" t="s">
        <v>96</v>
      </c>
      <c r="C11" s="131" t="s">
        <v>109</v>
      </c>
      <c r="D11" s="114" t="s">
        <v>48</v>
      </c>
      <c r="E11" s="114" t="s">
        <v>100</v>
      </c>
      <c r="F11" s="115" t="s">
        <v>101</v>
      </c>
      <c r="G11" s="113" t="s">
        <v>96</v>
      </c>
      <c r="H11" s="131" t="s">
        <v>109</v>
      </c>
      <c r="I11" s="114" t="s">
        <v>48</v>
      </c>
      <c r="J11" s="114" t="s">
        <v>100</v>
      </c>
      <c r="K11" s="115" t="s">
        <v>101</v>
      </c>
      <c r="M11"/>
      <c r="N11"/>
      <c r="O11"/>
      <c r="P11"/>
      <c r="Q11"/>
      <c r="R11"/>
      <c r="S11"/>
      <c r="T11"/>
      <c r="U11"/>
      <c r="V11"/>
      <c r="W11"/>
    </row>
    <row r="12" spans="1:23" ht="12.75">
      <c r="A12" s="250" t="s">
        <v>40</v>
      </c>
      <c r="B12" s="256">
        <v>0.085</v>
      </c>
      <c r="C12" s="253">
        <v>0.01</v>
      </c>
      <c r="D12" s="187">
        <f>G3*B12</f>
        <v>24.003940436277567</v>
      </c>
      <c r="E12" s="188">
        <f>C12*H3*D12</f>
        <v>189247.06639961235</v>
      </c>
      <c r="F12" s="189">
        <f>E12*$E$21</f>
        <v>10030.094519179454</v>
      </c>
      <c r="G12" s="190">
        <f>B12*1.5</f>
        <v>0.1275</v>
      </c>
      <c r="H12" s="186">
        <v>0.02</v>
      </c>
      <c r="I12" s="187">
        <f>G3*G12</f>
        <v>36.00591065441635</v>
      </c>
      <c r="J12" s="188">
        <f>H12*H3*I12</f>
        <v>567741.1991988369</v>
      </c>
      <c r="K12" s="189">
        <f>J12*$E$21</f>
        <v>30090.283557538358</v>
      </c>
      <c r="W12" s="52"/>
    </row>
    <row r="13" spans="1:23" ht="12.75">
      <c r="A13" s="146" t="s">
        <v>41</v>
      </c>
      <c r="B13" s="257">
        <v>0.12300000000000001</v>
      </c>
      <c r="C13" s="254">
        <v>0.01</v>
      </c>
      <c r="D13" s="175">
        <f>G4*B13</f>
        <v>8.611194879375613</v>
      </c>
      <c r="E13" s="138">
        <f>C13*H4*D13</f>
        <v>24138.90148586572</v>
      </c>
      <c r="F13" s="139">
        <f>E13*$E$21</f>
        <v>1279.361778750883</v>
      </c>
      <c r="G13" s="193">
        <f>B13*1.5</f>
        <v>0.18450000000000003</v>
      </c>
      <c r="H13" s="192">
        <v>0.02</v>
      </c>
      <c r="I13" s="175">
        <f>G4*G13</f>
        <v>12.91679231906342</v>
      </c>
      <c r="J13" s="138">
        <f>H13*H4*I13</f>
        <v>72416.70445759717</v>
      </c>
      <c r="K13" s="139">
        <f>J13*$E$21</f>
        <v>3838.0853362526495</v>
      </c>
      <c r="W13"/>
    </row>
    <row r="14" spans="1:23" ht="12.75">
      <c r="A14" s="146" t="s">
        <v>43</v>
      </c>
      <c r="B14" s="257">
        <v>0.12300000000000001</v>
      </c>
      <c r="C14" s="254">
        <v>0.01</v>
      </c>
      <c r="D14" s="175">
        <f>G5*B14</f>
        <v>4.885210606605964</v>
      </c>
      <c r="E14" s="138">
        <f>C14*H5*D14</f>
        <v>20541.33355865676</v>
      </c>
      <c r="F14" s="139">
        <f>E14*$E$21</f>
        <v>1088.6906786088082</v>
      </c>
      <c r="G14" s="193">
        <f>B14*1.5</f>
        <v>0.18450000000000003</v>
      </c>
      <c r="H14" s="192">
        <v>0.02</v>
      </c>
      <c r="I14" s="175">
        <f>G5*G14</f>
        <v>7.3278159099089475</v>
      </c>
      <c r="J14" s="138">
        <f>H14*H5*I14</f>
        <v>61624.00067597029</v>
      </c>
      <c r="K14" s="139">
        <f>J14*$E$21</f>
        <v>3266.0720358264252</v>
      </c>
      <c r="M14"/>
      <c r="N14"/>
      <c r="O14"/>
      <c r="P14"/>
      <c r="Q14"/>
      <c r="R14"/>
      <c r="S14"/>
      <c r="T14"/>
      <c r="U14"/>
      <c r="V14"/>
      <c r="W14"/>
    </row>
    <row r="15" spans="1:23" ht="12.75">
      <c r="A15" s="146" t="s">
        <v>44</v>
      </c>
      <c r="B15" s="257">
        <v>0.085</v>
      </c>
      <c r="C15" s="254">
        <v>0.01</v>
      </c>
      <c r="D15" s="175">
        <f>G6*B15</f>
        <v>6.259461964051555</v>
      </c>
      <c r="E15" s="138">
        <f>C15*H6*D15</f>
        <v>27964.772270596728</v>
      </c>
      <c r="F15" s="139">
        <f>E15*$E$21</f>
        <v>1482.1329303416264</v>
      </c>
      <c r="G15" s="193">
        <f>B15*1.5</f>
        <v>0.1275</v>
      </c>
      <c r="H15" s="192">
        <v>0.02</v>
      </c>
      <c r="I15" s="175">
        <f>G6*G15</f>
        <v>9.389192946077332</v>
      </c>
      <c r="J15" s="138">
        <f>H15*H6*I15</f>
        <v>83894.31681179018</v>
      </c>
      <c r="K15" s="139">
        <f>J15*$E$21</f>
        <v>4446.39879102488</v>
      </c>
      <c r="M15"/>
      <c r="N15"/>
      <c r="O15"/>
      <c r="P15"/>
      <c r="Q15"/>
      <c r="R15"/>
      <c r="S15"/>
      <c r="T15"/>
      <c r="U15"/>
      <c r="V15"/>
      <c r="W15"/>
    </row>
    <row r="16" spans="1:23" ht="13.5" thickBot="1">
      <c r="A16" s="251" t="s">
        <v>46</v>
      </c>
      <c r="B16" s="258">
        <v>0.12300000000000001</v>
      </c>
      <c r="C16" s="255">
        <v>0.01</v>
      </c>
      <c r="D16" s="181">
        <f>G7*B16</f>
        <v>35.9987217488675</v>
      </c>
      <c r="E16" s="140">
        <f>C16*H7*D16</f>
        <v>174230.21339234384</v>
      </c>
      <c r="F16" s="141">
        <f>E16*$E$21</f>
        <v>9234.201309794224</v>
      </c>
      <c r="G16" s="196">
        <f>B16*1.5</f>
        <v>0.18450000000000003</v>
      </c>
      <c r="H16" s="195">
        <v>0.02</v>
      </c>
      <c r="I16" s="181">
        <f>G7*G16</f>
        <v>53.99808262330126</v>
      </c>
      <c r="J16" s="140">
        <f>H16*H7*I16</f>
        <v>522690.6401770316</v>
      </c>
      <c r="K16" s="141">
        <f>J16*$E$21</f>
        <v>27702.603929382673</v>
      </c>
      <c r="M16"/>
      <c r="N16"/>
      <c r="O16"/>
      <c r="P16"/>
      <c r="Q16"/>
      <c r="R16"/>
      <c r="S16"/>
      <c r="T16"/>
      <c r="U16"/>
      <c r="V16"/>
      <c r="W16"/>
    </row>
    <row r="17" spans="1:23" ht="13.5" thickBot="1">
      <c r="A17" s="197" t="s">
        <v>50</v>
      </c>
      <c r="B17" s="252"/>
      <c r="C17" s="236"/>
      <c r="D17" s="237"/>
      <c r="E17" s="155">
        <f>SUM(E12:E16)</f>
        <v>436122.28710707545</v>
      </c>
      <c r="F17" s="156">
        <f>SUM(F12:F16)</f>
        <v>23114.481216674994</v>
      </c>
      <c r="G17" s="133"/>
      <c r="H17" s="142"/>
      <c r="I17" s="198">
        <f>SUM(I12:I16)</f>
        <v>119.63779445276731</v>
      </c>
      <c r="J17" s="155">
        <f>SUM(J12:J16)</f>
        <v>1308366.8613212262</v>
      </c>
      <c r="K17" s="156">
        <f>SUM(K12:K16)</f>
        <v>69343.44365002499</v>
      </c>
      <c r="M17"/>
      <c r="N17"/>
      <c r="O17"/>
      <c r="P17"/>
      <c r="Q17"/>
      <c r="R17"/>
      <c r="S17"/>
      <c r="T17"/>
      <c r="U17"/>
      <c r="V17"/>
      <c r="W17"/>
    </row>
    <row r="18" spans="13:23" ht="12.75">
      <c r="M18"/>
      <c r="N18"/>
      <c r="O18"/>
      <c r="P18"/>
      <c r="Q18"/>
      <c r="R18"/>
      <c r="S18"/>
      <c r="T18"/>
      <c r="U18"/>
      <c r="V18"/>
      <c r="W18" s="49"/>
    </row>
    <row r="19" spans="13:23" ht="13.5" thickBot="1">
      <c r="M19"/>
      <c r="N19"/>
      <c r="O19"/>
      <c r="P19"/>
      <c r="Q19"/>
      <c r="R19"/>
      <c r="S19"/>
      <c r="T19"/>
      <c r="U19"/>
      <c r="V19"/>
      <c r="W19"/>
    </row>
    <row r="20" spans="1:10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110</v>
      </c>
      <c r="F20" s="91" t="s">
        <v>32</v>
      </c>
      <c r="I20" s="157"/>
      <c r="J20" s="157"/>
    </row>
    <row r="21" spans="1:6" ht="13.5" thickBot="1">
      <c r="A21" s="158">
        <v>0.3</v>
      </c>
      <c r="B21" s="159">
        <v>20</v>
      </c>
      <c r="C21" s="160">
        <f>A21/(1-1/(1+A21)^B21)</f>
        <v>0.30158688481804236</v>
      </c>
      <c r="D21" s="321">
        <v>7.6851</v>
      </c>
      <c r="E21" s="160">
        <f>5.3*10^(-2)</f>
        <v>0.053</v>
      </c>
      <c r="F21" s="161">
        <v>8760</v>
      </c>
    </row>
    <row r="22" spans="1:4" ht="12.75">
      <c r="A22" s="199"/>
      <c r="B22" s="163"/>
      <c r="D22" s="199"/>
    </row>
    <row r="23" spans="1:4" ht="13.5" thickBot="1">
      <c r="A23" s="199"/>
      <c r="B23" s="163"/>
      <c r="D23" s="199"/>
    </row>
    <row r="24" spans="1:9" ht="13.5" thickBot="1">
      <c r="A24" s="486" t="s">
        <v>38</v>
      </c>
      <c r="B24" s="495" t="s">
        <v>58</v>
      </c>
      <c r="C24" s="496"/>
      <c r="D24" s="496"/>
      <c r="E24" s="497"/>
      <c r="F24" s="495" t="s">
        <v>59</v>
      </c>
      <c r="G24" s="496"/>
      <c r="H24" s="496"/>
      <c r="I24" s="497"/>
    </row>
    <row r="25" spans="1:9" ht="29.25" thickBot="1">
      <c r="A25" s="494"/>
      <c r="B25" s="113" t="s">
        <v>49</v>
      </c>
      <c r="C25" s="114" t="s">
        <v>10</v>
      </c>
      <c r="D25" s="114" t="s">
        <v>11</v>
      </c>
      <c r="E25" s="115" t="s">
        <v>105</v>
      </c>
      <c r="F25" s="113" t="s">
        <v>49</v>
      </c>
      <c r="G25" s="114" t="s">
        <v>10</v>
      </c>
      <c r="H25" s="114" t="s">
        <v>11</v>
      </c>
      <c r="I25" s="115" t="s">
        <v>105</v>
      </c>
    </row>
    <row r="26" spans="1:9" ht="12.75">
      <c r="A26" s="185" t="s">
        <v>40</v>
      </c>
      <c r="B26" s="238">
        <f>D26/D12*3</f>
        <v>181767.9852</v>
      </c>
      <c r="C26" s="239">
        <f>B26*$C$21*D12</f>
        <v>1315868.1801343504</v>
      </c>
      <c r="D26" s="239">
        <f>E12*$D$21</f>
        <v>1454382.6299876608</v>
      </c>
      <c r="E26" s="240">
        <f>(C26-D26)/F12</f>
        <v>-13.809884801029972</v>
      </c>
      <c r="F26" s="238">
        <f>H26/I12*4</f>
        <v>484714.62719999993</v>
      </c>
      <c r="G26" s="239">
        <f>F26*$C$21*I12</f>
        <v>5263472.720537401</v>
      </c>
      <c r="H26" s="239">
        <f>J12*$D$21</f>
        <v>4363147.889962981</v>
      </c>
      <c r="I26" s="240">
        <f>(G26-H26)/K12</f>
        <v>29.92078252944432</v>
      </c>
    </row>
    <row r="27" spans="1:9" ht="12.75">
      <c r="A27" s="191" t="s">
        <v>41</v>
      </c>
      <c r="B27" s="241">
        <f>D27/D13*3</f>
        <v>64628.61696000001</v>
      </c>
      <c r="C27" s="242">
        <f>B27*$C$21*D13</f>
        <v>167842.0330256362</v>
      </c>
      <c r="D27" s="242">
        <f>E13*$D$21</f>
        <v>185509.87180902666</v>
      </c>
      <c r="E27" s="243">
        <f>(C27-D27)/F13</f>
        <v>-13.809884801029957</v>
      </c>
      <c r="F27" s="241">
        <f>H27/I13*4</f>
        <v>172342.97856000002</v>
      </c>
      <c r="G27" s="242">
        <f>F27*$C$21*I13</f>
        <v>671368.1321025448</v>
      </c>
      <c r="H27" s="242">
        <f>J13*$D$21</f>
        <v>556529.61542708</v>
      </c>
      <c r="I27" s="243">
        <f>(G27-H27)/K13</f>
        <v>29.92078252944435</v>
      </c>
    </row>
    <row r="28" spans="1:9" ht="12.75">
      <c r="A28" s="191" t="s">
        <v>43</v>
      </c>
      <c r="B28" s="241">
        <f>D28/D14*3</f>
        <v>96942.92543999999</v>
      </c>
      <c r="C28" s="242">
        <f>B28*$C$21*D14</f>
        <v>142827.50967609027</v>
      </c>
      <c r="D28" s="242">
        <f>E14*$D$21</f>
        <v>157862.20253163305</v>
      </c>
      <c r="E28" s="243">
        <f>(C28-D28)/F14</f>
        <v>-13.809884801029973</v>
      </c>
      <c r="F28" s="241">
        <f>H28/I14*4</f>
        <v>258514.46784</v>
      </c>
      <c r="G28" s="242">
        <f>F28*$C$21*I14</f>
        <v>571310.0387043612</v>
      </c>
      <c r="H28" s="242">
        <f>J14*$D$21</f>
        <v>473586.60759489925</v>
      </c>
      <c r="I28" s="243">
        <f>(G28-H28)/K14</f>
        <v>29.920782529444317</v>
      </c>
    </row>
    <row r="29" spans="1:9" ht="12.75">
      <c r="A29" s="191" t="s">
        <v>44</v>
      </c>
      <c r="B29" s="241">
        <f>D29/D15*3</f>
        <v>103001.85828000001</v>
      </c>
      <c r="C29" s="242">
        <f>B29*$C$21*D15</f>
        <v>194443.9863489321</v>
      </c>
      <c r="D29" s="242">
        <f>E15*$D$21</f>
        <v>214912.07137676293</v>
      </c>
      <c r="E29" s="243">
        <f>(C29-D29)/F15</f>
        <v>-13.809884801029959</v>
      </c>
      <c r="F29" s="241">
        <f>H29/I15*4</f>
        <v>274671.62208</v>
      </c>
      <c r="G29" s="242">
        <f>F29*$C$21*I15</f>
        <v>777775.9453957283</v>
      </c>
      <c r="H29" s="242">
        <f>J15*$D$21</f>
        <v>644736.2141302887</v>
      </c>
      <c r="I29" s="243">
        <f>(G29-H29)/K15</f>
        <v>29.920782529444338</v>
      </c>
    </row>
    <row r="30" spans="1:9" ht="13.5" thickBot="1">
      <c r="A30" s="200" t="s">
        <v>46</v>
      </c>
      <c r="B30" s="244">
        <f>D30/D16*3</f>
        <v>111585.34647000002</v>
      </c>
      <c r="C30" s="245">
        <f>B30*$C$21*D16</f>
        <v>1211453.3566237234</v>
      </c>
      <c r="D30" s="245">
        <f>E16*$D$21</f>
        <v>1338976.6129415017</v>
      </c>
      <c r="E30" s="246">
        <f>(C30-D30)/F16</f>
        <v>-13.809884801029966</v>
      </c>
      <c r="F30" s="244">
        <f>H30/I16*4</f>
        <v>297560.92392000003</v>
      </c>
      <c r="G30" s="245">
        <f>F30*$C$21*I16</f>
        <v>4845813.426494894</v>
      </c>
      <c r="H30" s="245">
        <f>J16*$D$21</f>
        <v>4016929.8388245055</v>
      </c>
      <c r="I30" s="246">
        <f>(G30-H30)/K16</f>
        <v>29.920782529444303</v>
      </c>
    </row>
    <row r="31" spans="1:9" ht="13.5" thickBot="1">
      <c r="A31" s="197" t="s">
        <v>50</v>
      </c>
      <c r="B31" s="247"/>
      <c r="C31" s="248">
        <f>SUM(C26:C30)</f>
        <v>3032435.065808732</v>
      </c>
      <c r="D31" s="248">
        <f>SUM(D26:D30)</f>
        <v>3351643.388646585</v>
      </c>
      <c r="E31" s="249"/>
      <c r="F31" s="247"/>
      <c r="G31" s="248">
        <f>SUM(G26:G30)</f>
        <v>12129740.263234928</v>
      </c>
      <c r="H31" s="248">
        <f>SUM(H26:H30)</f>
        <v>10054930.165939754</v>
      </c>
      <c r="I31" s="249"/>
    </row>
    <row r="32" spans="2:5" ht="12.75">
      <c r="B32" s="168"/>
      <c r="C32" s="168"/>
      <c r="D32" s="168"/>
      <c r="E32" s="168"/>
    </row>
    <row r="33" spans="2:5" ht="12.75">
      <c r="B33" s="168"/>
      <c r="C33" s="168"/>
      <c r="D33" s="168"/>
      <c r="E33" s="168"/>
    </row>
    <row r="40" ht="12.75">
      <c r="A40" s="132"/>
    </row>
    <row r="41" ht="12.75">
      <c r="A41" s="132"/>
    </row>
    <row r="42" ht="12.75">
      <c r="A42" s="132"/>
    </row>
    <row r="43" ht="12.75">
      <c r="A43" s="132"/>
    </row>
    <row r="44" ht="12.75">
      <c r="A44" s="132"/>
    </row>
    <row r="45" ht="12.75">
      <c r="A45" s="132"/>
    </row>
    <row r="46" ht="12.75">
      <c r="A46" s="132"/>
    </row>
    <row r="47" ht="12.75">
      <c r="A47" s="132"/>
    </row>
    <row r="48" ht="12.75">
      <c r="A48" s="132"/>
    </row>
    <row r="49" ht="12.75">
      <c r="A49" s="132"/>
    </row>
    <row r="50" ht="12.75">
      <c r="A50" s="132"/>
    </row>
    <row r="51" ht="12.75">
      <c r="A51" s="132"/>
    </row>
    <row r="52" ht="12.75">
      <c r="A52" s="132"/>
    </row>
    <row r="53" ht="12.75">
      <c r="A53" s="132"/>
    </row>
    <row r="54" ht="12.75">
      <c r="A54" s="132"/>
    </row>
    <row r="55" ht="12.75">
      <c r="A55" s="132"/>
    </row>
    <row r="56" ht="12.75">
      <c r="A56" s="132"/>
    </row>
    <row r="57" ht="12.75">
      <c r="A57" s="132"/>
    </row>
    <row r="58" ht="12.75">
      <c r="A58" s="132"/>
    </row>
    <row r="59" ht="12.75">
      <c r="A59" s="132"/>
    </row>
    <row r="60" ht="12.75">
      <c r="A60" s="132"/>
    </row>
  </sheetData>
  <sheetProtection/>
  <mergeCells count="10">
    <mergeCell ref="A24:A25"/>
    <mergeCell ref="B24:E24"/>
    <mergeCell ref="F24:I24"/>
    <mergeCell ref="A1:A2"/>
    <mergeCell ref="B1:B2"/>
    <mergeCell ref="G1:J1"/>
    <mergeCell ref="C1:F1"/>
    <mergeCell ref="A10:A11"/>
    <mergeCell ref="B10:F10"/>
    <mergeCell ref="G10:K10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6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00390625" style="46" customWidth="1"/>
    <col min="2" max="2" width="13.00390625" style="46" customWidth="1"/>
    <col min="3" max="3" width="17.421875" style="46" customWidth="1"/>
    <col min="4" max="4" width="15.421875" style="46" customWidth="1"/>
    <col min="5" max="5" width="22.28125" style="46" customWidth="1"/>
    <col min="6" max="6" width="13.57421875" style="46" customWidth="1"/>
    <col min="7" max="8" width="11.7109375" style="46" customWidth="1"/>
    <col min="9" max="9" width="14.00390625" style="46" customWidth="1"/>
    <col min="10" max="10" width="17.8515625" style="46" customWidth="1"/>
    <col min="11" max="12" width="11.7109375" style="46" customWidth="1"/>
    <col min="13" max="16384" width="9.140625" style="46" customWidth="1"/>
  </cols>
  <sheetData>
    <row r="1" spans="1:12" ht="13.5" thickBot="1">
      <c r="A1" s="486" t="s">
        <v>38</v>
      </c>
      <c r="B1" s="486" t="s">
        <v>117</v>
      </c>
      <c r="C1" s="495" t="s">
        <v>79</v>
      </c>
      <c r="D1" s="496"/>
      <c r="E1" s="496"/>
      <c r="F1" s="497"/>
      <c r="G1" s="495" t="s">
        <v>80</v>
      </c>
      <c r="H1" s="496"/>
      <c r="I1" s="496"/>
      <c r="J1" s="497"/>
      <c r="L1" s="132"/>
    </row>
    <row r="2" spans="1:10" ht="54" thickBot="1">
      <c r="A2" s="494"/>
      <c r="B2" s="494"/>
      <c r="C2" s="89" t="s">
        <v>111</v>
      </c>
      <c r="D2" s="90" t="s">
        <v>112</v>
      </c>
      <c r="E2" s="90" t="s">
        <v>83</v>
      </c>
      <c r="F2" s="91" t="s">
        <v>84</v>
      </c>
      <c r="G2" s="89" t="s">
        <v>3</v>
      </c>
      <c r="H2" s="90" t="s">
        <v>85</v>
      </c>
      <c r="I2" s="90" t="s">
        <v>86</v>
      </c>
      <c r="J2" s="92" t="s">
        <v>87</v>
      </c>
    </row>
    <row r="3" spans="1:10" ht="12.75">
      <c r="A3" s="173" t="s">
        <v>40</v>
      </c>
      <c r="B3" s="367">
        <v>0.33708609271523177</v>
      </c>
      <c r="C3" s="267" t="s">
        <v>75</v>
      </c>
      <c r="D3" s="268">
        <v>100</v>
      </c>
      <c r="E3" s="269" t="s">
        <v>45</v>
      </c>
      <c r="F3" s="323">
        <v>0.9</v>
      </c>
      <c r="G3" s="324">
        <f>J3/H3</f>
        <v>282.3992992503243</v>
      </c>
      <c r="H3" s="269">
        <f>D3*$F$21*F3</f>
        <v>788400</v>
      </c>
      <c r="I3" s="325">
        <v>35006223.792814</v>
      </c>
      <c r="J3" s="326">
        <f>I3/$E$21*B3</f>
        <v>222643607.5289557</v>
      </c>
    </row>
    <row r="4" spans="1:10" ht="12.75">
      <c r="A4" s="173" t="s">
        <v>41</v>
      </c>
      <c r="B4" s="275">
        <v>0.6392467789890981</v>
      </c>
      <c r="C4" s="230" t="s">
        <v>76</v>
      </c>
      <c r="D4" s="231">
        <v>40</v>
      </c>
      <c r="E4" s="232" t="s">
        <v>42</v>
      </c>
      <c r="F4" s="259">
        <v>0.8</v>
      </c>
      <c r="G4" s="260">
        <f>J4/H4</f>
        <v>70.0097144664684</v>
      </c>
      <c r="H4" s="232">
        <f>D4*$F$21*F4</f>
        <v>280320</v>
      </c>
      <c r="I4" s="261">
        <v>1627120.48246</v>
      </c>
      <c r="J4" s="262">
        <f>I4/$E$21*B4</f>
        <v>19625123.15924042</v>
      </c>
    </row>
    <row r="5" spans="1:10" ht="12.75">
      <c r="A5" s="173" t="s">
        <v>43</v>
      </c>
      <c r="B5" s="275">
        <v>0.7413793103448276</v>
      </c>
      <c r="C5" s="230" t="s">
        <v>77</v>
      </c>
      <c r="D5" s="231">
        <v>60</v>
      </c>
      <c r="E5" s="232" t="s">
        <v>45</v>
      </c>
      <c r="F5" s="259">
        <v>0.8</v>
      </c>
      <c r="G5" s="260">
        <f>J5/H5</f>
        <v>39.71715940330052</v>
      </c>
      <c r="H5" s="232">
        <f>D5*$F$21*F5</f>
        <v>420480</v>
      </c>
      <c r="I5" s="261">
        <v>1193875.2005919998</v>
      </c>
      <c r="J5" s="262">
        <f>I5/$E$21*B5</f>
        <v>16700271.185899803</v>
      </c>
    </row>
    <row r="6" spans="1:10" ht="12.75">
      <c r="A6" s="173" t="s">
        <v>44</v>
      </c>
      <c r="B6" s="275">
        <v>0.6818369880016549</v>
      </c>
      <c r="C6" s="230" t="s">
        <v>77</v>
      </c>
      <c r="D6" s="231">
        <v>60</v>
      </c>
      <c r="E6" s="232" t="s">
        <v>45</v>
      </c>
      <c r="F6" s="259">
        <v>0.85</v>
      </c>
      <c r="G6" s="260">
        <f>J6/H6</f>
        <v>73.64072898884181</v>
      </c>
      <c r="H6" s="232">
        <f>D6*$F$21*F6</f>
        <v>446760</v>
      </c>
      <c r="I6" s="261">
        <v>2557335.3031380004</v>
      </c>
      <c r="J6" s="262">
        <f>I6/$E$21*B6</f>
        <v>32899732.08305497</v>
      </c>
    </row>
    <row r="7" spans="1:10" ht="13.5" thickBot="1">
      <c r="A7" s="179" t="s">
        <v>46</v>
      </c>
      <c r="B7" s="276">
        <v>0.7</v>
      </c>
      <c r="C7" s="233" t="s">
        <v>78</v>
      </c>
      <c r="D7" s="234">
        <v>65</v>
      </c>
      <c r="E7" s="235" t="s">
        <v>47</v>
      </c>
      <c r="F7" s="263">
        <v>0.85</v>
      </c>
      <c r="G7" s="264">
        <f>J7/H7</f>
        <v>292.6725345436382</v>
      </c>
      <c r="H7" s="235">
        <f>D7*$F$21*F7</f>
        <v>483990</v>
      </c>
      <c r="I7" s="265">
        <v>10724972.485242998</v>
      </c>
      <c r="J7" s="266">
        <f>I7/$E$21*B7</f>
        <v>141650579.99377546</v>
      </c>
    </row>
    <row r="8" spans="13:23" ht="12.75">
      <c r="M8"/>
      <c r="N8"/>
      <c r="O8"/>
      <c r="P8"/>
      <c r="Q8"/>
      <c r="R8"/>
      <c r="S8"/>
      <c r="T8"/>
      <c r="U8"/>
      <c r="V8"/>
      <c r="W8"/>
    </row>
    <row r="9" ht="13.5" thickBot="1">
      <c r="W9"/>
    </row>
    <row r="10" spans="1:23" ht="13.5" thickBot="1">
      <c r="A10" s="486" t="s">
        <v>38</v>
      </c>
      <c r="B10" s="499" t="s">
        <v>60</v>
      </c>
      <c r="C10" s="496"/>
      <c r="D10" s="496"/>
      <c r="E10" s="496"/>
      <c r="F10" s="497"/>
      <c r="G10" s="499" t="s">
        <v>61</v>
      </c>
      <c r="H10" s="496"/>
      <c r="I10" s="496"/>
      <c r="J10" s="496"/>
      <c r="K10" s="497"/>
      <c r="M10"/>
      <c r="N10"/>
      <c r="O10"/>
      <c r="P10"/>
      <c r="Q10"/>
      <c r="R10"/>
      <c r="S10"/>
      <c r="T10"/>
      <c r="U10"/>
      <c r="V10"/>
      <c r="W10"/>
    </row>
    <row r="11" spans="1:23" ht="42" thickBot="1">
      <c r="A11" s="494"/>
      <c r="B11" s="96" t="s">
        <v>96</v>
      </c>
      <c r="C11" s="131" t="s">
        <v>109</v>
      </c>
      <c r="D11" s="114" t="s">
        <v>48</v>
      </c>
      <c r="E11" s="114" t="s">
        <v>100</v>
      </c>
      <c r="F11" s="115" t="s">
        <v>101</v>
      </c>
      <c r="G11" s="113" t="s">
        <v>113</v>
      </c>
      <c r="H11" s="131" t="s">
        <v>109</v>
      </c>
      <c r="I11" s="114" t="s">
        <v>48</v>
      </c>
      <c r="J11" s="114" t="s">
        <v>100</v>
      </c>
      <c r="K11" s="115" t="s">
        <v>101</v>
      </c>
      <c r="M11"/>
      <c r="N11"/>
      <c r="O11"/>
      <c r="P11"/>
      <c r="Q11"/>
      <c r="R11"/>
      <c r="S11"/>
      <c r="T11"/>
      <c r="U11"/>
      <c r="V11"/>
      <c r="W11"/>
    </row>
    <row r="12" spans="1:23" ht="12.75">
      <c r="A12" s="250" t="s">
        <v>40</v>
      </c>
      <c r="B12" s="327">
        <v>0.15</v>
      </c>
      <c r="C12" s="253">
        <v>0.01</v>
      </c>
      <c r="D12" s="187">
        <f>G3*B12</f>
        <v>42.35989488754864</v>
      </c>
      <c r="E12" s="188">
        <f>C12*H3*D12</f>
        <v>333965.4112934335</v>
      </c>
      <c r="F12" s="189">
        <f>E12*$E$21</f>
        <v>17700.166798551974</v>
      </c>
      <c r="G12" s="190">
        <f>B12*1.2</f>
        <v>0.18</v>
      </c>
      <c r="H12" s="186">
        <f>C12/2</f>
        <v>0.005</v>
      </c>
      <c r="I12" s="187">
        <f>G3*G12</f>
        <v>50.83187386505837</v>
      </c>
      <c r="J12" s="188">
        <f>H12*H3*I12</f>
        <v>200379.24677606008</v>
      </c>
      <c r="K12" s="189">
        <f>J12*$E$21</f>
        <v>10620.100079131184</v>
      </c>
      <c r="W12" s="52"/>
    </row>
    <row r="13" spans="1:23" ht="12.75">
      <c r="A13" s="146" t="s">
        <v>41</v>
      </c>
      <c r="B13" s="328">
        <v>0.15</v>
      </c>
      <c r="C13" s="254">
        <v>0.01</v>
      </c>
      <c r="D13" s="175">
        <f>G4*B13</f>
        <v>10.501457169970259</v>
      </c>
      <c r="E13" s="138">
        <f>C13*H4*D13</f>
        <v>29437.684738860633</v>
      </c>
      <c r="F13" s="139">
        <f>E13*$E$21</f>
        <v>1560.1972911596135</v>
      </c>
      <c r="G13" s="193">
        <f>B13*1.2</f>
        <v>0.18</v>
      </c>
      <c r="H13" s="192">
        <f>C13/2</f>
        <v>0.005</v>
      </c>
      <c r="I13" s="175">
        <f>G4*G13</f>
        <v>12.60174860396431</v>
      </c>
      <c r="J13" s="138">
        <f>H13*H4*I13</f>
        <v>17662.61084331638</v>
      </c>
      <c r="K13" s="139">
        <f>J13*$E$21</f>
        <v>936.118374695768</v>
      </c>
      <c r="W13"/>
    </row>
    <row r="14" spans="1:23" ht="12.75">
      <c r="A14" s="146" t="s">
        <v>43</v>
      </c>
      <c r="B14" s="328">
        <v>0.15</v>
      </c>
      <c r="C14" s="254">
        <v>0.01</v>
      </c>
      <c r="D14" s="175">
        <f>G5*B14</f>
        <v>5.957573910495078</v>
      </c>
      <c r="E14" s="138">
        <f>C14*H5*D14</f>
        <v>25050.406778849705</v>
      </c>
      <c r="F14" s="139">
        <f>E14*$E$21</f>
        <v>1327.6715592790342</v>
      </c>
      <c r="G14" s="193">
        <f>B14*1.2</f>
        <v>0.18</v>
      </c>
      <c r="H14" s="192">
        <f>C14/2</f>
        <v>0.005</v>
      </c>
      <c r="I14" s="175">
        <f>G5*G14</f>
        <v>7.149088692594093</v>
      </c>
      <c r="J14" s="138">
        <f>H14*H5*I14</f>
        <v>15030.244067309823</v>
      </c>
      <c r="K14" s="139">
        <f>J14*$E$21</f>
        <v>796.6029355674206</v>
      </c>
      <c r="M14"/>
      <c r="N14"/>
      <c r="O14"/>
      <c r="P14"/>
      <c r="Q14"/>
      <c r="R14"/>
      <c r="S14"/>
      <c r="T14"/>
      <c r="U14"/>
      <c r="V14"/>
      <c r="W14"/>
    </row>
    <row r="15" spans="1:23" ht="12.75">
      <c r="A15" s="146" t="s">
        <v>44</v>
      </c>
      <c r="B15" s="328">
        <v>0.15</v>
      </c>
      <c r="C15" s="254">
        <v>0.01</v>
      </c>
      <c r="D15" s="175">
        <f>G6*B15</f>
        <v>11.046109348326272</v>
      </c>
      <c r="E15" s="138">
        <f>C15*H6*D15</f>
        <v>49349.59812458246</v>
      </c>
      <c r="F15" s="139">
        <f>E15*$E$21</f>
        <v>2615.5287006028702</v>
      </c>
      <c r="G15" s="193">
        <f>B15*1.2</f>
        <v>0.18</v>
      </c>
      <c r="H15" s="192">
        <f>C15/2</f>
        <v>0.005</v>
      </c>
      <c r="I15" s="175">
        <f>G6*G15</f>
        <v>13.255331217991527</v>
      </c>
      <c r="J15" s="138">
        <f>H15*H6*I15</f>
        <v>29609.758874749474</v>
      </c>
      <c r="K15" s="139">
        <f>J15*$E$21</f>
        <v>1569.317220361722</v>
      </c>
      <c r="M15"/>
      <c r="N15"/>
      <c r="O15"/>
      <c r="P15"/>
      <c r="Q15"/>
      <c r="R15"/>
      <c r="S15"/>
      <c r="T15"/>
      <c r="U15"/>
      <c r="V15"/>
      <c r="W15"/>
    </row>
    <row r="16" spans="1:23" ht="13.5" thickBot="1">
      <c r="A16" s="251" t="s">
        <v>46</v>
      </c>
      <c r="B16" s="329">
        <v>0.15</v>
      </c>
      <c r="C16" s="255">
        <v>0.01</v>
      </c>
      <c r="D16" s="181">
        <f>G7*B16</f>
        <v>43.90088018154573</v>
      </c>
      <c r="E16" s="140">
        <f>C16*H7*D16</f>
        <v>212475.8699906632</v>
      </c>
      <c r="F16" s="141">
        <f>E16*$E$21</f>
        <v>11261.22110950515</v>
      </c>
      <c r="G16" s="196">
        <f>B16*1.2</f>
        <v>0.18</v>
      </c>
      <c r="H16" s="195">
        <f>C16/2</f>
        <v>0.005</v>
      </c>
      <c r="I16" s="181">
        <f>G7*G16</f>
        <v>52.68105621785488</v>
      </c>
      <c r="J16" s="140">
        <f>H16*H7*I16</f>
        <v>127485.52199439793</v>
      </c>
      <c r="K16" s="141">
        <f>J16*$E$21</f>
        <v>6756.73266570309</v>
      </c>
      <c r="M16"/>
      <c r="N16"/>
      <c r="O16"/>
      <c r="P16"/>
      <c r="Q16"/>
      <c r="R16"/>
      <c r="S16"/>
      <c r="T16"/>
      <c r="U16"/>
      <c r="V16"/>
      <c r="W16"/>
    </row>
    <row r="17" spans="1:23" ht="13.5" thickBot="1">
      <c r="A17" s="197" t="s">
        <v>50</v>
      </c>
      <c r="B17" s="252"/>
      <c r="C17" s="236"/>
      <c r="D17" s="237"/>
      <c r="E17" s="155">
        <f>SUM(E12:E16)</f>
        <v>650278.9709263896</v>
      </c>
      <c r="F17" s="156">
        <f>SUM(F12:F16)</f>
        <v>34464.78545909864</v>
      </c>
      <c r="G17" s="133"/>
      <c r="H17" s="142"/>
      <c r="I17" s="142"/>
      <c r="J17" s="155">
        <f>SUM(J12:J16)</f>
        <v>390167.3825558337</v>
      </c>
      <c r="K17" s="156">
        <f>SUM(K12:K16)</f>
        <v>20678.871275459183</v>
      </c>
      <c r="M17"/>
      <c r="N17"/>
      <c r="O17"/>
      <c r="P17"/>
      <c r="Q17"/>
      <c r="R17"/>
      <c r="S17"/>
      <c r="T17"/>
      <c r="U17"/>
      <c r="V17"/>
      <c r="W17"/>
    </row>
    <row r="18" spans="13:23" ht="12.75">
      <c r="M18"/>
      <c r="N18"/>
      <c r="O18"/>
      <c r="P18"/>
      <c r="Q18"/>
      <c r="R18"/>
      <c r="S18"/>
      <c r="T18"/>
      <c r="U18"/>
      <c r="V18"/>
      <c r="W18" s="49"/>
    </row>
    <row r="19" spans="13:23" ht="13.5" thickBot="1">
      <c r="M19"/>
      <c r="N19"/>
      <c r="O19"/>
      <c r="P19"/>
      <c r="Q19"/>
      <c r="R19"/>
      <c r="S19"/>
      <c r="T19"/>
      <c r="U19"/>
      <c r="V19"/>
      <c r="W19"/>
    </row>
    <row r="20" spans="1:10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110</v>
      </c>
      <c r="F20" s="91" t="s">
        <v>33</v>
      </c>
      <c r="I20" s="157"/>
      <c r="J20" s="157"/>
    </row>
    <row r="21" spans="1:6" ht="13.5" thickBot="1">
      <c r="A21" s="158">
        <v>0.3</v>
      </c>
      <c r="B21" s="159">
        <v>20</v>
      </c>
      <c r="C21" s="160">
        <f>A21/(1-1/(1+A21)^B21)</f>
        <v>0.30158688481804236</v>
      </c>
      <c r="D21" s="321">
        <v>7.6851</v>
      </c>
      <c r="E21" s="160">
        <f>5.3*10^(-2)</f>
        <v>0.053</v>
      </c>
      <c r="F21" s="161">
        <v>8760</v>
      </c>
    </row>
    <row r="22" spans="1:4" ht="12.75">
      <c r="A22" s="199"/>
      <c r="B22" s="163"/>
      <c r="D22" s="199"/>
    </row>
    <row r="23" spans="1:4" ht="13.5" thickBot="1">
      <c r="A23" s="199"/>
      <c r="B23" s="163"/>
      <c r="D23" s="199"/>
    </row>
    <row r="24" spans="1:9" ht="13.5" thickBot="1">
      <c r="A24" s="486" t="s">
        <v>38</v>
      </c>
      <c r="B24" s="495" t="s">
        <v>60</v>
      </c>
      <c r="C24" s="496"/>
      <c r="D24" s="496"/>
      <c r="E24" s="497"/>
      <c r="F24" s="495" t="s">
        <v>61</v>
      </c>
      <c r="G24" s="496"/>
      <c r="H24" s="496"/>
      <c r="I24" s="497"/>
    </row>
    <row r="25" spans="1:9" ht="29.25" thickBot="1">
      <c r="A25" s="494"/>
      <c r="B25" s="113" t="s">
        <v>49</v>
      </c>
      <c r="C25" s="114" t="s">
        <v>10</v>
      </c>
      <c r="D25" s="114" t="s">
        <v>11</v>
      </c>
      <c r="E25" s="115" t="s">
        <v>105</v>
      </c>
      <c r="F25" s="113" t="s">
        <v>49</v>
      </c>
      <c r="G25" s="114" t="s">
        <v>10</v>
      </c>
      <c r="H25" s="114" t="s">
        <v>11</v>
      </c>
      <c r="I25" s="115" t="s">
        <v>105</v>
      </c>
    </row>
    <row r="26" spans="1:9" ht="12.75">
      <c r="A26" s="185" t="s">
        <v>40</v>
      </c>
      <c r="B26" s="238">
        <f>D26/D12*2</f>
        <v>121178.65680000003</v>
      </c>
      <c r="C26" s="239">
        <f>B26*$C$21*D12</f>
        <v>1548080.2119227655</v>
      </c>
      <c r="D26" s="239">
        <f>E12*$D$21</f>
        <v>2566557.582331166</v>
      </c>
      <c r="E26" s="240">
        <f>(C26-D26)/F12</f>
        <v>-57.540552131504256</v>
      </c>
      <c r="F26" s="238">
        <f>B26</f>
        <v>121178.65680000003</v>
      </c>
      <c r="G26" s="239">
        <f>F26*$C$21*D12</f>
        <v>1548080.2119227655</v>
      </c>
      <c r="H26" s="239">
        <f>J12*$D$21</f>
        <v>1539934.5493986993</v>
      </c>
      <c r="I26" s="240">
        <f>(G26-H26)/K12</f>
        <v>0.7670043091281823</v>
      </c>
    </row>
    <row r="27" spans="1:9" ht="12.75">
      <c r="A27" s="191" t="s">
        <v>41</v>
      </c>
      <c r="B27" s="241">
        <f>D27/D13*2</f>
        <v>43085.74464000001</v>
      </c>
      <c r="C27" s="242">
        <f>B27*$C$21*D13</f>
        <v>136456.9374192164</v>
      </c>
      <c r="D27" s="242">
        <f>E13*$D$21</f>
        <v>226231.55098661786</v>
      </c>
      <c r="E27" s="243">
        <f>(C27-D27)/F13</f>
        <v>-57.54055213150425</v>
      </c>
      <c r="F27" s="241">
        <f>B27</f>
        <v>43085.74464000001</v>
      </c>
      <c r="G27" s="242">
        <f>F27*$C$21*D13</f>
        <v>136456.9374192164</v>
      </c>
      <c r="H27" s="242">
        <f>J13*$D$21</f>
        <v>135738.9305919707</v>
      </c>
      <c r="I27" s="243">
        <f>(G27-H27)/K13</f>
        <v>0.7670043091281554</v>
      </c>
    </row>
    <row r="28" spans="1:9" ht="12.75">
      <c r="A28" s="191" t="s">
        <v>43</v>
      </c>
      <c r="B28" s="241">
        <f>D28/D14*2</f>
        <v>64628.61696000001</v>
      </c>
      <c r="C28" s="242">
        <f>B28*$C$21*D14</f>
        <v>116119.92656592706</v>
      </c>
      <c r="D28" s="242">
        <f>E14*$D$21</f>
        <v>192514.88113613788</v>
      </c>
      <c r="E28" s="243">
        <f>(C28-D28)/F14</f>
        <v>-57.540552131504256</v>
      </c>
      <c r="F28" s="241">
        <f>B28</f>
        <v>64628.61696000001</v>
      </c>
      <c r="G28" s="242">
        <f>F28*$C$21*D14</f>
        <v>116119.92656592706</v>
      </c>
      <c r="H28" s="242">
        <f>J14*$D$21</f>
        <v>115508.92868168272</v>
      </c>
      <c r="I28" s="243">
        <f>(G28-H28)/K14</f>
        <v>0.7670043091281403</v>
      </c>
    </row>
    <row r="29" spans="1:9" ht="12.75">
      <c r="A29" s="191" t="s">
        <v>44</v>
      </c>
      <c r="B29" s="241">
        <f>D29/D15*2</f>
        <v>68667.90552000001</v>
      </c>
      <c r="C29" s="242">
        <f>B29*$C$21*D15</f>
        <v>228757.63099874364</v>
      </c>
      <c r="D29" s="242">
        <f>E15*$D$21</f>
        <v>379256.5965472287</v>
      </c>
      <c r="E29" s="243">
        <f>(C29-D29)/F15</f>
        <v>-57.54055213150426</v>
      </c>
      <c r="F29" s="241">
        <f>B29</f>
        <v>68667.90552000001</v>
      </c>
      <c r="G29" s="242">
        <f>F29*$C$21*D15</f>
        <v>228757.63099874364</v>
      </c>
      <c r="H29" s="242">
        <f>J15*$D$21</f>
        <v>227553.9579283372</v>
      </c>
      <c r="I29" s="243">
        <f>(G29-H29)/K15</f>
        <v>0.7670043091281517</v>
      </c>
    </row>
    <row r="30" spans="1:9" ht="13.5" thickBot="1">
      <c r="A30" s="200" t="s">
        <v>46</v>
      </c>
      <c r="B30" s="244">
        <f>D30/D16*2</f>
        <v>74390.23098000001</v>
      </c>
      <c r="C30" s="245">
        <f>B30*$C$21*D16</f>
        <v>984921.4281493685</v>
      </c>
      <c r="D30" s="245">
        <f>E16*$D$21</f>
        <v>1632898.3084652459</v>
      </c>
      <c r="E30" s="246">
        <f>(C30-D30)/F16</f>
        <v>-57.54055213150426</v>
      </c>
      <c r="F30" s="244">
        <f>B30</f>
        <v>74390.23098000001</v>
      </c>
      <c r="G30" s="245">
        <f>F30*$C$21*D16</f>
        <v>984921.4281493685</v>
      </c>
      <c r="H30" s="245">
        <f>J16*$D$21</f>
        <v>979738.9850791476</v>
      </c>
      <c r="I30" s="246">
        <f>(G30-H30)/K16</f>
        <v>0.767004309128102</v>
      </c>
    </row>
    <row r="31" spans="1:9" ht="13.5" thickBot="1">
      <c r="A31" s="197" t="s">
        <v>50</v>
      </c>
      <c r="B31" s="247"/>
      <c r="C31" s="248">
        <f>SUM(C26:C30)</f>
        <v>3014336.135056021</v>
      </c>
      <c r="D31" s="248">
        <f>SUM(D26:D30)</f>
        <v>4997458.919466397</v>
      </c>
      <c r="E31" s="249"/>
      <c r="F31" s="247"/>
      <c r="G31" s="248">
        <f>SUM(G26:G30)</f>
        <v>3014336.135056021</v>
      </c>
      <c r="H31" s="248">
        <f>SUM(H26:H30)</f>
        <v>2998475.3516798373</v>
      </c>
      <c r="I31" s="249"/>
    </row>
    <row r="32" spans="2:5" ht="12.75">
      <c r="B32" s="168"/>
      <c r="C32" s="168"/>
      <c r="D32" s="168"/>
      <c r="E32" s="168"/>
    </row>
    <row r="40" ht="12.75">
      <c r="A40" s="132"/>
    </row>
    <row r="41" ht="12.75">
      <c r="A41" s="132"/>
    </row>
    <row r="42" ht="12.75">
      <c r="A42" s="132"/>
    </row>
    <row r="43" ht="12.75">
      <c r="A43" s="132"/>
    </row>
    <row r="44" ht="12.75">
      <c r="A44" s="132"/>
    </row>
    <row r="45" ht="12.75">
      <c r="A45" s="132"/>
    </row>
    <row r="46" ht="12.75">
      <c r="A46" s="132"/>
    </row>
    <row r="47" ht="12.75">
      <c r="A47" s="132"/>
    </row>
    <row r="48" ht="12.75">
      <c r="A48" s="132"/>
    </row>
    <row r="49" ht="12.75">
      <c r="A49" s="132"/>
    </row>
    <row r="50" ht="12.75">
      <c r="A50" s="132"/>
    </row>
    <row r="51" ht="12.75">
      <c r="A51" s="132"/>
    </row>
    <row r="52" ht="12.75">
      <c r="A52" s="132"/>
    </row>
    <row r="53" ht="12.75">
      <c r="A53" s="132"/>
    </row>
    <row r="54" ht="12.75">
      <c r="A54" s="132"/>
    </row>
    <row r="55" ht="12.75">
      <c r="A55" s="132"/>
    </row>
    <row r="56" ht="12.75">
      <c r="A56" s="132"/>
    </row>
    <row r="57" ht="12.75">
      <c r="A57" s="132"/>
    </row>
    <row r="58" ht="12.75">
      <c r="A58" s="132"/>
    </row>
    <row r="59" ht="12.75">
      <c r="A59" s="132"/>
    </row>
    <row r="60" ht="12.75">
      <c r="A60" s="132"/>
    </row>
  </sheetData>
  <sheetProtection/>
  <mergeCells count="10">
    <mergeCell ref="A24:A25"/>
    <mergeCell ref="B24:E24"/>
    <mergeCell ref="F24:I24"/>
    <mergeCell ref="C1:F1"/>
    <mergeCell ref="G1:J1"/>
    <mergeCell ref="A1:A2"/>
    <mergeCell ref="B1:B2"/>
    <mergeCell ref="A10:A11"/>
    <mergeCell ref="B10:F10"/>
    <mergeCell ref="G10:K10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H12" sqref="H12"/>
    </sheetView>
  </sheetViews>
  <sheetFormatPr defaultColWidth="15.8515625" defaultRowHeight="12.75"/>
  <cols>
    <col min="1" max="3" width="15.8515625" style="46" customWidth="1"/>
    <col min="4" max="4" width="20.00390625" style="46" customWidth="1"/>
    <col min="5" max="5" width="21.421875" style="46" customWidth="1"/>
    <col min="6" max="16384" width="15.8515625" style="46" customWidth="1"/>
  </cols>
  <sheetData>
    <row r="1" spans="1:6" ht="13.5" thickBot="1">
      <c r="A1" s="486" t="s">
        <v>38</v>
      </c>
      <c r="B1" s="501" t="s">
        <v>117</v>
      </c>
      <c r="C1" s="503" t="s">
        <v>80</v>
      </c>
      <c r="D1" s="504"/>
      <c r="E1" s="132"/>
      <c r="F1" s="132"/>
    </row>
    <row r="2" spans="1:4" ht="44.25" customHeight="1" thickBot="1">
      <c r="A2" s="500"/>
      <c r="B2" s="502"/>
      <c r="C2" s="89" t="s">
        <v>86</v>
      </c>
      <c r="D2" s="91" t="s">
        <v>87</v>
      </c>
    </row>
    <row r="3" spans="1:4" ht="12.75">
      <c r="A3" s="214" t="s">
        <v>40</v>
      </c>
      <c r="B3" s="309">
        <v>0.33708609271523177</v>
      </c>
      <c r="C3" s="306">
        <v>35006223.792814</v>
      </c>
      <c r="D3" s="136">
        <f>C3/$E$21*B3</f>
        <v>222643607.5289557</v>
      </c>
    </row>
    <row r="4" spans="1:4" ht="12.75">
      <c r="A4" s="191" t="s">
        <v>41</v>
      </c>
      <c r="B4" s="174">
        <v>0.6392467789890981</v>
      </c>
      <c r="C4" s="307">
        <v>1627120.48246</v>
      </c>
      <c r="D4" s="139">
        <f>C4/$E$21*B4</f>
        <v>19625123.15924042</v>
      </c>
    </row>
    <row r="5" spans="1:4" ht="12.75">
      <c r="A5" s="191" t="s">
        <v>43</v>
      </c>
      <c r="B5" s="174">
        <v>0.7413793103448276</v>
      </c>
      <c r="C5" s="307">
        <v>1193875.2005919998</v>
      </c>
      <c r="D5" s="139">
        <f>C5/$E$21*B5</f>
        <v>16700271.185899803</v>
      </c>
    </row>
    <row r="6" spans="1:4" ht="12.75">
      <c r="A6" s="191" t="s">
        <v>44</v>
      </c>
      <c r="B6" s="174">
        <v>0.6818369880016549</v>
      </c>
      <c r="C6" s="307">
        <v>2557335.3031380004</v>
      </c>
      <c r="D6" s="139">
        <f>C6/$E$21*B6</f>
        <v>32899732.08305497</v>
      </c>
    </row>
    <row r="7" spans="1:21" ht="13.5" thickBot="1">
      <c r="A7" s="194" t="s">
        <v>46</v>
      </c>
      <c r="B7" s="180">
        <v>0.7</v>
      </c>
      <c r="C7" s="308">
        <v>10724972.485242998</v>
      </c>
      <c r="D7" s="141">
        <f>C7/$E$21*B7</f>
        <v>141650579.99377546</v>
      </c>
      <c r="K7"/>
      <c r="L7"/>
      <c r="M7"/>
      <c r="N7"/>
      <c r="O7"/>
      <c r="P7"/>
      <c r="Q7"/>
      <c r="R7"/>
      <c r="S7"/>
      <c r="T7"/>
      <c r="U7"/>
    </row>
    <row r="8" ht="12.75">
      <c r="U8"/>
    </row>
    <row r="9" spans="11:21" ht="13.5" thickBot="1">
      <c r="K9"/>
      <c r="L9"/>
      <c r="M9"/>
      <c r="N9"/>
      <c r="O9"/>
      <c r="P9"/>
      <c r="Q9"/>
      <c r="R9"/>
      <c r="S9"/>
      <c r="T9"/>
      <c r="U9"/>
    </row>
    <row r="10" spans="1:21" ht="13.5" thickBot="1">
      <c r="A10" s="486" t="s">
        <v>38</v>
      </c>
      <c r="B10" s="506" t="s">
        <v>62</v>
      </c>
      <c r="C10" s="507"/>
      <c r="D10" s="507"/>
      <c r="E10" s="508"/>
      <c r="F10" s="506" t="s">
        <v>63</v>
      </c>
      <c r="G10" s="507"/>
      <c r="H10" s="507"/>
      <c r="I10" s="508"/>
      <c r="K10"/>
      <c r="L10"/>
      <c r="M10"/>
      <c r="N10"/>
      <c r="O10"/>
      <c r="P10"/>
      <c r="Q10"/>
      <c r="R10"/>
      <c r="S10"/>
      <c r="T10"/>
      <c r="U10"/>
    </row>
    <row r="11" spans="1:21" ht="41.25" thickBot="1">
      <c r="A11" s="500"/>
      <c r="B11" s="89" t="s">
        <v>96</v>
      </c>
      <c r="C11" s="94" t="s">
        <v>109</v>
      </c>
      <c r="D11" s="90" t="s">
        <v>100</v>
      </c>
      <c r="E11" s="91" t="s">
        <v>101</v>
      </c>
      <c r="F11" s="89" t="s">
        <v>96</v>
      </c>
      <c r="G11" s="94" t="s">
        <v>109</v>
      </c>
      <c r="H11" s="90" t="s">
        <v>100</v>
      </c>
      <c r="I11" s="91" t="s">
        <v>101</v>
      </c>
      <c r="U11" s="52"/>
    </row>
    <row r="12" spans="1:21" ht="12.75">
      <c r="A12" s="143" t="s">
        <v>40</v>
      </c>
      <c r="B12" s="144">
        <v>0.058</v>
      </c>
      <c r="C12" s="145">
        <v>0.01</v>
      </c>
      <c r="D12" s="135">
        <f>D3*B12*C12</f>
        <v>129133.29236679431</v>
      </c>
      <c r="E12" s="136">
        <f>D12*$E$21</f>
        <v>6844.064495440099</v>
      </c>
      <c r="F12" s="357">
        <f>B12*1.2</f>
        <v>0.0696</v>
      </c>
      <c r="G12" s="145">
        <f>C12/2</f>
        <v>0.005</v>
      </c>
      <c r="H12" s="135">
        <f>G12*F12*D3</f>
        <v>77479.97542007659</v>
      </c>
      <c r="I12" s="136">
        <f>H12*$E$21</f>
        <v>4106.43869726406</v>
      </c>
      <c r="U12"/>
    </row>
    <row r="13" spans="1:21" ht="12.75">
      <c r="A13" s="146" t="s">
        <v>41</v>
      </c>
      <c r="B13" s="147">
        <v>0.113</v>
      </c>
      <c r="C13" s="148">
        <v>0.01</v>
      </c>
      <c r="D13" s="138">
        <f>D4*B13*C13</f>
        <v>22176.389169941674</v>
      </c>
      <c r="E13" s="139">
        <f>D13*$E$21</f>
        <v>1175.3486260069087</v>
      </c>
      <c r="F13" s="358">
        <f>B13*1.2</f>
        <v>0.1356</v>
      </c>
      <c r="G13" s="148">
        <f>C13/2</f>
        <v>0.005</v>
      </c>
      <c r="H13" s="138">
        <f>G13*F13*D4</f>
        <v>13305.833501965006</v>
      </c>
      <c r="I13" s="139">
        <f>H13*$E$21</f>
        <v>705.2091756041452</v>
      </c>
      <c r="K13"/>
      <c r="L13"/>
      <c r="M13"/>
      <c r="N13"/>
      <c r="O13"/>
      <c r="P13"/>
      <c r="Q13"/>
      <c r="R13"/>
      <c r="S13"/>
      <c r="T13"/>
      <c r="U13"/>
    </row>
    <row r="14" spans="1:21" ht="12.75">
      <c r="A14" s="146" t="s">
        <v>43</v>
      </c>
      <c r="B14" s="147">
        <v>0.113</v>
      </c>
      <c r="C14" s="148">
        <v>0.01</v>
      </c>
      <c r="D14" s="138">
        <f>D5*B14*C14</f>
        <v>18871.30644006678</v>
      </c>
      <c r="E14" s="139">
        <f>D14*$E$21</f>
        <v>1000.1792413235393</v>
      </c>
      <c r="F14" s="358">
        <f>B14*1.2</f>
        <v>0.1356</v>
      </c>
      <c r="G14" s="148">
        <f>C14/2</f>
        <v>0.005</v>
      </c>
      <c r="H14" s="138">
        <f>G14*F14*D5</f>
        <v>11322.783864040066</v>
      </c>
      <c r="I14" s="139">
        <f>H14*$E$21</f>
        <v>600.1075447941234</v>
      </c>
      <c r="K14"/>
      <c r="L14"/>
      <c r="M14"/>
      <c r="N14"/>
      <c r="O14"/>
      <c r="P14"/>
      <c r="Q14"/>
      <c r="R14"/>
      <c r="S14"/>
      <c r="T14"/>
      <c r="U14"/>
    </row>
    <row r="15" spans="1:21" ht="12.75">
      <c r="A15" s="146" t="s">
        <v>44</v>
      </c>
      <c r="B15" s="147">
        <v>0.058</v>
      </c>
      <c r="C15" s="148">
        <v>0.01</v>
      </c>
      <c r="D15" s="138">
        <f>D6*B15*C15</f>
        <v>19081.844608171887</v>
      </c>
      <c r="E15" s="139">
        <f>D15*$E$21</f>
        <v>1011.33776423311</v>
      </c>
      <c r="F15" s="358">
        <f>B15*1.2</f>
        <v>0.0696</v>
      </c>
      <c r="G15" s="148">
        <f>C15/2</f>
        <v>0.005</v>
      </c>
      <c r="H15" s="138">
        <f>G15*F15*D6</f>
        <v>11449.10676490313</v>
      </c>
      <c r="I15" s="139">
        <f>H15*$E$21</f>
        <v>606.8026585398659</v>
      </c>
      <c r="K15"/>
      <c r="L15"/>
      <c r="M15"/>
      <c r="N15"/>
      <c r="O15"/>
      <c r="P15"/>
      <c r="Q15"/>
      <c r="R15"/>
      <c r="S15"/>
      <c r="T15"/>
      <c r="U15"/>
    </row>
    <row r="16" spans="1:21" ht="13.5" thickBot="1">
      <c r="A16" s="149" t="s">
        <v>46</v>
      </c>
      <c r="B16" s="150">
        <v>0.113</v>
      </c>
      <c r="C16" s="151">
        <v>0.01</v>
      </c>
      <c r="D16" s="152">
        <f>D7*B16*C16</f>
        <v>160065.15539296626</v>
      </c>
      <c r="E16" s="153">
        <f>D16*$E$21</f>
        <v>8483.453235827212</v>
      </c>
      <c r="F16" s="359">
        <f>B16*1.2</f>
        <v>0.1356</v>
      </c>
      <c r="G16" s="151">
        <f>C16/2</f>
        <v>0.005</v>
      </c>
      <c r="H16" s="152">
        <f>G16*F16*D7</f>
        <v>96039.09323577976</v>
      </c>
      <c r="I16" s="153">
        <f>H16*$E$21</f>
        <v>5090.071941496327</v>
      </c>
      <c r="K16"/>
      <c r="L16"/>
      <c r="M16"/>
      <c r="N16"/>
      <c r="O16"/>
      <c r="P16"/>
      <c r="Q16"/>
      <c r="R16"/>
      <c r="S16"/>
      <c r="T16"/>
      <c r="U16"/>
    </row>
    <row r="17" spans="1:21" ht="13.5" thickBot="1">
      <c r="A17" s="154" t="s">
        <v>50</v>
      </c>
      <c r="B17" s="133"/>
      <c r="C17" s="142"/>
      <c r="D17" s="155">
        <f>SUM(D12:D16)</f>
        <v>349327.98797794094</v>
      </c>
      <c r="E17" s="156">
        <f>SUM(E12:E16)</f>
        <v>18514.38336283087</v>
      </c>
      <c r="F17" s="133"/>
      <c r="G17" s="142"/>
      <c r="H17" s="155">
        <f>SUM(H12:H16)</f>
        <v>209596.79278676456</v>
      </c>
      <c r="I17" s="156">
        <f>SUM(I12:I16)</f>
        <v>11108.63001769852</v>
      </c>
      <c r="K17"/>
      <c r="L17"/>
      <c r="M17"/>
      <c r="N17"/>
      <c r="O17"/>
      <c r="P17"/>
      <c r="Q17"/>
      <c r="R17"/>
      <c r="S17"/>
      <c r="T17"/>
      <c r="U17" s="49"/>
    </row>
    <row r="18" spans="11:21" ht="12.75">
      <c r="K18"/>
      <c r="L18"/>
      <c r="M18"/>
      <c r="N18"/>
      <c r="O18"/>
      <c r="P18"/>
      <c r="Q18"/>
      <c r="R18"/>
      <c r="S18"/>
      <c r="T18"/>
      <c r="U18"/>
    </row>
    <row r="19" ht="13.5" thickBot="1"/>
    <row r="20" spans="1:11" ht="42" thickBot="1">
      <c r="A20" s="122" t="s">
        <v>35</v>
      </c>
      <c r="B20" s="123" t="s">
        <v>34</v>
      </c>
      <c r="C20" s="123" t="s">
        <v>51</v>
      </c>
      <c r="D20" s="123" t="s">
        <v>116</v>
      </c>
      <c r="E20" s="90" t="s">
        <v>110</v>
      </c>
      <c r="F20" s="91" t="s">
        <v>33</v>
      </c>
      <c r="J20" s="157"/>
      <c r="K20" s="157"/>
    </row>
    <row r="21" spans="1:6" ht="13.5" thickBot="1">
      <c r="A21" s="158">
        <v>0.3</v>
      </c>
      <c r="B21" s="159">
        <v>20</v>
      </c>
      <c r="C21" s="160">
        <f>A21/(1-1/(1+A21)^B21)</f>
        <v>0.30158688481804236</v>
      </c>
      <c r="D21" s="321">
        <v>7.6851</v>
      </c>
      <c r="E21" s="160">
        <f>5.3*10^(-2)</f>
        <v>0.053</v>
      </c>
      <c r="F21" s="161">
        <v>8760</v>
      </c>
    </row>
    <row r="22" spans="1:4" ht="12.75">
      <c r="A22" s="162"/>
      <c r="B22" s="163"/>
      <c r="C22" s="164"/>
      <c r="D22" s="165"/>
    </row>
    <row r="23" spans="1:4" ht="13.5" thickBot="1">
      <c r="A23" s="162"/>
      <c r="B23" s="163"/>
      <c r="C23" s="164"/>
      <c r="D23" s="165"/>
    </row>
    <row r="24" spans="1:10" ht="13.5" thickBot="1">
      <c r="A24" s="486" t="s">
        <v>38</v>
      </c>
      <c r="B24" s="503" t="s">
        <v>62</v>
      </c>
      <c r="C24" s="509"/>
      <c r="D24" s="509"/>
      <c r="E24" s="504"/>
      <c r="F24" s="503" t="s">
        <v>63</v>
      </c>
      <c r="G24" s="509"/>
      <c r="H24" s="509"/>
      <c r="I24" s="504"/>
      <c r="J24" s="132"/>
    </row>
    <row r="25" spans="1:11" ht="29.25" thickBot="1">
      <c r="A25" s="500"/>
      <c r="B25" s="113" t="s">
        <v>74</v>
      </c>
      <c r="C25" s="114" t="s">
        <v>10</v>
      </c>
      <c r="D25" s="114" t="s">
        <v>11</v>
      </c>
      <c r="E25" s="115" t="s">
        <v>105</v>
      </c>
      <c r="F25" s="113" t="s">
        <v>74</v>
      </c>
      <c r="G25" s="114" t="s">
        <v>10</v>
      </c>
      <c r="H25" s="114" t="s">
        <v>11</v>
      </c>
      <c r="I25" s="115" t="s">
        <v>105</v>
      </c>
      <c r="J25" s="132"/>
      <c r="K25" s="132"/>
    </row>
    <row r="26" spans="1:11" ht="12.75">
      <c r="A26" s="143" t="s">
        <v>40</v>
      </c>
      <c r="B26" s="238">
        <f>D26*1.5</f>
        <v>1488603.3977520764</v>
      </c>
      <c r="C26" s="239">
        <f>B26*$C$21</f>
        <v>448943.26145760197</v>
      </c>
      <c r="D26" s="239">
        <f>D12*$D$21</f>
        <v>992402.265168051</v>
      </c>
      <c r="E26" s="240">
        <f>(C26-D26)/E12</f>
        <v>-79.40588579674139</v>
      </c>
      <c r="F26" s="238">
        <f>B26</f>
        <v>1488603.3977520764</v>
      </c>
      <c r="G26" s="239">
        <f>F26*$C$21</f>
        <v>448943.26145760197</v>
      </c>
      <c r="H26" s="239">
        <f>H12*$D$21</f>
        <v>595441.3591008306</v>
      </c>
      <c r="I26" s="240">
        <f>(G26-H26)/I12</f>
        <v>-35.67521846626712</v>
      </c>
      <c r="J26" s="166"/>
      <c r="K26" s="132"/>
    </row>
    <row r="27" spans="1:9" ht="12.75">
      <c r="A27" s="146" t="s">
        <v>41</v>
      </c>
      <c r="B27" s="241">
        <f>D27*1.5</f>
        <v>255641.65261487814</v>
      </c>
      <c r="C27" s="242">
        <f>B27*$C$21</f>
        <v>77098.16964185725</v>
      </c>
      <c r="D27" s="242">
        <f>D13*$D$21</f>
        <v>170427.76840991876</v>
      </c>
      <c r="E27" s="243">
        <f>(C27-D27)/E13</f>
        <v>-79.4058857967414</v>
      </c>
      <c r="F27" s="241">
        <f>B27</f>
        <v>255641.65261487814</v>
      </c>
      <c r="G27" s="242">
        <f>F27*$C$21</f>
        <v>77098.16964185725</v>
      </c>
      <c r="H27" s="242">
        <f>H13*$D$21</f>
        <v>102256.66104595127</v>
      </c>
      <c r="I27" s="243">
        <f>(G27-H27)/I13</f>
        <v>-35.675218466267125</v>
      </c>
    </row>
    <row r="28" spans="1:11" ht="12.75">
      <c r="A28" s="146" t="s">
        <v>43</v>
      </c>
      <c r="B28" s="241">
        <f>D28*1.5</f>
        <v>217541.8156838358</v>
      </c>
      <c r="C28" s="242">
        <f>B28*$C$21</f>
        <v>65607.75850974879</v>
      </c>
      <c r="D28" s="242">
        <f>D14*$D$21</f>
        <v>145027.8771225572</v>
      </c>
      <c r="E28" s="243">
        <f>(C28-D28)/E14</f>
        <v>-79.40588579674139</v>
      </c>
      <c r="F28" s="241">
        <f>B28</f>
        <v>217541.8156838358</v>
      </c>
      <c r="G28" s="242">
        <f>F28*$C$21</f>
        <v>65607.75850974879</v>
      </c>
      <c r="H28" s="242">
        <f>H14*$D$21</f>
        <v>87016.72627353431</v>
      </c>
      <c r="I28" s="243">
        <f>(G28-H28)/I14</f>
        <v>-35.6752184662671</v>
      </c>
      <c r="J28" s="167"/>
      <c r="K28" s="167"/>
    </row>
    <row r="29" spans="1:11" ht="12.75">
      <c r="A29" s="146" t="s">
        <v>44</v>
      </c>
      <c r="B29" s="241">
        <f>D29*1.5</f>
        <v>219968.82599739265</v>
      </c>
      <c r="C29" s="242">
        <f>B29*$C$21</f>
        <v>66339.71298963566</v>
      </c>
      <c r="D29" s="242">
        <f>D15*$D$21</f>
        <v>146645.88399826176</v>
      </c>
      <c r="E29" s="243">
        <f>(C29-D29)/E15</f>
        <v>-79.40588579674139</v>
      </c>
      <c r="F29" s="241">
        <f>B29</f>
        <v>219968.82599739265</v>
      </c>
      <c r="G29" s="242">
        <f>F29*$C$21</f>
        <v>66339.71298963566</v>
      </c>
      <c r="H29" s="242">
        <f>H15*$D$21</f>
        <v>87987.53039895705</v>
      </c>
      <c r="I29" s="243">
        <f>(G29-H29)/I15</f>
        <v>-35.6752184662671</v>
      </c>
      <c r="J29" s="167"/>
      <c r="K29" s="167"/>
    </row>
    <row r="30" spans="1:11" ht="13.5" thickBot="1">
      <c r="A30" s="149" t="s">
        <v>46</v>
      </c>
      <c r="B30" s="244">
        <f>D30*1.5</f>
        <v>1845175.0885657277</v>
      </c>
      <c r="C30" s="245">
        <f>B30*$C$21</f>
        <v>556480.6069043932</v>
      </c>
      <c r="D30" s="245">
        <f>D16*$D$21</f>
        <v>1230116.7257104851</v>
      </c>
      <c r="E30" s="246">
        <f>(C30-D30)/E16</f>
        <v>-79.40588579674142</v>
      </c>
      <c r="F30" s="244">
        <f>B30</f>
        <v>1845175.0885657277</v>
      </c>
      <c r="G30" s="245">
        <f>F30*$C$21</f>
        <v>556480.6069043932</v>
      </c>
      <c r="H30" s="245">
        <f>H16*$D$21</f>
        <v>738070.035426291</v>
      </c>
      <c r="I30" s="246">
        <f>(G30-H30)/I16</f>
        <v>-35.67521846626712</v>
      </c>
      <c r="J30" s="167"/>
      <c r="K30" s="167"/>
    </row>
    <row r="31" spans="1:11" ht="13.5" thickBot="1">
      <c r="A31" s="154" t="s">
        <v>50</v>
      </c>
      <c r="B31" s="247"/>
      <c r="C31" s="248">
        <f>SUM(C26:C30)</f>
        <v>1214469.5095032367</v>
      </c>
      <c r="D31" s="248">
        <f>SUM(D26:D30)</f>
        <v>2684620.520409274</v>
      </c>
      <c r="E31" s="249"/>
      <c r="F31" s="247"/>
      <c r="G31" s="248">
        <f>SUM(G26:G30)</f>
        <v>1214469.5095032367</v>
      </c>
      <c r="H31" s="248">
        <f>SUM(H26:H30)</f>
        <v>1610772.3122455645</v>
      </c>
      <c r="I31" s="249"/>
      <c r="J31" s="167"/>
      <c r="K31" s="167"/>
    </row>
    <row r="32" spans="1:9" ht="12.75">
      <c r="A32" s="132"/>
      <c r="B32" s="168"/>
      <c r="C32" s="168"/>
      <c r="D32" s="168"/>
      <c r="E32" s="168"/>
      <c r="F32" s="157"/>
      <c r="G32" s="163"/>
      <c r="H32" s="167"/>
      <c r="I32" s="167"/>
    </row>
    <row r="33" spans="7:10" ht="12.75">
      <c r="G33" s="157"/>
      <c r="H33" s="163"/>
      <c r="I33" s="167"/>
      <c r="J33" s="167"/>
    </row>
    <row r="34" spans="8:11" ht="12.75">
      <c r="H34" s="157"/>
      <c r="I34" s="163"/>
      <c r="J34" s="167"/>
      <c r="K34" s="167"/>
    </row>
    <row r="35" spans="5:11" ht="12.75">
      <c r="E35" s="169"/>
      <c r="H35" s="157"/>
      <c r="I35" s="163"/>
      <c r="J35" s="167"/>
      <c r="K35" s="167"/>
    </row>
    <row r="36" spans="10:13" ht="12.75">
      <c r="J36" s="157"/>
      <c r="K36" s="163"/>
      <c r="L36" s="167"/>
      <c r="M36" s="167"/>
    </row>
    <row r="42" spans="2:13" ht="12.75"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2:13" ht="12.75">
      <c r="B43" s="132"/>
      <c r="C43" s="132"/>
      <c r="D43" s="132"/>
      <c r="E43" s="132"/>
      <c r="F43" s="132"/>
      <c r="G43" s="505"/>
      <c r="H43" s="505"/>
      <c r="I43" s="505"/>
      <c r="J43" s="505"/>
      <c r="K43" s="505"/>
      <c r="L43" s="132"/>
      <c r="M43" s="132"/>
    </row>
    <row r="44" spans="2:13" ht="12.75">
      <c r="B44" s="132"/>
      <c r="C44" s="132"/>
      <c r="D44" s="132"/>
      <c r="E44" s="132"/>
      <c r="F44" s="132"/>
      <c r="G44" s="132"/>
      <c r="H44" s="170"/>
      <c r="I44" s="132"/>
      <c r="J44" s="132"/>
      <c r="K44" s="132"/>
      <c r="L44" s="132"/>
      <c r="M44" s="132"/>
    </row>
    <row r="45" spans="2:13" ht="12.75">
      <c r="B45" s="132"/>
      <c r="C45" s="132"/>
      <c r="D45" s="132"/>
      <c r="E45" s="132"/>
      <c r="F45" s="132"/>
      <c r="G45" s="132"/>
      <c r="H45" s="171"/>
      <c r="I45" s="171"/>
      <c r="J45" s="171"/>
      <c r="K45" s="171"/>
      <c r="L45" s="132"/>
      <c r="M45" s="132"/>
    </row>
    <row r="46" spans="2:13" ht="12.75">
      <c r="B46" s="132"/>
      <c r="C46" s="132"/>
      <c r="D46" s="132"/>
      <c r="E46" s="132"/>
      <c r="F46" s="132"/>
      <c r="G46" s="132"/>
      <c r="H46" s="171"/>
      <c r="I46" s="171"/>
      <c r="J46" s="171"/>
      <c r="K46" s="171"/>
      <c r="L46" s="132"/>
      <c r="M46" s="132"/>
    </row>
    <row r="47" spans="2:13" ht="12.75">
      <c r="B47" s="132"/>
      <c r="C47" s="132"/>
      <c r="D47" s="132"/>
      <c r="E47" s="132"/>
      <c r="F47" s="132"/>
      <c r="G47" s="132"/>
      <c r="H47" s="171"/>
      <c r="I47" s="171"/>
      <c r="J47" s="171"/>
      <c r="K47" s="171"/>
      <c r="L47" s="132"/>
      <c r="M47" s="132"/>
    </row>
    <row r="48" spans="2:13" ht="12.75">
      <c r="B48" s="132"/>
      <c r="C48" s="132"/>
      <c r="D48" s="132"/>
      <c r="E48" s="132"/>
      <c r="F48" s="132"/>
      <c r="G48" s="132"/>
      <c r="H48" s="171"/>
      <c r="I48" s="171"/>
      <c r="J48" s="171"/>
      <c r="K48" s="171"/>
      <c r="L48" s="132"/>
      <c r="M48" s="132"/>
    </row>
    <row r="49" spans="2:13" ht="12.75">
      <c r="B49" s="132"/>
      <c r="C49" s="132"/>
      <c r="D49" s="132"/>
      <c r="E49" s="132"/>
      <c r="F49" s="132"/>
      <c r="G49" s="132"/>
      <c r="H49" s="171"/>
      <c r="I49" s="171"/>
      <c r="J49" s="171"/>
      <c r="K49" s="171"/>
      <c r="L49" s="132"/>
      <c r="M49" s="132"/>
    </row>
    <row r="50" spans="2:13" ht="12.75">
      <c r="B50" s="132"/>
      <c r="C50" s="132"/>
      <c r="D50" s="132"/>
      <c r="E50" s="132"/>
      <c r="F50" s="132"/>
      <c r="G50" s="172"/>
      <c r="H50" s="132"/>
      <c r="I50" s="166"/>
      <c r="J50" s="166"/>
      <c r="K50" s="132"/>
      <c r="L50" s="132"/>
      <c r="M50" s="132"/>
    </row>
    <row r="51" spans="2:13" ht="12.75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</row>
    <row r="52" spans="2:13" ht="12.75">
      <c r="B52" s="132"/>
      <c r="C52" s="132"/>
      <c r="D52" s="132"/>
      <c r="E52" s="132"/>
      <c r="F52" s="132"/>
      <c r="G52" s="505"/>
      <c r="H52" s="505"/>
      <c r="I52" s="505"/>
      <c r="J52" s="505"/>
      <c r="K52" s="505"/>
      <c r="L52" s="132"/>
      <c r="M52" s="132"/>
    </row>
    <row r="53" spans="2:13" ht="12.75">
      <c r="B53" s="132"/>
      <c r="C53" s="132"/>
      <c r="D53" s="132"/>
      <c r="E53" s="132"/>
      <c r="F53" s="132"/>
      <c r="G53" s="132"/>
      <c r="H53" s="170"/>
      <c r="I53" s="132"/>
      <c r="J53" s="132"/>
      <c r="K53" s="132"/>
      <c r="L53" s="132"/>
      <c r="M53" s="132"/>
    </row>
    <row r="54" spans="2:13" ht="12.75">
      <c r="B54" s="132"/>
      <c r="C54" s="132"/>
      <c r="D54" s="132"/>
      <c r="E54" s="132"/>
      <c r="F54" s="132"/>
      <c r="G54" s="132"/>
      <c r="H54" s="171"/>
      <c r="I54" s="171"/>
      <c r="J54" s="171"/>
      <c r="K54" s="171"/>
      <c r="L54" s="132"/>
      <c r="M54" s="132"/>
    </row>
    <row r="55" spans="2:13" ht="12.75">
      <c r="B55" s="132"/>
      <c r="C55" s="132"/>
      <c r="D55" s="132"/>
      <c r="E55" s="132"/>
      <c r="F55" s="132"/>
      <c r="G55" s="132"/>
      <c r="H55" s="171"/>
      <c r="I55" s="171"/>
      <c r="J55" s="171"/>
      <c r="K55" s="171"/>
      <c r="L55" s="132"/>
      <c r="M55" s="132"/>
    </row>
    <row r="56" spans="2:13" ht="12.75">
      <c r="B56" s="132"/>
      <c r="C56" s="132"/>
      <c r="D56" s="132"/>
      <c r="E56" s="132"/>
      <c r="F56" s="132"/>
      <c r="G56" s="132"/>
      <c r="H56" s="171"/>
      <c r="I56" s="171"/>
      <c r="J56" s="171"/>
      <c r="K56" s="171"/>
      <c r="L56" s="132"/>
      <c r="M56" s="132"/>
    </row>
    <row r="57" spans="2:13" ht="12.75">
      <c r="B57" s="132"/>
      <c r="C57" s="132"/>
      <c r="D57" s="132"/>
      <c r="E57" s="132"/>
      <c r="F57" s="132"/>
      <c r="G57" s="132"/>
      <c r="H57" s="171"/>
      <c r="I57" s="171"/>
      <c r="J57" s="171"/>
      <c r="K57" s="171"/>
      <c r="L57" s="132"/>
      <c r="M57" s="132"/>
    </row>
    <row r="58" spans="2:13" ht="12.75">
      <c r="B58" s="132"/>
      <c r="C58" s="132"/>
      <c r="D58" s="132"/>
      <c r="E58" s="132"/>
      <c r="F58" s="132"/>
      <c r="G58" s="132"/>
      <c r="H58" s="171"/>
      <c r="I58" s="171"/>
      <c r="J58" s="171"/>
      <c r="K58" s="171"/>
      <c r="L58" s="132"/>
      <c r="M58" s="132"/>
    </row>
    <row r="59" spans="2:13" ht="12.75">
      <c r="B59" s="132"/>
      <c r="C59" s="132"/>
      <c r="D59" s="132"/>
      <c r="E59" s="132"/>
      <c r="F59" s="132"/>
      <c r="G59" s="132"/>
      <c r="H59" s="132"/>
      <c r="I59" s="166"/>
      <c r="J59" s="166"/>
      <c r="K59" s="132"/>
      <c r="L59" s="132"/>
      <c r="M59" s="132"/>
    </row>
    <row r="60" spans="2:13" ht="12.7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</row>
    <row r="61" spans="2:13" ht="12.75"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</row>
    <row r="62" spans="2:13" ht="12.75"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</row>
    <row r="63" spans="2:13" ht="12.75"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</row>
    <row r="64" spans="2:13" ht="12.7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</sheetData>
  <sheetProtection/>
  <mergeCells count="11">
    <mergeCell ref="B24:E24"/>
    <mergeCell ref="A24:A25"/>
    <mergeCell ref="A10:A11"/>
    <mergeCell ref="A1:A2"/>
    <mergeCell ref="B1:B2"/>
    <mergeCell ref="C1:D1"/>
    <mergeCell ref="G52:K52"/>
    <mergeCell ref="G43:K43"/>
    <mergeCell ref="B10:E10"/>
    <mergeCell ref="F10:I10"/>
    <mergeCell ref="F24:I24"/>
  </mergeCells>
  <printOptions/>
  <pageMargins left="0.25" right="0.25" top="0.5" bottom="0.5" header="0.25" footer="0.25"/>
  <pageSetup horizontalDpi="600" verticalDpi="600" orientation="landscape" scale="70"/>
  <headerFooter alignWithMargins="0">
    <oddHeader>&amp;L&amp;A&amp;C&amp;Barb Confidential&amp;B&amp;RPage &amp;P</oddHeader>
    <oddFooter>&amp;L8/31/10&amp;CDeliberative Confidential&amp;RARB Working Copy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Allgood</dc:creator>
  <cp:keywords/>
  <dc:description/>
  <cp:lastModifiedBy>Slazerow</cp:lastModifiedBy>
  <cp:lastPrinted>2010-12-10T05:32:47Z</cp:lastPrinted>
  <dcterms:created xsi:type="dcterms:W3CDTF">2010-08-18T18:39:23Z</dcterms:created>
  <dcterms:modified xsi:type="dcterms:W3CDTF">2015-10-06T23:26:27Z</dcterms:modified>
  <cp:category/>
  <cp:version/>
  <cp:contentType/>
  <cp:contentStatus/>
</cp:coreProperties>
</file>